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Y:\Regulatory Affairs\Cost of Service\2021 Rebasing\Application\Exhibit 3 Regression &amp; Other Rev\"/>
    </mc:Choice>
  </mc:AlternateContent>
  <bookViews>
    <workbookView xWindow="480" yWindow="15" windowWidth="15195" windowHeight="7035" tabRatio="940"/>
  </bookViews>
  <sheets>
    <sheet name="Summary" sheetId="11" r:id="rId1"/>
    <sheet name="Purchased Power Model" sheetId="7" r:id="rId2"/>
    <sheet name="Rate Class Energy Model" sheetId="9" r:id="rId3"/>
    <sheet name="Rate Class Customer Model" sheetId="17" r:id="rId4"/>
    <sheet name="Rate Class Load Model" sheetId="18" r:id="rId5"/>
    <sheet name="CDM Activity" sheetId="26" r:id="rId6"/>
    <sheet name="Weather Analysis " sheetId="32" r:id="rId7"/>
  </sheets>
  <externalReferences>
    <externalReference r:id="rId8"/>
    <externalReference r:id="rId9"/>
    <externalReference r:id="rId10"/>
  </externalReferences>
  <definedNames>
    <definedName name="_xlnm._FilterDatabase" localSheetId="1" hidden="1">'Purchased Power Model'!$A$1:$R$313</definedName>
    <definedName name="_Order1" hidden="1">255</definedName>
    <definedName name="_Sort" localSheetId="6" hidden="1">[1]Sheet1!$G$40:$K$40</definedName>
    <definedName name="_Sort" hidden="1">[2]Sheet1!$G$40:$K$40</definedName>
    <definedName name="CAfile">[3]Refs!$B$2</definedName>
    <definedName name="CArevReq">[3]Refs!$B$6</definedName>
    <definedName name="ClassRange1">[3]Refs!$B$3</definedName>
    <definedName name="ClassRange2">[3]Refs!$B$4</definedName>
    <definedName name="FolderPath">[3]Menu!$C$8</definedName>
    <definedName name="NewRevReq">[3]Refs!$B$8</definedName>
    <definedName name="PAGE11" localSheetId="6">#REF!</definedName>
    <definedName name="PAGE11">#REF!</definedName>
    <definedName name="PAGE2" localSheetId="6">[1]Sheet1!$A$1:$I$40</definedName>
    <definedName name="PAGE2">[2]Sheet1!$A$1:$I$40</definedName>
    <definedName name="PAGE3" localSheetId="6">#REF!</definedName>
    <definedName name="PAGE3">#REF!</definedName>
    <definedName name="PAGE4" localSheetId="6">#REF!</definedName>
    <definedName name="PAGE4">#REF!</definedName>
    <definedName name="PAGE7" localSheetId="6">#REF!</definedName>
    <definedName name="PAGE7">#REF!</definedName>
    <definedName name="PAGE9" localSheetId="6">#REF!</definedName>
    <definedName name="PAGE9">#REF!</definedName>
    <definedName name="_xlnm.Print_Area" localSheetId="5">'CDM Activity'!$A$1:$P$216</definedName>
    <definedName name="_xlnm.Print_Titles" localSheetId="1">'Purchased Power Model'!$1:$1</definedName>
    <definedName name="_xlnm.Print_Titles" localSheetId="3">'Rate Class Customer Model'!$1:$2</definedName>
    <definedName name="_xlnm.Print_Titles" localSheetId="4">'Rate Class Load Model'!$A:$A</definedName>
    <definedName name="_xlnm.Print_Titles" localSheetId="6">'Weather Analysis '!$A:$A</definedName>
    <definedName name="RevReqLookupKey">[3]Refs!$B$5</definedName>
    <definedName name="RevReqRange">[3]Refs!$B$7</definedName>
  </definedNames>
  <calcPr calcId="162913"/>
</workbook>
</file>

<file path=xl/calcChain.xml><?xml version="1.0" encoding="utf-8"?>
<calcChain xmlns="http://schemas.openxmlformats.org/spreadsheetml/2006/main">
  <c r="F27" i="9" l="1"/>
  <c r="Q40" i="9" l="1"/>
  <c r="R40" i="9"/>
  <c r="S40" i="9"/>
  <c r="T40" i="9"/>
  <c r="V40" i="9"/>
  <c r="W40" i="9"/>
  <c r="Q41" i="9"/>
  <c r="R41" i="9"/>
  <c r="S41" i="9"/>
  <c r="T41" i="9"/>
  <c r="V41" i="9"/>
  <c r="W41" i="9"/>
  <c r="Q42" i="9"/>
  <c r="R42" i="9"/>
  <c r="S42" i="9"/>
  <c r="T42" i="9"/>
  <c r="V42" i="9"/>
  <c r="W42" i="9"/>
  <c r="Q43" i="9"/>
  <c r="R43" i="9"/>
  <c r="S43" i="9"/>
  <c r="T43" i="9"/>
  <c r="V43" i="9"/>
  <c r="W43" i="9"/>
  <c r="Q44" i="9"/>
  <c r="R44" i="9"/>
  <c r="S44" i="9"/>
  <c r="T44" i="9"/>
  <c r="V44" i="9"/>
  <c r="W44" i="9"/>
  <c r="Q45" i="9"/>
  <c r="R45" i="9"/>
  <c r="S45" i="9"/>
  <c r="T45" i="9"/>
  <c r="V45" i="9"/>
  <c r="W45" i="9"/>
  <c r="Q46" i="9"/>
  <c r="R46" i="9"/>
  <c r="S46" i="9"/>
  <c r="T46" i="9"/>
  <c r="V46" i="9"/>
  <c r="W46" i="9"/>
  <c r="Q47" i="9"/>
  <c r="R47" i="9"/>
  <c r="S47" i="9"/>
  <c r="T47" i="9"/>
  <c r="V47" i="9"/>
  <c r="W47" i="9"/>
  <c r="X47" i="9"/>
  <c r="Q48" i="9"/>
  <c r="R48" i="9"/>
  <c r="S48" i="9"/>
  <c r="T48" i="9"/>
  <c r="U48" i="9"/>
  <c r="V48" i="9"/>
  <c r="W48" i="9"/>
  <c r="X48" i="9"/>
  <c r="Q49" i="9"/>
  <c r="R49" i="9"/>
  <c r="S49" i="9"/>
  <c r="T49" i="9"/>
  <c r="U49" i="9"/>
  <c r="V49" i="9"/>
  <c r="W49" i="9"/>
  <c r="X49" i="9"/>
  <c r="Q50" i="9"/>
  <c r="R50" i="9"/>
  <c r="S50" i="9"/>
  <c r="T50" i="9"/>
  <c r="U50" i="9"/>
  <c r="V50" i="9"/>
  <c r="W50" i="9"/>
  <c r="X50" i="9"/>
  <c r="Q51" i="9"/>
  <c r="R51" i="9"/>
  <c r="S51" i="9"/>
  <c r="T51" i="9"/>
  <c r="U51" i="9"/>
  <c r="V51" i="9"/>
  <c r="W51" i="9"/>
  <c r="X51" i="9"/>
  <c r="Q52" i="9"/>
  <c r="R52" i="9"/>
  <c r="S52" i="9"/>
  <c r="T52" i="9"/>
  <c r="U52" i="9"/>
  <c r="V52" i="9"/>
  <c r="W52" i="9"/>
  <c r="X52" i="9"/>
  <c r="Q53" i="9"/>
  <c r="R53" i="9"/>
  <c r="S53" i="9"/>
  <c r="T53" i="9"/>
  <c r="U53" i="9"/>
  <c r="V53" i="9"/>
  <c r="W53" i="9"/>
  <c r="X53" i="9"/>
  <c r="Q54" i="9"/>
  <c r="R54" i="9"/>
  <c r="S54" i="9"/>
  <c r="T54" i="9"/>
  <c r="U54" i="9"/>
  <c r="V54" i="9"/>
  <c r="W54" i="9"/>
  <c r="X54" i="9"/>
  <c r="Q55" i="9"/>
  <c r="R55" i="9"/>
  <c r="S55" i="9"/>
  <c r="T55" i="9"/>
  <c r="U55" i="9"/>
  <c r="V55" i="9"/>
  <c r="W55" i="9"/>
  <c r="X55" i="9"/>
  <c r="R39" i="9"/>
  <c r="S39" i="9"/>
  <c r="T39" i="9"/>
  <c r="V39" i="9"/>
  <c r="W39" i="9"/>
  <c r="Q39" i="9"/>
  <c r="H56" i="9"/>
  <c r="L82" i="17" l="1"/>
  <c r="L81" i="17"/>
  <c r="W21" i="18" l="1"/>
  <c r="W20" i="18"/>
  <c r="W19" i="18"/>
  <c r="W18" i="18"/>
  <c r="W17" i="18"/>
  <c r="W16" i="18"/>
  <c r="W15" i="18"/>
  <c r="W14" i="18"/>
  <c r="W13" i="18"/>
  <c r="W12" i="18"/>
  <c r="W11" i="18"/>
  <c r="W10" i="18"/>
  <c r="W9" i="18"/>
  <c r="W8" i="18"/>
  <c r="W7" i="18"/>
  <c r="W6" i="18"/>
  <c r="W5" i="18"/>
  <c r="O6" i="18"/>
  <c r="O7" i="18"/>
  <c r="O8" i="18"/>
  <c r="O9" i="18"/>
  <c r="O10" i="18"/>
  <c r="O11" i="18"/>
  <c r="O12" i="18"/>
  <c r="O13" i="18"/>
  <c r="O14" i="18"/>
  <c r="O15" i="18"/>
  <c r="O16" i="18"/>
  <c r="O17" i="18"/>
  <c r="O18" i="18"/>
  <c r="O19" i="18"/>
  <c r="O20" i="18"/>
  <c r="O21" i="18"/>
  <c r="O5" i="18"/>
  <c r="V21" i="18" l="1"/>
  <c r="V20" i="18"/>
  <c r="V19" i="18"/>
  <c r="V18" i="18"/>
  <c r="V17" i="18"/>
  <c r="V16" i="18"/>
  <c r="V15" i="18"/>
  <c r="V14" i="18"/>
  <c r="V13" i="18"/>
  <c r="V12" i="18"/>
  <c r="V11" i="18"/>
  <c r="V10" i="18"/>
  <c r="V9" i="18"/>
  <c r="V8" i="18"/>
  <c r="V7" i="18"/>
  <c r="V6" i="18"/>
  <c r="V5" i="18"/>
  <c r="AK28" i="9"/>
  <c r="AJ28" i="9"/>
  <c r="AK27" i="9"/>
  <c r="AJ27" i="9"/>
  <c r="AK26" i="9"/>
  <c r="AJ26" i="9"/>
  <c r="AK25" i="9"/>
  <c r="AJ25" i="9"/>
  <c r="AK24" i="9"/>
  <c r="AJ24" i="9"/>
  <c r="AK23" i="9"/>
  <c r="AJ23" i="9"/>
  <c r="AK22" i="9"/>
  <c r="AJ22" i="9"/>
  <c r="AK21" i="9"/>
  <c r="AJ21" i="9"/>
  <c r="AK20" i="9"/>
  <c r="AJ20" i="9"/>
  <c r="AK19" i="9"/>
  <c r="AJ19" i="9"/>
  <c r="AK18" i="9"/>
  <c r="AJ18" i="9"/>
  <c r="AK17" i="9"/>
  <c r="AJ17" i="9"/>
  <c r="AK16" i="9"/>
  <c r="AJ16" i="9"/>
  <c r="AK15" i="9"/>
  <c r="AJ15" i="9"/>
  <c r="AK14" i="9"/>
  <c r="AJ14" i="9"/>
  <c r="AK13" i="9"/>
  <c r="AJ13" i="9"/>
  <c r="AK12" i="9"/>
  <c r="AJ12" i="9"/>
  <c r="N6" i="18" l="1"/>
  <c r="N7" i="18"/>
  <c r="N8" i="18"/>
  <c r="N9" i="18"/>
  <c r="N10" i="18"/>
  <c r="N11" i="18"/>
  <c r="N12" i="18"/>
  <c r="N13" i="18"/>
  <c r="N14" i="18"/>
  <c r="N15" i="18"/>
  <c r="N16" i="18"/>
  <c r="N17" i="18"/>
  <c r="N18" i="18"/>
  <c r="N19" i="18"/>
  <c r="N20" i="18"/>
  <c r="N21" i="18"/>
  <c r="N5" i="18"/>
  <c r="Z12" i="9"/>
  <c r="Z13" i="9"/>
  <c r="Z14" i="9"/>
  <c r="Z15" i="9"/>
  <c r="Z16" i="9"/>
  <c r="Z17" i="9"/>
  <c r="Z18" i="9"/>
  <c r="Z19" i="9"/>
  <c r="Z20" i="9"/>
  <c r="Z21" i="9"/>
  <c r="Z22" i="9"/>
  <c r="Z23" i="9"/>
  <c r="Z24" i="9"/>
  <c r="Z25" i="9"/>
  <c r="Z26" i="9"/>
  <c r="Z27" i="9"/>
  <c r="Z28" i="9"/>
  <c r="B51" i="17" l="1"/>
  <c r="B48" i="17"/>
  <c r="Y13" i="9" l="1"/>
  <c r="Y14" i="9"/>
  <c r="Y15" i="9"/>
  <c r="Y16" i="9"/>
  <c r="Y17" i="9"/>
  <c r="Y18" i="9"/>
  <c r="Y19" i="9"/>
  <c r="Y20" i="9"/>
  <c r="Y21" i="9"/>
  <c r="Y22" i="9"/>
  <c r="Y23" i="9"/>
  <c r="Y24" i="9"/>
  <c r="Y25" i="9"/>
  <c r="Y26" i="9"/>
  <c r="Y27" i="9"/>
  <c r="Y28" i="9"/>
  <c r="Y12" i="9"/>
  <c r="E28" i="18" l="1"/>
  <c r="E29" i="18"/>
  <c r="C51" i="17" l="1"/>
  <c r="I57" i="9"/>
  <c r="J57" i="9"/>
  <c r="K57" i="9"/>
  <c r="L57" i="9"/>
  <c r="M57" i="9"/>
  <c r="N57" i="9"/>
  <c r="O57" i="9"/>
  <c r="H57" i="9"/>
  <c r="F48" i="17" l="1"/>
  <c r="C48" i="17"/>
  <c r="O5" i="26" l="1"/>
  <c r="O4" i="26"/>
  <c r="M6" i="26"/>
  <c r="M5" i="26"/>
  <c r="N5" i="26"/>
  <c r="N4" i="26"/>
  <c r="U5" i="26" l="1"/>
  <c r="O6" i="26"/>
  <c r="N6" i="26"/>
  <c r="N7" i="26"/>
  <c r="N8" i="26"/>
  <c r="N9" i="26"/>
  <c r="N10" i="26"/>
  <c r="N11" i="26"/>
  <c r="N12" i="26"/>
  <c r="N13" i="26"/>
  <c r="N14" i="26"/>
  <c r="N15" i="26"/>
  <c r="N16" i="26"/>
  <c r="N17" i="26"/>
  <c r="N18" i="26"/>
  <c r="N19" i="26"/>
  <c r="M7" i="26"/>
  <c r="M8" i="26"/>
  <c r="M9" i="26"/>
  <c r="M10" i="26"/>
  <c r="M11" i="26"/>
  <c r="M12" i="26"/>
  <c r="M13" i="26"/>
  <c r="M14" i="26"/>
  <c r="M15" i="26"/>
  <c r="M16" i="26"/>
  <c r="M17" i="26"/>
  <c r="M18" i="26"/>
  <c r="M19" i="26"/>
  <c r="M4" i="26"/>
  <c r="K5" i="26"/>
  <c r="J6" i="26"/>
  <c r="J5" i="26"/>
  <c r="J4" i="26"/>
  <c r="B21" i="18" l="1"/>
  <c r="H81" i="9" l="1"/>
  <c r="B50" i="17" l="1"/>
  <c r="B49" i="17"/>
  <c r="AB6" i="32"/>
  <c r="AA6" i="32"/>
  <c r="H76" i="9" l="1"/>
  <c r="H79" i="9"/>
  <c r="O2" i="7" l="1"/>
  <c r="D81" i="17" l="1"/>
  <c r="G21" i="9"/>
  <c r="M21" i="9" l="1"/>
  <c r="G24" i="9" l="1"/>
  <c r="M22" i="9"/>
  <c r="G27" i="9" l="1"/>
  <c r="L74" i="17" l="1"/>
  <c r="L73" i="17" l="1"/>
  <c r="L75" i="17"/>
  <c r="L76" i="17"/>
  <c r="L77" i="17"/>
  <c r="L78" i="17"/>
  <c r="L79" i="17"/>
  <c r="L80" i="17"/>
  <c r="D80" i="17"/>
  <c r="B20" i="18" l="1"/>
  <c r="B19" i="18"/>
  <c r="B18" i="18"/>
  <c r="B14" i="18"/>
  <c r="B15" i="18"/>
  <c r="B16" i="18"/>
  <c r="B17" i="18"/>
  <c r="J27" i="9" l="1"/>
  <c r="J26" i="9"/>
  <c r="J25" i="9"/>
  <c r="J24" i="9"/>
  <c r="J23" i="9"/>
  <c r="G2" i="7" l="1"/>
  <c r="G288" i="7"/>
  <c r="G287" i="7"/>
  <c r="G286" i="7"/>
  <c r="G285" i="7"/>
  <c r="G284" i="7"/>
  <c r="G283" i="7"/>
  <c r="G282" i="7"/>
  <c r="G281" i="7"/>
  <c r="G280" i="7"/>
  <c r="G279" i="7"/>
  <c r="G278" i="7"/>
  <c r="G277" i="7"/>
  <c r="G276" i="7"/>
  <c r="G275" i="7"/>
  <c r="G274" i="7"/>
  <c r="G273" i="7"/>
  <c r="G272" i="7"/>
  <c r="G271" i="7"/>
  <c r="G270" i="7"/>
  <c r="G269" i="7"/>
  <c r="G268" i="7"/>
  <c r="G267" i="7"/>
  <c r="G339" i="7" s="1"/>
  <c r="G266" i="7"/>
  <c r="G265" i="7"/>
  <c r="G264" i="7"/>
  <c r="G263" i="7"/>
  <c r="G262" i="7"/>
  <c r="G261" i="7"/>
  <c r="G260" i="7"/>
  <c r="G259" i="7"/>
  <c r="G258" i="7"/>
  <c r="G257" i="7"/>
  <c r="G256" i="7"/>
  <c r="G255" i="7"/>
  <c r="G254" i="7"/>
  <c r="G253" i="7"/>
  <c r="G252" i="7"/>
  <c r="G251" i="7"/>
  <c r="G250" i="7"/>
  <c r="G249" i="7"/>
  <c r="G248" i="7"/>
  <c r="G247" i="7"/>
  <c r="G246" i="7"/>
  <c r="G245" i="7"/>
  <c r="G244" i="7"/>
  <c r="G243" i="7"/>
  <c r="G242" i="7"/>
  <c r="G241" i="7"/>
  <c r="G240" i="7"/>
  <c r="G239" i="7"/>
  <c r="G238" i="7"/>
  <c r="G237" i="7"/>
  <c r="G236" i="7"/>
  <c r="G235" i="7"/>
  <c r="G234" i="7"/>
  <c r="G233" i="7"/>
  <c r="G232" i="7"/>
  <c r="G231" i="7"/>
  <c r="G230" i="7"/>
  <c r="G229" i="7"/>
  <c r="G228" i="7"/>
  <c r="G227" i="7"/>
  <c r="G226" i="7"/>
  <c r="G225" i="7"/>
  <c r="G224" i="7"/>
  <c r="G223" i="7"/>
  <c r="G222" i="7"/>
  <c r="G221" i="7"/>
  <c r="G220" i="7"/>
  <c r="G219" i="7"/>
  <c r="G218" i="7"/>
  <c r="G217" i="7"/>
  <c r="G216" i="7"/>
  <c r="G215" i="7"/>
  <c r="G214" i="7"/>
  <c r="G213" i="7"/>
  <c r="G212" i="7"/>
  <c r="G211" i="7"/>
  <c r="G210" i="7"/>
  <c r="G209" i="7"/>
  <c r="G208" i="7"/>
  <c r="G207" i="7"/>
  <c r="G206" i="7"/>
  <c r="G205" i="7"/>
  <c r="G204" i="7"/>
  <c r="G203" i="7"/>
  <c r="G202" i="7"/>
  <c r="G201" i="7"/>
  <c r="G200" i="7"/>
  <c r="G199" i="7"/>
  <c r="G198" i="7"/>
  <c r="G197" i="7"/>
  <c r="G196" i="7"/>
  <c r="G195" i="7"/>
  <c r="G194" i="7"/>
  <c r="G193" i="7"/>
  <c r="G192" i="7"/>
  <c r="G191" i="7"/>
  <c r="G190" i="7"/>
  <c r="G189" i="7"/>
  <c r="G188" i="7"/>
  <c r="G187" i="7"/>
  <c r="G186" i="7"/>
  <c r="G185" i="7"/>
  <c r="G184" i="7"/>
  <c r="G183" i="7"/>
  <c r="G182" i="7"/>
  <c r="G181" i="7"/>
  <c r="G180" i="7"/>
  <c r="G179" i="7"/>
  <c r="G178" i="7"/>
  <c r="G177" i="7"/>
  <c r="G176" i="7"/>
  <c r="G175" i="7"/>
  <c r="G174" i="7"/>
  <c r="G173" i="7"/>
  <c r="G172" i="7"/>
  <c r="G171" i="7"/>
  <c r="G170" i="7"/>
  <c r="G169" i="7"/>
  <c r="G168" i="7"/>
  <c r="G167" i="7"/>
  <c r="G166" i="7"/>
  <c r="G165" i="7"/>
  <c r="G164" i="7"/>
  <c r="G163" i="7"/>
  <c r="G162" i="7"/>
  <c r="G161" i="7"/>
  <c r="G160" i="7"/>
  <c r="G159" i="7"/>
  <c r="G158" i="7"/>
  <c r="G157" i="7"/>
  <c r="G156" i="7"/>
  <c r="G155" i="7"/>
  <c r="G154" i="7"/>
  <c r="G153" i="7"/>
  <c r="G152" i="7"/>
  <c r="G151" i="7"/>
  <c r="G150" i="7"/>
  <c r="G149" i="7"/>
  <c r="G148" i="7"/>
  <c r="G147" i="7"/>
  <c r="G146" i="7"/>
  <c r="G145" i="7"/>
  <c r="G144" i="7"/>
  <c r="G143" i="7"/>
  <c r="G142" i="7"/>
  <c r="G141" i="7"/>
  <c r="G140" i="7"/>
  <c r="G139" i="7"/>
  <c r="G138" i="7"/>
  <c r="G137" i="7"/>
  <c r="G136" i="7"/>
  <c r="G135" i="7"/>
  <c r="G134" i="7"/>
  <c r="G133" i="7"/>
  <c r="G132" i="7"/>
  <c r="G131" i="7"/>
  <c r="G130" i="7"/>
  <c r="G129" i="7"/>
  <c r="G128" i="7"/>
  <c r="G127" i="7"/>
  <c r="G126" i="7"/>
  <c r="G125" i="7"/>
  <c r="G124" i="7"/>
  <c r="G123" i="7"/>
  <c r="G122" i="7"/>
  <c r="G121" i="7"/>
  <c r="G120" i="7"/>
  <c r="G119" i="7"/>
  <c r="G118" i="7"/>
  <c r="G117" i="7"/>
  <c r="G116" i="7"/>
  <c r="G115" i="7"/>
  <c r="G114" i="7"/>
  <c r="G113" i="7"/>
  <c r="G112" i="7"/>
  <c r="G111" i="7"/>
  <c r="G110" i="7"/>
  <c r="G109" i="7"/>
  <c r="G108" i="7"/>
  <c r="G107" i="7"/>
  <c r="G106" i="7"/>
  <c r="G105" i="7"/>
  <c r="G104" i="7"/>
  <c r="G103" i="7"/>
  <c r="G102" i="7"/>
  <c r="G101" i="7"/>
  <c r="G100" i="7"/>
  <c r="G99" i="7"/>
  <c r="G98" i="7"/>
  <c r="G97" i="7"/>
  <c r="G96" i="7"/>
  <c r="G95" i="7"/>
  <c r="G94" i="7"/>
  <c r="G93" i="7"/>
  <c r="G92" i="7"/>
  <c r="G91" i="7"/>
  <c r="G90" i="7"/>
  <c r="G89" i="7"/>
  <c r="G88" i="7"/>
  <c r="G87" i="7"/>
  <c r="G86" i="7"/>
  <c r="G85" i="7"/>
  <c r="G84" i="7"/>
  <c r="G83" i="7"/>
  <c r="G82" i="7"/>
  <c r="G81" i="7"/>
  <c r="G80" i="7"/>
  <c r="G79" i="7"/>
  <c r="G78" i="7"/>
  <c r="G77" i="7"/>
  <c r="G76" i="7"/>
  <c r="G75" i="7"/>
  <c r="G74" i="7"/>
  <c r="G73" i="7"/>
  <c r="G72" i="7"/>
  <c r="G71" i="7"/>
  <c r="G70" i="7"/>
  <c r="G69" i="7"/>
  <c r="G68" i="7"/>
  <c r="G67" i="7"/>
  <c r="G66" i="7"/>
  <c r="G65" i="7"/>
  <c r="G64" i="7"/>
  <c r="G63" i="7"/>
  <c r="G62" i="7"/>
  <c r="G61" i="7"/>
  <c r="G60" i="7"/>
  <c r="G59" i="7"/>
  <c r="G58" i="7"/>
  <c r="G57" i="7"/>
  <c r="G56" i="7"/>
  <c r="G55" i="7"/>
  <c r="G54" i="7"/>
  <c r="G53" i="7"/>
  <c r="G52" i="7"/>
  <c r="G51" i="7"/>
  <c r="G50" i="7"/>
  <c r="G49" i="7"/>
  <c r="G48" i="7"/>
  <c r="G47" i="7"/>
  <c r="G46" i="7"/>
  <c r="G45" i="7"/>
  <c r="G44" i="7"/>
  <c r="G43" i="7"/>
  <c r="G42" i="7"/>
  <c r="G41" i="7"/>
  <c r="G40" i="7"/>
  <c r="G39" i="7"/>
  <c r="G38" i="7"/>
  <c r="G37" i="7"/>
  <c r="G36" i="7"/>
  <c r="G35" i="7"/>
  <c r="G34" i="7"/>
  <c r="G33" i="7"/>
  <c r="G32" i="7"/>
  <c r="G31" i="7"/>
  <c r="G30" i="7"/>
  <c r="G29" i="7"/>
  <c r="G28" i="7"/>
  <c r="G27" i="7"/>
  <c r="G26" i="7"/>
  <c r="G25" i="7"/>
  <c r="G24" i="7"/>
  <c r="G23" i="7"/>
  <c r="G22" i="7"/>
  <c r="G21" i="7"/>
  <c r="G20" i="7"/>
  <c r="G19" i="7"/>
  <c r="G18" i="7"/>
  <c r="G17" i="7"/>
  <c r="G16" i="7"/>
  <c r="G15" i="7"/>
  <c r="G14" i="7"/>
  <c r="G13" i="7"/>
  <c r="G12" i="7"/>
  <c r="G11" i="7"/>
  <c r="G10" i="7"/>
  <c r="G9" i="7"/>
  <c r="G8" i="7"/>
  <c r="G7" i="7"/>
  <c r="G6" i="7"/>
  <c r="G5" i="7"/>
  <c r="G4" i="7"/>
  <c r="G3" i="7"/>
  <c r="G289" i="7"/>
  <c r="B27" i="9" l="1"/>
  <c r="H51" i="17" l="1"/>
  <c r="B44" i="17"/>
  <c r="B21" i="17"/>
  <c r="B43" i="17"/>
  <c r="O70" i="9" l="1"/>
  <c r="O121" i="7" l="1"/>
  <c r="O120" i="7"/>
  <c r="O119" i="7"/>
  <c r="O118" i="7"/>
  <c r="O117" i="7"/>
  <c r="O116" i="7"/>
  <c r="O115" i="7"/>
  <c r="O114" i="7"/>
  <c r="O113" i="7"/>
  <c r="O112" i="7"/>
  <c r="O111" i="7"/>
  <c r="O110" i="7"/>
  <c r="O109" i="7"/>
  <c r="O108" i="7"/>
  <c r="O107" i="7"/>
  <c r="O106" i="7"/>
  <c r="O105" i="7"/>
  <c r="O104" i="7"/>
  <c r="O103" i="7"/>
  <c r="O102" i="7"/>
  <c r="O101" i="7"/>
  <c r="O100" i="7"/>
  <c r="O99" i="7"/>
  <c r="O98" i="7"/>
  <c r="O97" i="7"/>
  <c r="O96" i="7"/>
  <c r="O95" i="7"/>
  <c r="O94" i="7"/>
  <c r="O93" i="7"/>
  <c r="O92" i="7"/>
  <c r="O91" i="7"/>
  <c r="O90" i="7"/>
  <c r="O89" i="7"/>
  <c r="O88" i="7"/>
  <c r="O87" i="7"/>
  <c r="O86" i="7"/>
  <c r="O85" i="7"/>
  <c r="O84" i="7"/>
  <c r="O83" i="7"/>
  <c r="O82" i="7"/>
  <c r="O81" i="7"/>
  <c r="O80" i="7"/>
  <c r="O79" i="7"/>
  <c r="O78" i="7"/>
  <c r="O77" i="7"/>
  <c r="O76" i="7"/>
  <c r="O75" i="7"/>
  <c r="O74" i="7"/>
  <c r="O73" i="7"/>
  <c r="O72" i="7"/>
  <c r="O71" i="7"/>
  <c r="O70" i="7"/>
  <c r="O69" i="7"/>
  <c r="O68" i="7"/>
  <c r="O67" i="7"/>
  <c r="O66" i="7"/>
  <c r="O65" i="7"/>
  <c r="O64" i="7"/>
  <c r="O63" i="7"/>
  <c r="O62" i="7"/>
  <c r="O61" i="7"/>
  <c r="O60" i="7"/>
  <c r="O59" i="7"/>
  <c r="O58" i="7"/>
  <c r="O57" i="7"/>
  <c r="O56" i="7"/>
  <c r="O55" i="7"/>
  <c r="O54" i="7"/>
  <c r="O53" i="7"/>
  <c r="O52" i="7"/>
  <c r="O51" i="7"/>
  <c r="O50" i="7"/>
  <c r="O49" i="7"/>
  <c r="O48" i="7"/>
  <c r="O47" i="7"/>
  <c r="O46" i="7"/>
  <c r="O45" i="7"/>
  <c r="O44" i="7"/>
  <c r="O43" i="7"/>
  <c r="O42" i="7"/>
  <c r="O41" i="7"/>
  <c r="O40" i="7"/>
  <c r="O39" i="7"/>
  <c r="O38" i="7"/>
  <c r="O37" i="7"/>
  <c r="O36" i="7"/>
  <c r="O35" i="7"/>
  <c r="O34" i="7"/>
  <c r="O33" i="7"/>
  <c r="O32" i="7"/>
  <c r="O31" i="7"/>
  <c r="O30" i="7"/>
  <c r="O29" i="7"/>
  <c r="O28" i="7"/>
  <c r="O27" i="7"/>
  <c r="O26" i="7"/>
  <c r="O25" i="7"/>
  <c r="O24" i="7"/>
  <c r="O23" i="7"/>
  <c r="O22" i="7"/>
  <c r="O21" i="7"/>
  <c r="O20" i="7"/>
  <c r="O19" i="7"/>
  <c r="O18" i="7"/>
  <c r="O17" i="7"/>
  <c r="O16" i="7"/>
  <c r="O15" i="7"/>
  <c r="O14" i="7"/>
  <c r="O13" i="7"/>
  <c r="O12" i="7"/>
  <c r="O11" i="7"/>
  <c r="O10" i="7"/>
  <c r="O9" i="7"/>
  <c r="O8" i="7"/>
  <c r="O7" i="7"/>
  <c r="O6" i="7"/>
  <c r="O5" i="7"/>
  <c r="O4" i="7"/>
  <c r="O3" i="7"/>
  <c r="I20" i="26" l="1"/>
  <c r="H20" i="26"/>
  <c r="G20" i="26"/>
  <c r="F20" i="26"/>
  <c r="E20" i="26"/>
  <c r="D20" i="26"/>
  <c r="C20" i="26"/>
  <c r="B20" i="26"/>
  <c r="J19" i="26"/>
  <c r="J18" i="26"/>
  <c r="J17" i="26"/>
  <c r="J16" i="26"/>
  <c r="Y15" i="26"/>
  <c r="J15" i="26"/>
  <c r="J14" i="26"/>
  <c r="J13" i="26"/>
  <c r="J12" i="26"/>
  <c r="J11" i="26"/>
  <c r="J10" i="26"/>
  <c r="J9" i="26"/>
  <c r="J8" i="26"/>
  <c r="J7" i="26"/>
  <c r="K4" i="26"/>
  <c r="J20" i="26"/>
  <c r="L4" i="26" l="1"/>
  <c r="K24" i="26" s="1"/>
  <c r="K25" i="26" s="1"/>
  <c r="K26" i="26" s="1"/>
  <c r="K27" i="26" s="1"/>
  <c r="K28" i="26" s="1"/>
  <c r="K29" i="26" s="1"/>
  <c r="K30" i="26" s="1"/>
  <c r="K31" i="26" s="1"/>
  <c r="K32" i="26" s="1"/>
  <c r="K33" i="26" s="1"/>
  <c r="K34" i="26" s="1"/>
  <c r="K35" i="26" s="1"/>
  <c r="M35" i="26" l="1"/>
  <c r="P4" i="26"/>
  <c r="L35" i="26"/>
  <c r="L64" i="17"/>
  <c r="L65" i="17"/>
  <c r="L66" i="17"/>
  <c r="L67" i="17"/>
  <c r="L68" i="17"/>
  <c r="L69" i="17"/>
  <c r="L70" i="17"/>
  <c r="L71" i="17"/>
  <c r="L72" i="17"/>
  <c r="L63" i="17"/>
  <c r="R4" i="26" l="1"/>
  <c r="S4" i="26" s="1"/>
  <c r="N24" i="26"/>
  <c r="L5" i="26"/>
  <c r="K36" i="26" s="1"/>
  <c r="N122" i="7" l="1"/>
  <c r="O122" i="7" s="1"/>
  <c r="K37" i="26"/>
  <c r="K38" i="26" s="1"/>
  <c r="K39" i="26" s="1"/>
  <c r="K40" i="26" s="1"/>
  <c r="K41" i="26" s="1"/>
  <c r="K42" i="26" s="1"/>
  <c r="K43" i="26" s="1"/>
  <c r="K44" i="26" s="1"/>
  <c r="K45" i="26" s="1"/>
  <c r="K46" i="26" s="1"/>
  <c r="K47" i="26" s="1"/>
  <c r="N25" i="26"/>
  <c r="N26" i="26" l="1"/>
  <c r="N123" i="7"/>
  <c r="O123" i="7" s="1"/>
  <c r="M47" i="26"/>
  <c r="K6" i="26" s="1"/>
  <c r="L47" i="26"/>
  <c r="R5" i="26" s="1"/>
  <c r="S5" i="26" s="1"/>
  <c r="N27" i="26" l="1"/>
  <c r="N124" i="7"/>
  <c r="O124" i="7" s="1"/>
  <c r="L6" i="26"/>
  <c r="K48" i="26" s="1"/>
  <c r="P119" i="7"/>
  <c r="Q119" i="7" s="1"/>
  <c r="R119" i="7" s="1"/>
  <c r="P118" i="7"/>
  <c r="Q118" i="7" s="1"/>
  <c r="R118" i="7" s="1"/>
  <c r="P115" i="7"/>
  <c r="Q115" i="7" s="1"/>
  <c r="R115" i="7" s="1"/>
  <c r="P114" i="7"/>
  <c r="Q114" i="7" s="1"/>
  <c r="R114" i="7" s="1"/>
  <c r="P111" i="7"/>
  <c r="Q111" i="7" s="1"/>
  <c r="R111" i="7" s="1"/>
  <c r="P110" i="7"/>
  <c r="Q110" i="7" s="1"/>
  <c r="R110" i="7" s="1"/>
  <c r="P107" i="7"/>
  <c r="Q107" i="7" s="1"/>
  <c r="R107" i="7" s="1"/>
  <c r="P106" i="7"/>
  <c r="Q106" i="7" s="1"/>
  <c r="R106" i="7" s="1"/>
  <c r="P103" i="7"/>
  <c r="Q103" i="7" s="1"/>
  <c r="R103" i="7" s="1"/>
  <c r="P102" i="7"/>
  <c r="Q102" i="7" s="1"/>
  <c r="R102" i="7" s="1"/>
  <c r="P99" i="7"/>
  <c r="Q99" i="7" s="1"/>
  <c r="R99" i="7" s="1"/>
  <c r="P98" i="7"/>
  <c r="Q98" i="7" s="1"/>
  <c r="R98" i="7" s="1"/>
  <c r="P95" i="7"/>
  <c r="Q95" i="7" s="1"/>
  <c r="R95" i="7" s="1"/>
  <c r="P94" i="7"/>
  <c r="Q94" i="7" s="1"/>
  <c r="R94" i="7" s="1"/>
  <c r="P91" i="7"/>
  <c r="Q91" i="7" s="1"/>
  <c r="R91" i="7" s="1"/>
  <c r="P90" i="7"/>
  <c r="Q90" i="7" s="1"/>
  <c r="R90" i="7" s="1"/>
  <c r="P87" i="7"/>
  <c r="Q87" i="7" s="1"/>
  <c r="R87" i="7" s="1"/>
  <c r="P86" i="7"/>
  <c r="Q86" i="7" s="1"/>
  <c r="R86" i="7" s="1"/>
  <c r="P83" i="7"/>
  <c r="Q83" i="7" s="1"/>
  <c r="R83" i="7" s="1"/>
  <c r="P82" i="7"/>
  <c r="Q82" i="7" s="1"/>
  <c r="R82" i="7" s="1"/>
  <c r="P79" i="7"/>
  <c r="Q79" i="7" s="1"/>
  <c r="R79" i="7" s="1"/>
  <c r="P78" i="7"/>
  <c r="Q78" i="7" s="1"/>
  <c r="R78" i="7" s="1"/>
  <c r="P75" i="7"/>
  <c r="Q75" i="7" s="1"/>
  <c r="R75" i="7" s="1"/>
  <c r="P74" i="7"/>
  <c r="Q74" i="7" s="1"/>
  <c r="R74" i="7" s="1"/>
  <c r="P71" i="7"/>
  <c r="Q71" i="7" s="1"/>
  <c r="R71" i="7" s="1"/>
  <c r="P70" i="7"/>
  <c r="Q70" i="7" s="1"/>
  <c r="R70" i="7" s="1"/>
  <c r="P69" i="7"/>
  <c r="Q69" i="7" s="1"/>
  <c r="R69" i="7" s="1"/>
  <c r="P65" i="7"/>
  <c r="Q65" i="7" s="1"/>
  <c r="R65" i="7" s="1"/>
  <c r="P61" i="7"/>
  <c r="Q61" i="7" s="1"/>
  <c r="R61" i="7" s="1"/>
  <c r="P58" i="7"/>
  <c r="Q58" i="7" s="1"/>
  <c r="R58" i="7" s="1"/>
  <c r="P57" i="7"/>
  <c r="Q57" i="7" s="1"/>
  <c r="R57" i="7" s="1"/>
  <c r="P54" i="7"/>
  <c r="Q54" i="7" s="1"/>
  <c r="R54" i="7" s="1"/>
  <c r="P53" i="7"/>
  <c r="Q53" i="7" s="1"/>
  <c r="R53" i="7" s="1"/>
  <c r="P50" i="7"/>
  <c r="Q50" i="7" s="1"/>
  <c r="R50" i="7" s="1"/>
  <c r="P49" i="7"/>
  <c r="Q49" i="7" s="1"/>
  <c r="R49" i="7" s="1"/>
  <c r="P45" i="7"/>
  <c r="Q45" i="7" s="1"/>
  <c r="R45" i="7" s="1"/>
  <c r="P41" i="7"/>
  <c r="Q41" i="7" s="1"/>
  <c r="R41" i="7" s="1"/>
  <c r="P38" i="7"/>
  <c r="Q38" i="7" s="1"/>
  <c r="R38" i="7" s="1"/>
  <c r="P37" i="7"/>
  <c r="Q37" i="7" s="1"/>
  <c r="R37" i="7" s="1"/>
  <c r="P34" i="7"/>
  <c r="Q34" i="7" s="1"/>
  <c r="R34" i="7" s="1"/>
  <c r="P33" i="7"/>
  <c r="Q33" i="7" s="1"/>
  <c r="R33" i="7" s="1"/>
  <c r="P29" i="7"/>
  <c r="Q29" i="7" s="1"/>
  <c r="R29" i="7" s="1"/>
  <c r="P26" i="7"/>
  <c r="Q26" i="7" s="1"/>
  <c r="R26" i="7" s="1"/>
  <c r="P25" i="7"/>
  <c r="Q25" i="7" s="1"/>
  <c r="R25" i="7" s="1"/>
  <c r="P21" i="7"/>
  <c r="Q21" i="7" s="1"/>
  <c r="R21" i="7" s="1"/>
  <c r="P17" i="7"/>
  <c r="Q17" i="7" s="1"/>
  <c r="R17" i="7" s="1"/>
  <c r="P13" i="7"/>
  <c r="Q13" i="7" s="1"/>
  <c r="R13" i="7" s="1"/>
  <c r="B29" i="9"/>
  <c r="B30" i="9"/>
  <c r="N28" i="26" l="1"/>
  <c r="N125" i="7"/>
  <c r="O125" i="7" s="1"/>
  <c r="K49" i="26"/>
  <c r="K50" i="26" s="1"/>
  <c r="K51" i="26" s="1"/>
  <c r="K52" i="26" s="1"/>
  <c r="K53" i="26" s="1"/>
  <c r="K54" i="26" s="1"/>
  <c r="K55" i="26" s="1"/>
  <c r="K56" i="26" s="1"/>
  <c r="K57" i="26" s="1"/>
  <c r="K58" i="26" s="1"/>
  <c r="K59" i="26" s="1"/>
  <c r="P3" i="7"/>
  <c r="Q3" i="7" s="1"/>
  <c r="R3" i="7" s="1"/>
  <c r="P8" i="7"/>
  <c r="Q8" i="7" s="1"/>
  <c r="R8" i="7" s="1"/>
  <c r="P88" i="7"/>
  <c r="Q88" i="7" s="1"/>
  <c r="R88" i="7" s="1"/>
  <c r="P101" i="7"/>
  <c r="Q101" i="7" s="1"/>
  <c r="R101" i="7" s="1"/>
  <c r="P120" i="7"/>
  <c r="Q120" i="7" s="1"/>
  <c r="R120" i="7" s="1"/>
  <c r="P4" i="7"/>
  <c r="Q4" i="7" s="1"/>
  <c r="R4" i="7" s="1"/>
  <c r="P9" i="7"/>
  <c r="Q9" i="7" s="1"/>
  <c r="R9" i="7" s="1"/>
  <c r="P16" i="7"/>
  <c r="Q16" i="7" s="1"/>
  <c r="R16" i="7" s="1"/>
  <c r="P24" i="7"/>
  <c r="Q24" i="7" s="1"/>
  <c r="R24" i="7" s="1"/>
  <c r="P32" i="7"/>
  <c r="Q32" i="7" s="1"/>
  <c r="R32" i="7" s="1"/>
  <c r="P40" i="7"/>
  <c r="Q40" i="7" s="1"/>
  <c r="R40" i="7" s="1"/>
  <c r="P48" i="7"/>
  <c r="Q48" i="7" s="1"/>
  <c r="R48" i="7" s="1"/>
  <c r="P56" i="7"/>
  <c r="Q56" i="7" s="1"/>
  <c r="R56" i="7" s="1"/>
  <c r="P64" i="7"/>
  <c r="Q64" i="7" s="1"/>
  <c r="R64" i="7" s="1"/>
  <c r="P80" i="7"/>
  <c r="Q80" i="7" s="1"/>
  <c r="R80" i="7" s="1"/>
  <c r="P93" i="7"/>
  <c r="Q93" i="7" s="1"/>
  <c r="R93" i="7" s="1"/>
  <c r="P112" i="7"/>
  <c r="Q112" i="7" s="1"/>
  <c r="R112" i="7" s="1"/>
  <c r="P5" i="7"/>
  <c r="Q5" i="7" s="1"/>
  <c r="R5" i="7" s="1"/>
  <c r="P11" i="7"/>
  <c r="Q11" i="7" s="1"/>
  <c r="R11" i="7" s="1"/>
  <c r="P72" i="7"/>
  <c r="Q72" i="7" s="1"/>
  <c r="R72" i="7" s="1"/>
  <c r="P85" i="7"/>
  <c r="Q85" i="7" s="1"/>
  <c r="R85" i="7" s="1"/>
  <c r="P104" i="7"/>
  <c r="Q104" i="7" s="1"/>
  <c r="R104" i="7" s="1"/>
  <c r="P117" i="7"/>
  <c r="Q117" i="7" s="1"/>
  <c r="R117" i="7" s="1"/>
  <c r="P7" i="7"/>
  <c r="Q7" i="7" s="1"/>
  <c r="R7" i="7" s="1"/>
  <c r="P12" i="7"/>
  <c r="Q12" i="7" s="1"/>
  <c r="R12" i="7" s="1"/>
  <c r="P20" i="7"/>
  <c r="Q20" i="7" s="1"/>
  <c r="R20" i="7" s="1"/>
  <c r="P28" i="7"/>
  <c r="Q28" i="7" s="1"/>
  <c r="R28" i="7" s="1"/>
  <c r="P36" i="7"/>
  <c r="Q36" i="7" s="1"/>
  <c r="R36" i="7" s="1"/>
  <c r="P44" i="7"/>
  <c r="Q44" i="7" s="1"/>
  <c r="R44" i="7" s="1"/>
  <c r="P52" i="7"/>
  <c r="Q52" i="7" s="1"/>
  <c r="R52" i="7" s="1"/>
  <c r="P60" i="7"/>
  <c r="Q60" i="7" s="1"/>
  <c r="R60" i="7" s="1"/>
  <c r="P68" i="7"/>
  <c r="Q68" i="7" s="1"/>
  <c r="R68" i="7" s="1"/>
  <c r="P77" i="7"/>
  <c r="Q77" i="7" s="1"/>
  <c r="R77" i="7" s="1"/>
  <c r="P96" i="7"/>
  <c r="Q96" i="7" s="1"/>
  <c r="R96" i="7" s="1"/>
  <c r="P109" i="7"/>
  <c r="Q109" i="7" s="1"/>
  <c r="R109" i="7" s="1"/>
  <c r="P6" i="7"/>
  <c r="Q6" i="7" s="1"/>
  <c r="R6" i="7" s="1"/>
  <c r="P10" i="7"/>
  <c r="Q10" i="7" s="1"/>
  <c r="R10" i="7" s="1"/>
  <c r="P43" i="7"/>
  <c r="Q43" i="7" s="1"/>
  <c r="R43" i="7" s="1"/>
  <c r="P67" i="7"/>
  <c r="Q67" i="7" s="1"/>
  <c r="R67" i="7" s="1"/>
  <c r="P14" i="7"/>
  <c r="Q14" i="7" s="1"/>
  <c r="R14" i="7" s="1"/>
  <c r="P18" i="7"/>
  <c r="Q18" i="7" s="1"/>
  <c r="R18" i="7" s="1"/>
  <c r="P22" i="7"/>
  <c r="Q22" i="7" s="1"/>
  <c r="R22" i="7" s="1"/>
  <c r="P30" i="7"/>
  <c r="Q30" i="7" s="1"/>
  <c r="R30" i="7" s="1"/>
  <c r="P42" i="7"/>
  <c r="Q42" i="7" s="1"/>
  <c r="R42" i="7" s="1"/>
  <c r="P46" i="7"/>
  <c r="Q46" i="7" s="1"/>
  <c r="R46" i="7" s="1"/>
  <c r="P62" i="7"/>
  <c r="Q62" i="7" s="1"/>
  <c r="R62" i="7" s="1"/>
  <c r="P66" i="7"/>
  <c r="Q66" i="7" s="1"/>
  <c r="R66" i="7" s="1"/>
  <c r="P73" i="7"/>
  <c r="Q73" i="7" s="1"/>
  <c r="R73" i="7" s="1"/>
  <c r="P81" i="7"/>
  <c r="Q81" i="7" s="1"/>
  <c r="R81" i="7" s="1"/>
  <c r="P89" i="7"/>
  <c r="Q89" i="7" s="1"/>
  <c r="R89" i="7" s="1"/>
  <c r="P97" i="7"/>
  <c r="Q97" i="7" s="1"/>
  <c r="R97" i="7" s="1"/>
  <c r="P105" i="7"/>
  <c r="Q105" i="7" s="1"/>
  <c r="R105" i="7" s="1"/>
  <c r="P113" i="7"/>
  <c r="Q113" i="7" s="1"/>
  <c r="R113" i="7" s="1"/>
  <c r="P121" i="7"/>
  <c r="Q121" i="7" s="1"/>
  <c r="R121" i="7" s="1"/>
  <c r="P2" i="7"/>
  <c r="Q2" i="7" s="1"/>
  <c r="R2" i="7" s="1"/>
  <c r="P15" i="7"/>
  <c r="Q15" i="7" s="1"/>
  <c r="R15" i="7" s="1"/>
  <c r="P19" i="7"/>
  <c r="Q19" i="7" s="1"/>
  <c r="R19" i="7" s="1"/>
  <c r="P23" i="7"/>
  <c r="Q23" i="7" s="1"/>
  <c r="R23" i="7" s="1"/>
  <c r="P27" i="7"/>
  <c r="Q27" i="7" s="1"/>
  <c r="R27" i="7" s="1"/>
  <c r="P31" i="7"/>
  <c r="Q31" i="7" s="1"/>
  <c r="R31" i="7" s="1"/>
  <c r="P35" i="7"/>
  <c r="Q35" i="7" s="1"/>
  <c r="R35" i="7" s="1"/>
  <c r="P39" i="7"/>
  <c r="Q39" i="7" s="1"/>
  <c r="R39" i="7" s="1"/>
  <c r="P47" i="7"/>
  <c r="Q47" i="7" s="1"/>
  <c r="R47" i="7" s="1"/>
  <c r="P51" i="7"/>
  <c r="Q51" i="7" s="1"/>
  <c r="R51" i="7" s="1"/>
  <c r="P55" i="7"/>
  <c r="Q55" i="7" s="1"/>
  <c r="R55" i="7" s="1"/>
  <c r="P59" i="7"/>
  <c r="Q59" i="7" s="1"/>
  <c r="R59" i="7" s="1"/>
  <c r="P63" i="7"/>
  <c r="Q63" i="7" s="1"/>
  <c r="R63" i="7" s="1"/>
  <c r="P76" i="7"/>
  <c r="Q76" i="7" s="1"/>
  <c r="R76" i="7" s="1"/>
  <c r="P84" i="7"/>
  <c r="Q84" i="7" s="1"/>
  <c r="R84" i="7" s="1"/>
  <c r="P92" i="7"/>
  <c r="Q92" i="7" s="1"/>
  <c r="R92" i="7" s="1"/>
  <c r="P100" i="7"/>
  <c r="Q100" i="7" s="1"/>
  <c r="R100" i="7" s="1"/>
  <c r="P108" i="7"/>
  <c r="Q108" i="7" s="1"/>
  <c r="R108" i="7" s="1"/>
  <c r="P116" i="7"/>
  <c r="Q116" i="7" s="1"/>
  <c r="R116" i="7" s="1"/>
  <c r="N29" i="26" l="1"/>
  <c r="N126" i="7"/>
  <c r="O126" i="7" s="1"/>
  <c r="M59" i="26"/>
  <c r="K7" i="26" s="1"/>
  <c r="L59" i="26"/>
  <c r="R6" i="26" s="1"/>
  <c r="S6" i="26" s="1"/>
  <c r="N30" i="26" l="1"/>
  <c r="N127" i="7"/>
  <c r="O127" i="7" s="1"/>
  <c r="L7" i="26"/>
  <c r="K60" i="26" s="1"/>
  <c r="D44" i="18"/>
  <c r="D40" i="18"/>
  <c r="D41" i="18"/>
  <c r="D42" i="18"/>
  <c r="D43" i="18"/>
  <c r="N31" i="26" l="1"/>
  <c r="N128" i="7"/>
  <c r="O128" i="7" s="1"/>
  <c r="D47" i="18"/>
  <c r="D49" i="18"/>
  <c r="K61" i="26"/>
  <c r="K62" i="26" s="1"/>
  <c r="K63" i="26" s="1"/>
  <c r="K64" i="26" s="1"/>
  <c r="K65" i="26" s="1"/>
  <c r="K66" i="26" s="1"/>
  <c r="K67" i="26" s="1"/>
  <c r="K68" i="26" s="1"/>
  <c r="K69" i="26" s="1"/>
  <c r="K70" i="26" s="1"/>
  <c r="K71" i="26" s="1"/>
  <c r="B26" i="11" a="1"/>
  <c r="B26" i="11" s="1"/>
  <c r="N32" i="26" l="1"/>
  <c r="N129" i="7"/>
  <c r="O129" i="7" s="1"/>
  <c r="M71" i="26"/>
  <c r="K8" i="26" s="1"/>
  <c r="L71" i="26"/>
  <c r="R7" i="26" s="1"/>
  <c r="S7" i="26" s="1"/>
  <c r="I26" i="11"/>
  <c r="Q26" i="11"/>
  <c r="M26" i="11"/>
  <c r="E26" i="11"/>
  <c r="P26" i="11"/>
  <c r="L26" i="11"/>
  <c r="H26" i="11"/>
  <c r="D26" i="11"/>
  <c r="O26" i="11"/>
  <c r="K26" i="11"/>
  <c r="G26" i="11"/>
  <c r="C26" i="11"/>
  <c r="R26" i="11"/>
  <c r="N26" i="11"/>
  <c r="J26" i="11"/>
  <c r="F26" i="11"/>
  <c r="N33" i="26" l="1"/>
  <c r="N130" i="7"/>
  <c r="O130" i="7" s="1"/>
  <c r="L8" i="26"/>
  <c r="K72" i="26" s="1"/>
  <c r="I80" i="17"/>
  <c r="F80" i="17"/>
  <c r="F81" i="17" s="1"/>
  <c r="F82" i="17" s="1"/>
  <c r="E80" i="17"/>
  <c r="N34" i="26" l="1"/>
  <c r="N131" i="7"/>
  <c r="O131" i="7" s="1"/>
  <c r="K73" i="26"/>
  <c r="K74" i="26" s="1"/>
  <c r="K75" i="26" s="1"/>
  <c r="K76" i="26" s="1"/>
  <c r="K77" i="26" s="1"/>
  <c r="K78" i="26" s="1"/>
  <c r="K79" i="26" s="1"/>
  <c r="K80" i="26" s="1"/>
  <c r="K81" i="26" s="1"/>
  <c r="K82" i="26" s="1"/>
  <c r="K83" i="26" s="1"/>
  <c r="N35" i="26" l="1"/>
  <c r="N132" i="7"/>
  <c r="O132" i="7" s="1"/>
  <c r="M83" i="26"/>
  <c r="K9" i="26" s="1"/>
  <c r="L83" i="26"/>
  <c r="R8" i="26" s="1"/>
  <c r="S8" i="26" s="1"/>
  <c r="G28" i="9"/>
  <c r="P35" i="26" l="1"/>
  <c r="N133" i="7"/>
  <c r="O133" i="7" s="1"/>
  <c r="O35" i="26"/>
  <c r="U4" i="26" s="1"/>
  <c r="V4" i="26" s="1"/>
  <c r="L9" i="26"/>
  <c r="K84" i="26" s="1"/>
  <c r="P5" i="26" l="1"/>
  <c r="N36" i="26" s="1"/>
  <c r="N37" i="26" s="1"/>
  <c r="N135" i="7" s="1"/>
  <c r="O135" i="7" s="1"/>
  <c r="K85" i="26"/>
  <c r="K86" i="26" s="1"/>
  <c r="K87" i="26" s="1"/>
  <c r="K88" i="26" s="1"/>
  <c r="K89" i="26" s="1"/>
  <c r="K90" i="26" s="1"/>
  <c r="K91" i="26" s="1"/>
  <c r="K92" i="26" s="1"/>
  <c r="K93" i="26" s="1"/>
  <c r="K94" i="26" s="1"/>
  <c r="K95" i="26" s="1"/>
  <c r="N38" i="26" l="1"/>
  <c r="N134" i="7"/>
  <c r="O134" i="7" s="1"/>
  <c r="M95" i="26"/>
  <c r="K10" i="26" s="1"/>
  <c r="L95" i="26"/>
  <c r="R9" i="26" s="1"/>
  <c r="S9" i="26" s="1"/>
  <c r="G79" i="17"/>
  <c r="G78" i="17"/>
  <c r="G77" i="17"/>
  <c r="G76" i="17"/>
  <c r="N39" i="26" l="1"/>
  <c r="N136" i="7"/>
  <c r="O136" i="7" s="1"/>
  <c r="L10" i="26"/>
  <c r="K96" i="26" s="1"/>
  <c r="N40" i="26" l="1"/>
  <c r="N137" i="7"/>
  <c r="O137" i="7" s="1"/>
  <c r="K97" i="26"/>
  <c r="K98" i="26" s="1"/>
  <c r="K99" i="26" s="1"/>
  <c r="K100" i="26" s="1"/>
  <c r="K101" i="26" s="1"/>
  <c r="K102" i="26" s="1"/>
  <c r="K103" i="26" s="1"/>
  <c r="K104" i="26" s="1"/>
  <c r="K105" i="26" s="1"/>
  <c r="K106" i="26" s="1"/>
  <c r="K107" i="26" s="1"/>
  <c r="B19" i="32"/>
  <c r="AC6" i="32"/>
  <c r="N41" i="26" l="1"/>
  <c r="N138" i="7"/>
  <c r="O138" i="7" s="1"/>
  <c r="M107" i="26"/>
  <c r="K11" i="26" s="1"/>
  <c r="L107" i="26"/>
  <c r="R10" i="26" s="1"/>
  <c r="S10" i="26" s="1"/>
  <c r="N42" i="26" l="1"/>
  <c r="N139" i="7"/>
  <c r="O139" i="7" s="1"/>
  <c r="L11" i="26"/>
  <c r="K108" i="26" s="1"/>
  <c r="L352" i="7"/>
  <c r="L366" i="7" s="1"/>
  <c r="L353" i="7"/>
  <c r="L367" i="7" s="1"/>
  <c r="L354" i="7"/>
  <c r="L368" i="7" s="1"/>
  <c r="L355" i="7"/>
  <c r="L369" i="7" s="1"/>
  <c r="L356" i="7"/>
  <c r="L370" i="7" s="1"/>
  <c r="L357" i="7"/>
  <c r="L371" i="7" s="1"/>
  <c r="L358" i="7"/>
  <c r="L372" i="7" s="1"/>
  <c r="L359" i="7"/>
  <c r="L373" i="7" s="1"/>
  <c r="L360" i="7"/>
  <c r="L374" i="7" s="1"/>
  <c r="L361" i="7"/>
  <c r="L375" i="7" s="1"/>
  <c r="L362" i="7"/>
  <c r="L376" i="7" s="1"/>
  <c r="L351" i="7"/>
  <c r="L365" i="7" s="1"/>
  <c r="N43" i="26" l="1"/>
  <c r="N140" i="7"/>
  <c r="O140" i="7" s="1"/>
  <c r="K109" i="26"/>
  <c r="K110" i="26" s="1"/>
  <c r="K111" i="26" s="1"/>
  <c r="K112" i="26" s="1"/>
  <c r="K113" i="26" s="1"/>
  <c r="K114" i="26" s="1"/>
  <c r="K115" i="26" s="1"/>
  <c r="K116" i="26" s="1"/>
  <c r="K117" i="26" s="1"/>
  <c r="K118" i="26" s="1"/>
  <c r="K119" i="26" s="1"/>
  <c r="N44" i="26" l="1"/>
  <c r="N141" i="7"/>
  <c r="O141" i="7" s="1"/>
  <c r="L119" i="26"/>
  <c r="R11" i="26" s="1"/>
  <c r="S11" i="26" s="1"/>
  <c r="M119" i="26"/>
  <c r="K12" i="26" s="1"/>
  <c r="N45" i="26" l="1"/>
  <c r="N142" i="7"/>
  <c r="O142" i="7" s="1"/>
  <c r="P122" i="7"/>
  <c r="Q122" i="7" s="1"/>
  <c r="R122" i="7" s="1"/>
  <c r="L12" i="26"/>
  <c r="K120" i="26" s="1"/>
  <c r="N46" i="26" l="1"/>
  <c r="N143" i="7"/>
  <c r="O143" i="7" s="1"/>
  <c r="K121" i="26"/>
  <c r="K122" i="26" s="1"/>
  <c r="K123" i="26" s="1"/>
  <c r="K124" i="26" s="1"/>
  <c r="K125" i="26" s="1"/>
  <c r="K126" i="26" s="1"/>
  <c r="K127" i="26" s="1"/>
  <c r="K128" i="26" s="1"/>
  <c r="K129" i="26" s="1"/>
  <c r="K130" i="26" s="1"/>
  <c r="K131" i="26" s="1"/>
  <c r="P123" i="7"/>
  <c r="Q123" i="7" s="1"/>
  <c r="R123" i="7" s="1"/>
  <c r="G23" i="9"/>
  <c r="N47" i="26" l="1"/>
  <c r="P47" i="26" s="1"/>
  <c r="N144" i="7"/>
  <c r="O144" i="7" s="1"/>
  <c r="M131" i="26"/>
  <c r="K13" i="26" s="1"/>
  <c r="P124" i="7"/>
  <c r="Q124" i="7" s="1"/>
  <c r="R124" i="7" s="1"/>
  <c r="L131" i="26"/>
  <c r="R12" i="26" s="1"/>
  <c r="S12" i="26" s="1"/>
  <c r="B44" i="18"/>
  <c r="B40" i="18"/>
  <c r="C40" i="18"/>
  <c r="E40" i="18"/>
  <c r="F40" i="18"/>
  <c r="B41" i="18"/>
  <c r="C41" i="18"/>
  <c r="E41" i="18"/>
  <c r="F41" i="18"/>
  <c r="B42" i="18"/>
  <c r="C42" i="18"/>
  <c r="E42" i="18"/>
  <c r="F42" i="18"/>
  <c r="B43" i="18"/>
  <c r="C43" i="18"/>
  <c r="E43" i="18"/>
  <c r="F43" i="18"/>
  <c r="C44" i="18"/>
  <c r="E44" i="18"/>
  <c r="F44" i="18"/>
  <c r="B39" i="18"/>
  <c r="G21" i="18"/>
  <c r="G20" i="18"/>
  <c r="G19" i="18"/>
  <c r="G18" i="18"/>
  <c r="G17" i="18"/>
  <c r="B45" i="11" a="1"/>
  <c r="B45" i="11" s="1"/>
  <c r="B41" i="11" a="1"/>
  <c r="B41" i="11" s="1"/>
  <c r="B31" i="11" a="1"/>
  <c r="B31" i="11" s="1"/>
  <c r="B21" i="11" a="1"/>
  <c r="C21" i="11" s="1"/>
  <c r="B17" i="11" a="1"/>
  <c r="B17" i="11" s="1"/>
  <c r="B13" i="11" a="1"/>
  <c r="C13" i="11" s="1"/>
  <c r="H91" i="9"/>
  <c r="I91" i="9" s="1"/>
  <c r="B17" i="17"/>
  <c r="C17" i="17"/>
  <c r="D17" i="17"/>
  <c r="E17" i="17"/>
  <c r="F17" i="17"/>
  <c r="L51" i="9" s="1"/>
  <c r="G17" i="17"/>
  <c r="H17" i="17"/>
  <c r="I17" i="17"/>
  <c r="B18" i="17"/>
  <c r="B41" i="17" s="1"/>
  <c r="C18" i="17"/>
  <c r="D18" i="17"/>
  <c r="J52" i="9" s="1"/>
  <c r="E18" i="17"/>
  <c r="E41" i="17" s="1"/>
  <c r="F18" i="17"/>
  <c r="L52" i="9" s="1"/>
  <c r="L74" i="9" s="1"/>
  <c r="G18" i="17"/>
  <c r="M52" i="9" s="1"/>
  <c r="H18" i="17"/>
  <c r="N52" i="9" s="1"/>
  <c r="I18" i="17"/>
  <c r="O52" i="9" s="1"/>
  <c r="B19" i="17"/>
  <c r="H53" i="9" s="1"/>
  <c r="C19" i="17"/>
  <c r="I53" i="9" s="1"/>
  <c r="D19" i="17"/>
  <c r="J53" i="9" s="1"/>
  <c r="E19" i="17"/>
  <c r="K53" i="9" s="1"/>
  <c r="F19" i="17"/>
  <c r="L53" i="9" s="1"/>
  <c r="L75" i="9" s="1"/>
  <c r="G19" i="17"/>
  <c r="G42" i="17" s="1"/>
  <c r="H19" i="17"/>
  <c r="H42" i="17" s="1"/>
  <c r="I19" i="17"/>
  <c r="B20" i="17"/>
  <c r="H54" i="9" s="1"/>
  <c r="C20" i="17"/>
  <c r="D20" i="17"/>
  <c r="J54" i="9" s="1"/>
  <c r="E20" i="17"/>
  <c r="K54" i="9" s="1"/>
  <c r="F20" i="17"/>
  <c r="L54" i="9" s="1"/>
  <c r="G20" i="17"/>
  <c r="M54" i="9" s="1"/>
  <c r="H20" i="17"/>
  <c r="I20" i="17"/>
  <c r="C21" i="17"/>
  <c r="D21" i="17"/>
  <c r="J55" i="9" s="1"/>
  <c r="E21" i="17"/>
  <c r="K55" i="9" s="1"/>
  <c r="F21" i="17"/>
  <c r="L55" i="9" s="1"/>
  <c r="G21" i="17"/>
  <c r="M55" i="9" s="1"/>
  <c r="H21" i="17"/>
  <c r="N55" i="9" s="1"/>
  <c r="I21" i="17"/>
  <c r="O55" i="9" s="1"/>
  <c r="O77" i="9" s="1"/>
  <c r="O81" i="9" s="1"/>
  <c r="O79" i="9" s="1"/>
  <c r="F22" i="17"/>
  <c r="F23" i="17"/>
  <c r="B16" i="17"/>
  <c r="H50" i="9" s="1"/>
  <c r="A28" i="9"/>
  <c r="A55" i="9" s="1"/>
  <c r="A77" i="9" s="1"/>
  <c r="A27" i="9"/>
  <c r="A54" i="9" s="1"/>
  <c r="A76" i="9" s="1"/>
  <c r="G26" i="9"/>
  <c r="A26" i="9"/>
  <c r="A53" i="9" s="1"/>
  <c r="A75" i="9" s="1"/>
  <c r="G25" i="9"/>
  <c r="A25" i="9"/>
  <c r="A52" i="9" s="1"/>
  <c r="A74" i="9" s="1"/>
  <c r="A24" i="9"/>
  <c r="A51" i="9" s="1"/>
  <c r="A73" i="9" s="1"/>
  <c r="P6" i="26" l="1"/>
  <c r="N48" i="26" s="1"/>
  <c r="N145" i="7"/>
  <c r="O145" i="7" s="1"/>
  <c r="O47" i="26"/>
  <c r="V5" i="26" s="1"/>
  <c r="E49" i="18"/>
  <c r="E47" i="18"/>
  <c r="I55" i="9"/>
  <c r="C44" i="17"/>
  <c r="L77" i="9"/>
  <c r="F49" i="18"/>
  <c r="F47" i="18"/>
  <c r="C49" i="18"/>
  <c r="C47" i="18"/>
  <c r="B47" i="18"/>
  <c r="B49" i="18"/>
  <c r="P125" i="7"/>
  <c r="Q125" i="7" s="1"/>
  <c r="R125" i="7" s="1"/>
  <c r="L13" i="26"/>
  <c r="K132" i="26" s="1"/>
  <c r="B40" i="17"/>
  <c r="H51" i="9"/>
  <c r="H73" i="9" s="1"/>
  <c r="H55" i="9"/>
  <c r="H77" i="9" s="1"/>
  <c r="L76" i="9"/>
  <c r="F44" i="17"/>
  <c r="C45" i="11"/>
  <c r="K45" i="11"/>
  <c r="M45" i="11"/>
  <c r="Q45" i="11"/>
  <c r="G45" i="11"/>
  <c r="L45" i="11"/>
  <c r="H45" i="11"/>
  <c r="P45" i="11"/>
  <c r="E45" i="11"/>
  <c r="I45" i="11"/>
  <c r="O45" i="11"/>
  <c r="D45" i="11"/>
  <c r="M21" i="11"/>
  <c r="J21" i="11"/>
  <c r="F21" i="11"/>
  <c r="E21" i="11"/>
  <c r="I21" i="11"/>
  <c r="R21" i="11"/>
  <c r="B21" i="11"/>
  <c r="Q21" i="11"/>
  <c r="N21" i="11"/>
  <c r="P41" i="11"/>
  <c r="K41" i="11"/>
  <c r="E41" i="11"/>
  <c r="O41" i="11"/>
  <c r="I41" i="11"/>
  <c r="M41" i="11"/>
  <c r="L41" i="11"/>
  <c r="H41" i="11"/>
  <c r="D41" i="11"/>
  <c r="C41" i="11"/>
  <c r="Q41" i="11"/>
  <c r="G41" i="11"/>
  <c r="N17" i="11"/>
  <c r="F17" i="11"/>
  <c r="Q17" i="11"/>
  <c r="I17" i="11"/>
  <c r="P17" i="11"/>
  <c r="O17" i="11"/>
  <c r="E17" i="11"/>
  <c r="L17" i="11"/>
  <c r="D17" i="11"/>
  <c r="H17" i="11"/>
  <c r="K17" i="11"/>
  <c r="C17" i="11"/>
  <c r="G17" i="11"/>
  <c r="M17" i="11"/>
  <c r="R17" i="11"/>
  <c r="J17" i="11"/>
  <c r="I13" i="11"/>
  <c r="H13" i="11"/>
  <c r="Q13" i="11"/>
  <c r="P13" i="11"/>
  <c r="E13" i="11"/>
  <c r="R13" i="11"/>
  <c r="F13" i="11"/>
  <c r="N13" i="11"/>
  <c r="D13" i="11"/>
  <c r="M13" i="11"/>
  <c r="B13" i="11"/>
  <c r="L13" i="11"/>
  <c r="J13" i="11"/>
  <c r="K31" i="11"/>
  <c r="I31" i="11"/>
  <c r="L31" i="11"/>
  <c r="H31" i="11"/>
  <c r="G31" i="11"/>
  <c r="P31" i="11"/>
  <c r="E31" i="11"/>
  <c r="D31" i="11"/>
  <c r="Q31" i="11"/>
  <c r="O31" i="11"/>
  <c r="M31" i="11"/>
  <c r="C31" i="11"/>
  <c r="G44" i="17"/>
  <c r="M53" i="9"/>
  <c r="M75" i="9" s="1"/>
  <c r="G41" i="17"/>
  <c r="M51" i="9"/>
  <c r="N51" i="9"/>
  <c r="H41" i="17"/>
  <c r="H44" i="17"/>
  <c r="N53" i="9"/>
  <c r="N75" i="9" s="1"/>
  <c r="H43" i="17"/>
  <c r="N54" i="9"/>
  <c r="F43" i="17"/>
  <c r="G43" i="17"/>
  <c r="M77" i="9"/>
  <c r="I44" i="17"/>
  <c r="O54" i="9"/>
  <c r="K77" i="9"/>
  <c r="J77" i="9"/>
  <c r="K21" i="17"/>
  <c r="I43" i="17"/>
  <c r="K76" i="9"/>
  <c r="E44" i="17"/>
  <c r="J76" i="9"/>
  <c r="D44" i="17"/>
  <c r="K20" i="17"/>
  <c r="I54" i="9"/>
  <c r="I77" i="9" s="1"/>
  <c r="I41" i="17"/>
  <c r="O53" i="9"/>
  <c r="E43" i="17"/>
  <c r="D43" i="17"/>
  <c r="C43" i="17"/>
  <c r="H52" i="9"/>
  <c r="K19" i="17"/>
  <c r="I42" i="17"/>
  <c r="O51" i="9"/>
  <c r="F42" i="17"/>
  <c r="F41" i="17"/>
  <c r="E42" i="17"/>
  <c r="K52" i="9"/>
  <c r="K51" i="9"/>
  <c r="J75" i="9"/>
  <c r="K17" i="17"/>
  <c r="J51" i="9"/>
  <c r="K18" i="17"/>
  <c r="D41" i="17"/>
  <c r="D42" i="17"/>
  <c r="C42" i="17"/>
  <c r="I51" i="9"/>
  <c r="I52" i="9"/>
  <c r="C41" i="17"/>
  <c r="B42" i="17"/>
  <c r="R45" i="11"/>
  <c r="N45" i="11"/>
  <c r="J45" i="11"/>
  <c r="F45" i="11"/>
  <c r="R41" i="11"/>
  <c r="N41" i="11"/>
  <c r="J41" i="11"/>
  <c r="F41" i="11"/>
  <c r="R31" i="11"/>
  <c r="N31" i="11"/>
  <c r="J31" i="11"/>
  <c r="F31" i="11"/>
  <c r="P21" i="11"/>
  <c r="L21" i="11"/>
  <c r="H21" i="11"/>
  <c r="D21" i="11"/>
  <c r="O21" i="11"/>
  <c r="K21" i="11"/>
  <c r="G21" i="11"/>
  <c r="O13" i="11"/>
  <c r="K13" i="11"/>
  <c r="G13" i="11"/>
  <c r="N49" i="26" l="1"/>
  <c r="N146" i="7"/>
  <c r="O146" i="7" s="1"/>
  <c r="H50" i="17"/>
  <c r="G50" i="17"/>
  <c r="K133" i="26"/>
  <c r="K134" i="26" s="1"/>
  <c r="K135" i="26" s="1"/>
  <c r="K136" i="26" s="1"/>
  <c r="K137" i="26" s="1"/>
  <c r="K138" i="26" s="1"/>
  <c r="K139" i="26" s="1"/>
  <c r="K140" i="26" s="1"/>
  <c r="K141" i="26" s="1"/>
  <c r="K142" i="26" s="1"/>
  <c r="K143" i="26" s="1"/>
  <c r="P126" i="7"/>
  <c r="Q126" i="7" s="1"/>
  <c r="R126" i="7" s="1"/>
  <c r="F50" i="17"/>
  <c r="D50" i="17"/>
  <c r="E50" i="17"/>
  <c r="I50" i="17"/>
  <c r="C50" i="17"/>
  <c r="H74" i="9"/>
  <c r="I76" i="9"/>
  <c r="O76" i="9"/>
  <c r="N74" i="9"/>
  <c r="M76" i="9"/>
  <c r="M74" i="9"/>
  <c r="N77" i="9"/>
  <c r="N76" i="9"/>
  <c r="O75" i="9"/>
  <c r="H75" i="9"/>
  <c r="O74" i="9"/>
  <c r="K74" i="9"/>
  <c r="K75" i="9"/>
  <c r="J74" i="9"/>
  <c r="I74" i="9"/>
  <c r="I75" i="9"/>
  <c r="AC35" i="32"/>
  <c r="AB35" i="32"/>
  <c r="AA35" i="32"/>
  <c r="AC34" i="32"/>
  <c r="AB34" i="32"/>
  <c r="AA34" i="32"/>
  <c r="AC33" i="32"/>
  <c r="AB33" i="32"/>
  <c r="AA33" i="32"/>
  <c r="AC32" i="32"/>
  <c r="AB32" i="32"/>
  <c r="AA32" i="32"/>
  <c r="AC31" i="32"/>
  <c r="AB31" i="32"/>
  <c r="AA31" i="32"/>
  <c r="AC30" i="32"/>
  <c r="AB30" i="32"/>
  <c r="AA30" i="32"/>
  <c r="AC29" i="32"/>
  <c r="AB29" i="32"/>
  <c r="AA29" i="32"/>
  <c r="AC28" i="32"/>
  <c r="AB28" i="32"/>
  <c r="AA28" i="32"/>
  <c r="AC27" i="32"/>
  <c r="AB27" i="32"/>
  <c r="AA27" i="32"/>
  <c r="AC26" i="32"/>
  <c r="AB26" i="32"/>
  <c r="AA26" i="32"/>
  <c r="AC25" i="32"/>
  <c r="AB25" i="32"/>
  <c r="AA25" i="32"/>
  <c r="AC24" i="32"/>
  <c r="AB24" i="32"/>
  <c r="AA24" i="32"/>
  <c r="AB7" i="32"/>
  <c r="AB8" i="32"/>
  <c r="AB9" i="32"/>
  <c r="AB10" i="32"/>
  <c r="AB11" i="32"/>
  <c r="AB12" i="32"/>
  <c r="AB13" i="32"/>
  <c r="AB14" i="32"/>
  <c r="AB15" i="32"/>
  <c r="AB16" i="32"/>
  <c r="AB17" i="32"/>
  <c r="AA7" i="32"/>
  <c r="AA8" i="32"/>
  <c r="AA9" i="32"/>
  <c r="AA10" i="32"/>
  <c r="AA11" i="32"/>
  <c r="AA12" i="32"/>
  <c r="AA13" i="32"/>
  <c r="AA14" i="32"/>
  <c r="AA15" i="32"/>
  <c r="AA16" i="32"/>
  <c r="AA17" i="32"/>
  <c r="Z37" i="32"/>
  <c r="Y37" i="32"/>
  <c r="X37" i="32"/>
  <c r="W37" i="32"/>
  <c r="V37" i="32"/>
  <c r="Z19" i="32"/>
  <c r="Y19" i="32"/>
  <c r="X19" i="32"/>
  <c r="W19" i="32"/>
  <c r="V19" i="32"/>
  <c r="U19" i="32"/>
  <c r="N50" i="26" l="1"/>
  <c r="N147" i="7"/>
  <c r="O147" i="7" s="1"/>
  <c r="M143" i="26"/>
  <c r="K14" i="26" s="1"/>
  <c r="L143" i="26"/>
  <c r="R13" i="26" s="1"/>
  <c r="S13" i="26" s="1"/>
  <c r="P127" i="7"/>
  <c r="Q127" i="7" s="1"/>
  <c r="R127" i="7" s="1"/>
  <c r="H38" i="9"/>
  <c r="N51" i="26" l="1"/>
  <c r="N148" i="7"/>
  <c r="O148" i="7" s="1"/>
  <c r="P128" i="7"/>
  <c r="Q128" i="7" s="1"/>
  <c r="R128" i="7" s="1"/>
  <c r="L14" i="26"/>
  <c r="K144" i="26" s="1"/>
  <c r="N52" i="26" l="1"/>
  <c r="N149" i="7"/>
  <c r="O149" i="7" s="1"/>
  <c r="K145" i="26"/>
  <c r="K146" i="26" s="1"/>
  <c r="K147" i="26" s="1"/>
  <c r="K148" i="26" s="1"/>
  <c r="K149" i="26" s="1"/>
  <c r="K150" i="26" s="1"/>
  <c r="K151" i="26" s="1"/>
  <c r="K152" i="26" s="1"/>
  <c r="K153" i="26" s="1"/>
  <c r="K154" i="26" s="1"/>
  <c r="K155" i="26" s="1"/>
  <c r="P129" i="7"/>
  <c r="Q129" i="7" s="1"/>
  <c r="R129" i="7" s="1"/>
  <c r="N53" i="26" l="1"/>
  <c r="N150" i="7"/>
  <c r="O150" i="7" s="1"/>
  <c r="P130" i="7"/>
  <c r="Q130" i="7" s="1"/>
  <c r="R130" i="7" s="1"/>
  <c r="M155" i="26"/>
  <c r="K15" i="26" s="1"/>
  <c r="L155" i="26"/>
  <c r="R14" i="26" s="1"/>
  <c r="S14" i="26" s="1"/>
  <c r="N54" i="26" l="1"/>
  <c r="N151" i="7"/>
  <c r="O151" i="7" s="1"/>
  <c r="L15" i="26"/>
  <c r="K156" i="26" s="1"/>
  <c r="P131" i="7"/>
  <c r="Q131" i="7" s="1"/>
  <c r="R131" i="7" s="1"/>
  <c r="N55" i="26" l="1"/>
  <c r="N152" i="7"/>
  <c r="O152" i="7" s="1"/>
  <c r="P132" i="7"/>
  <c r="Q132" i="7" s="1"/>
  <c r="R132" i="7" s="1"/>
  <c r="K157" i="26"/>
  <c r="K158" i="26" s="1"/>
  <c r="K159" i="26" s="1"/>
  <c r="K160" i="26" s="1"/>
  <c r="K161" i="26" s="1"/>
  <c r="K162" i="26" s="1"/>
  <c r="K163" i="26" s="1"/>
  <c r="K164" i="26" s="1"/>
  <c r="K165" i="26" s="1"/>
  <c r="K166" i="26" s="1"/>
  <c r="K167" i="26" s="1"/>
  <c r="L167" i="26" l="1"/>
  <c r="R15" i="26" s="1"/>
  <c r="S15" i="26" s="1"/>
  <c r="N56" i="26"/>
  <c r="N153" i="7"/>
  <c r="O153" i="7" s="1"/>
  <c r="M167" i="26"/>
  <c r="K16" i="26" s="1"/>
  <c r="P133" i="7"/>
  <c r="Q133" i="7" s="1"/>
  <c r="R133" i="7" s="1"/>
  <c r="N57" i="26" l="1"/>
  <c r="N154" i="7"/>
  <c r="O154" i="7" s="1"/>
  <c r="L16" i="26"/>
  <c r="K168" i="26" s="1"/>
  <c r="N58" i="26" l="1"/>
  <c r="N155" i="7"/>
  <c r="O155" i="7" s="1"/>
  <c r="K169" i="26"/>
  <c r="K170" i="26" s="1"/>
  <c r="K171" i="26" s="1"/>
  <c r="K172" i="26" s="1"/>
  <c r="K173" i="26" s="1"/>
  <c r="K174" i="26" s="1"/>
  <c r="K175" i="26" s="1"/>
  <c r="K176" i="26" s="1"/>
  <c r="K177" i="26" s="1"/>
  <c r="K178" i="26" s="1"/>
  <c r="K179" i="26" s="1"/>
  <c r="P134" i="7"/>
  <c r="Q134" i="7" s="1"/>
  <c r="R134" i="7" s="1"/>
  <c r="N59" i="26" l="1"/>
  <c r="N156" i="7"/>
  <c r="O156" i="7" s="1"/>
  <c r="M179" i="26"/>
  <c r="K17" i="26" s="1"/>
  <c r="L179" i="26"/>
  <c r="R16" i="26" s="1"/>
  <c r="S16" i="26" s="1"/>
  <c r="P135" i="7"/>
  <c r="Q135" i="7" s="1"/>
  <c r="R135" i="7" s="1"/>
  <c r="M20" i="9"/>
  <c r="M19" i="9"/>
  <c r="M18" i="9"/>
  <c r="M17" i="9"/>
  <c r="M16" i="9"/>
  <c r="M15" i="9"/>
  <c r="M14" i="9"/>
  <c r="M13" i="9"/>
  <c r="M12" i="9"/>
  <c r="P59" i="26" l="1"/>
  <c r="N157" i="7"/>
  <c r="O157" i="7" s="1"/>
  <c r="O59" i="26"/>
  <c r="U6" i="26" s="1"/>
  <c r="V6" i="26" s="1"/>
  <c r="L17" i="26"/>
  <c r="K180" i="26" s="1"/>
  <c r="P136" i="7"/>
  <c r="Q136" i="7" s="1"/>
  <c r="R136" i="7" s="1"/>
  <c r="B36" i="11" a="1"/>
  <c r="O7" i="26" l="1"/>
  <c r="P7" i="26" s="1"/>
  <c r="N60" i="26" s="1"/>
  <c r="N61" i="26" s="1"/>
  <c r="K181" i="26"/>
  <c r="K182" i="26" s="1"/>
  <c r="K183" i="26" s="1"/>
  <c r="K184" i="26" s="1"/>
  <c r="K185" i="26" s="1"/>
  <c r="K186" i="26" s="1"/>
  <c r="K187" i="26" s="1"/>
  <c r="K188" i="26" s="1"/>
  <c r="K189" i="26" s="1"/>
  <c r="K190" i="26" s="1"/>
  <c r="K191" i="26" s="1"/>
  <c r="P137" i="7"/>
  <c r="Q137" i="7" s="1"/>
  <c r="R137" i="7" s="1"/>
  <c r="C36" i="11"/>
  <c r="C50" i="11" s="1"/>
  <c r="J36" i="11"/>
  <c r="J50" i="11" s="1"/>
  <c r="M36" i="11"/>
  <c r="M50" i="11" s="1"/>
  <c r="R36" i="11"/>
  <c r="R50" i="11" s="1"/>
  <c r="E36" i="11"/>
  <c r="E50" i="11" s="1"/>
  <c r="K36" i="11"/>
  <c r="K50" i="11" s="1"/>
  <c r="O36" i="11"/>
  <c r="O50" i="11" s="1"/>
  <c r="F36" i="11"/>
  <c r="F50" i="11" s="1"/>
  <c r="B36" i="11"/>
  <c r="H36" i="11"/>
  <c r="H50" i="11" s="1"/>
  <c r="G36" i="11"/>
  <c r="G50" i="11" s="1"/>
  <c r="N36" i="11"/>
  <c r="N50" i="11" s="1"/>
  <c r="I36" i="11"/>
  <c r="I50" i="11" s="1"/>
  <c r="Q36" i="11"/>
  <c r="Q50" i="11" s="1"/>
  <c r="D36" i="11"/>
  <c r="D50" i="11" s="1"/>
  <c r="L36" i="11"/>
  <c r="L50" i="11" s="1"/>
  <c r="P36" i="11"/>
  <c r="P50" i="11" s="1"/>
  <c r="O317" i="7"/>
  <c r="O318" i="7"/>
  <c r="N62" i="26" l="1"/>
  <c r="N159" i="7"/>
  <c r="O159" i="7" s="1"/>
  <c r="N158" i="7"/>
  <c r="O158" i="7" s="1"/>
  <c r="L191" i="26"/>
  <c r="R17" i="26" s="1"/>
  <c r="S17" i="26" s="1"/>
  <c r="M191" i="26"/>
  <c r="K18" i="26" s="1"/>
  <c r="P138" i="7"/>
  <c r="Q138" i="7" s="1"/>
  <c r="R138" i="7" s="1"/>
  <c r="N63" i="26" l="1"/>
  <c r="N160" i="7"/>
  <c r="O160" i="7" s="1"/>
  <c r="L18" i="26"/>
  <c r="K192" i="26" s="1"/>
  <c r="P139" i="7"/>
  <c r="Q139" i="7" s="1"/>
  <c r="R139" i="7" s="1"/>
  <c r="G318" i="7"/>
  <c r="P318" i="7" s="1"/>
  <c r="Q318" i="7" s="1"/>
  <c r="R318" i="7" s="1"/>
  <c r="G317" i="7"/>
  <c r="N64" i="26" l="1"/>
  <c r="N161" i="7"/>
  <c r="O161" i="7" s="1"/>
  <c r="K193" i="26"/>
  <c r="K194" i="26" s="1"/>
  <c r="K195" i="26" s="1"/>
  <c r="K196" i="26" s="1"/>
  <c r="K197" i="26" s="1"/>
  <c r="K198" i="26" s="1"/>
  <c r="K199" i="26" s="1"/>
  <c r="K200" i="26" s="1"/>
  <c r="K201" i="26" s="1"/>
  <c r="K202" i="26" s="1"/>
  <c r="K203" i="26" s="1"/>
  <c r="P140" i="7"/>
  <c r="Q140" i="7" s="1"/>
  <c r="R140" i="7" s="1"/>
  <c r="P317" i="7"/>
  <c r="Q317" i="7" s="1"/>
  <c r="R317" i="7" s="1"/>
  <c r="F39" i="18"/>
  <c r="F37" i="18"/>
  <c r="F38" i="18"/>
  <c r="F36" i="18"/>
  <c r="F50" i="18" l="1"/>
  <c r="F52" i="18" s="1"/>
  <c r="N65" i="26"/>
  <c r="N162" i="7"/>
  <c r="O162" i="7" s="1"/>
  <c r="L203" i="26"/>
  <c r="R18" i="26" s="1"/>
  <c r="S18" i="26" s="1"/>
  <c r="F48" i="18"/>
  <c r="F46" i="18"/>
  <c r="M203" i="26"/>
  <c r="K19" i="26" s="1"/>
  <c r="P141" i="7"/>
  <c r="Q141" i="7" s="1"/>
  <c r="R141" i="7" s="1"/>
  <c r="C5" i="17"/>
  <c r="D5" i="17"/>
  <c r="E5" i="17"/>
  <c r="F5" i="17"/>
  <c r="G5" i="17"/>
  <c r="H5" i="17"/>
  <c r="I5" i="17"/>
  <c r="C6" i="17"/>
  <c r="D6" i="17"/>
  <c r="E6" i="17"/>
  <c r="F6" i="17"/>
  <c r="G6" i="17"/>
  <c r="H6" i="17"/>
  <c r="I6" i="17"/>
  <c r="C7" i="17"/>
  <c r="D7" i="17"/>
  <c r="E7" i="17"/>
  <c r="F7" i="17"/>
  <c r="G7" i="17"/>
  <c r="H7" i="17"/>
  <c r="I7" i="17"/>
  <c r="C8" i="17"/>
  <c r="D8" i="17"/>
  <c r="E8" i="17"/>
  <c r="F8" i="17"/>
  <c r="G8" i="17"/>
  <c r="H8" i="17"/>
  <c r="I8" i="17"/>
  <c r="C9" i="17"/>
  <c r="D9" i="17"/>
  <c r="E9" i="17"/>
  <c r="F9" i="17"/>
  <c r="G9" i="17"/>
  <c r="H9" i="17"/>
  <c r="I9" i="17"/>
  <c r="C10" i="17"/>
  <c r="D10" i="17"/>
  <c r="E10" i="17"/>
  <c r="F10" i="17"/>
  <c r="G10" i="17"/>
  <c r="H10" i="17"/>
  <c r="I10" i="17"/>
  <c r="C11" i="17"/>
  <c r="D11" i="17"/>
  <c r="E11" i="17"/>
  <c r="F11" i="17"/>
  <c r="G11" i="17"/>
  <c r="H11" i="17"/>
  <c r="I11" i="17"/>
  <c r="C12" i="17"/>
  <c r="D12" i="17"/>
  <c r="E12" i="17"/>
  <c r="F12" i="17"/>
  <c r="G12" i="17"/>
  <c r="H12" i="17"/>
  <c r="I12" i="17"/>
  <c r="C13" i="17"/>
  <c r="D13" i="17"/>
  <c r="E13" i="17"/>
  <c r="F13" i="17"/>
  <c r="G13" i="17"/>
  <c r="H13" i="17"/>
  <c r="C14" i="17"/>
  <c r="D14" i="17"/>
  <c r="E14" i="17"/>
  <c r="G14" i="17"/>
  <c r="H14" i="17"/>
  <c r="I14" i="17"/>
  <c r="C15" i="17"/>
  <c r="D15" i="17"/>
  <c r="E15" i="17"/>
  <c r="F15" i="17"/>
  <c r="G15" i="17"/>
  <c r="H15" i="17"/>
  <c r="I15" i="17"/>
  <c r="C16" i="17"/>
  <c r="C40" i="17" s="1"/>
  <c r="C49" i="17" s="1"/>
  <c r="D16" i="17"/>
  <c r="D40" i="17" s="1"/>
  <c r="D49" i="17" s="1"/>
  <c r="E16" i="17"/>
  <c r="E40" i="17" s="1"/>
  <c r="E49" i="17" s="1"/>
  <c r="F16" i="17"/>
  <c r="F40" i="17" s="1"/>
  <c r="F49" i="17" s="1"/>
  <c r="G16" i="17"/>
  <c r="G40" i="17" s="1"/>
  <c r="G49" i="17" s="1"/>
  <c r="H16" i="17"/>
  <c r="H40" i="17" s="1"/>
  <c r="H49" i="17" s="1"/>
  <c r="I16" i="17"/>
  <c r="I40" i="17" s="1"/>
  <c r="I49" i="17" s="1"/>
  <c r="B6" i="17"/>
  <c r="B7" i="17"/>
  <c r="B8" i="17"/>
  <c r="B9" i="17"/>
  <c r="B10" i="17"/>
  <c r="B11" i="17"/>
  <c r="B12" i="17"/>
  <c r="B13" i="17"/>
  <c r="B14" i="17"/>
  <c r="B15" i="17"/>
  <c r="B39" i="17" s="1"/>
  <c r="B5" i="17"/>
  <c r="N66" i="26" l="1"/>
  <c r="N163" i="7"/>
  <c r="O163" i="7" s="1"/>
  <c r="L19" i="26"/>
  <c r="K204" i="26" s="1"/>
  <c r="P142" i="7"/>
  <c r="Q142" i="7" s="1"/>
  <c r="R142" i="7" s="1"/>
  <c r="B30" i="11" a="1"/>
  <c r="K9" i="17"/>
  <c r="K16" i="17"/>
  <c r="K13" i="17"/>
  <c r="K15" i="17"/>
  <c r="K11" i="17"/>
  <c r="K7" i="17"/>
  <c r="K14" i="17"/>
  <c r="K10" i="17"/>
  <c r="K6" i="17"/>
  <c r="K5" i="17"/>
  <c r="K12" i="17"/>
  <c r="K8" i="17"/>
  <c r="N67" i="26" l="1"/>
  <c r="N164" i="7"/>
  <c r="O164" i="7" s="1"/>
  <c r="K205" i="26"/>
  <c r="K206" i="26" s="1"/>
  <c r="K207" i="26" s="1"/>
  <c r="K208" i="26" s="1"/>
  <c r="K209" i="26" s="1"/>
  <c r="K210" i="26" s="1"/>
  <c r="K211" i="26" s="1"/>
  <c r="K212" i="26" s="1"/>
  <c r="K213" i="26" s="1"/>
  <c r="K214" i="26" s="1"/>
  <c r="K215" i="26" s="1"/>
  <c r="P143" i="7"/>
  <c r="Q143" i="7" s="1"/>
  <c r="R143" i="7" s="1"/>
  <c r="K30" i="11"/>
  <c r="I30" i="11"/>
  <c r="J30" i="11"/>
  <c r="Q30" i="11"/>
  <c r="R30" i="11"/>
  <c r="G30" i="11"/>
  <c r="C30" i="11"/>
  <c r="F30" i="11"/>
  <c r="D30" i="11"/>
  <c r="E30" i="11"/>
  <c r="M30" i="11"/>
  <c r="S30" i="11"/>
  <c r="N30" i="11"/>
  <c r="P30" i="11"/>
  <c r="B30" i="11"/>
  <c r="O30" i="11"/>
  <c r="T30" i="11"/>
  <c r="H30" i="11"/>
  <c r="L30" i="11"/>
  <c r="N68" i="26" l="1"/>
  <c r="N165" i="7"/>
  <c r="O165" i="7" s="1"/>
  <c r="L215" i="26"/>
  <c r="R19" i="26" s="1"/>
  <c r="S19" i="26" s="1"/>
  <c r="M215" i="26"/>
  <c r="K216" i="26"/>
  <c r="P144" i="7"/>
  <c r="Q144" i="7" s="1"/>
  <c r="R144" i="7" s="1"/>
  <c r="N69" i="26" l="1"/>
  <c r="N166" i="7"/>
  <c r="O166" i="7" s="1"/>
  <c r="P145" i="7"/>
  <c r="Q145" i="7" s="1"/>
  <c r="R145" i="7" s="1"/>
  <c r="N70" i="26" l="1"/>
  <c r="N167" i="7"/>
  <c r="O167" i="7" s="1"/>
  <c r="P146" i="7"/>
  <c r="Q146" i="7" s="1"/>
  <c r="R146" i="7" s="1"/>
  <c r="N71" i="26" l="1"/>
  <c r="N168" i="7"/>
  <c r="O168" i="7" s="1"/>
  <c r="P147" i="7"/>
  <c r="Q147" i="7" s="1"/>
  <c r="R147" i="7" s="1"/>
  <c r="P71" i="26" l="1"/>
  <c r="N169" i="7"/>
  <c r="O169" i="7" s="1"/>
  <c r="O71" i="26"/>
  <c r="U7" i="26" s="1"/>
  <c r="V7" i="26" s="1"/>
  <c r="P148" i="7"/>
  <c r="Q148" i="7" s="1"/>
  <c r="R148" i="7" s="1"/>
  <c r="I2" i="17"/>
  <c r="A8" i="9"/>
  <c r="A9" i="9"/>
  <c r="A10" i="9"/>
  <c r="A11" i="9"/>
  <c r="A12" i="9"/>
  <c r="A39" i="9" s="1"/>
  <c r="A61" i="9" s="1"/>
  <c r="A13" i="9"/>
  <c r="A40" i="9" s="1"/>
  <c r="A62" i="9" s="1"/>
  <c r="A14" i="9"/>
  <c r="A41" i="9" s="1"/>
  <c r="A63" i="9" s="1"/>
  <c r="A15" i="9"/>
  <c r="A42" i="9" s="1"/>
  <c r="A64" i="9" s="1"/>
  <c r="A16" i="9"/>
  <c r="A43" i="9" s="1"/>
  <c r="A65" i="9" s="1"/>
  <c r="A17" i="9"/>
  <c r="A44" i="9" s="1"/>
  <c r="A66" i="9" s="1"/>
  <c r="A18" i="9"/>
  <c r="A45" i="9" s="1"/>
  <c r="A67" i="9" s="1"/>
  <c r="A19" i="9"/>
  <c r="A46" i="9" s="1"/>
  <c r="A68" i="9" s="1"/>
  <c r="A20" i="9"/>
  <c r="A47" i="9" s="1"/>
  <c r="A69" i="9" s="1"/>
  <c r="A21" i="9"/>
  <c r="A48" i="9" s="1"/>
  <c r="A70" i="9" s="1"/>
  <c r="A22" i="9"/>
  <c r="A49" i="9" s="1"/>
  <c r="A71" i="9" s="1"/>
  <c r="A23" i="9"/>
  <c r="A50" i="9" s="1"/>
  <c r="A72" i="9" s="1"/>
  <c r="A29" i="9"/>
  <c r="A56" i="9" s="1"/>
  <c r="A30" i="9"/>
  <c r="A57" i="9" s="1"/>
  <c r="O8" i="26" l="1"/>
  <c r="P8" i="26" s="1"/>
  <c r="N72" i="26" s="1"/>
  <c r="N73" i="26" s="1"/>
  <c r="P149" i="7"/>
  <c r="Q149" i="7" s="1"/>
  <c r="R149" i="7" s="1"/>
  <c r="N74" i="26" l="1"/>
  <c r="N171" i="7"/>
  <c r="O171" i="7" s="1"/>
  <c r="N170" i="7"/>
  <c r="O170" i="7" s="1"/>
  <c r="P150" i="7"/>
  <c r="Q150" i="7" s="1"/>
  <c r="R150" i="7" s="1"/>
  <c r="N75" i="26" l="1"/>
  <c r="N172" i="7"/>
  <c r="O172" i="7" s="1"/>
  <c r="P151" i="7"/>
  <c r="Q151" i="7" s="1"/>
  <c r="R151" i="7" s="1"/>
  <c r="N76" i="26" l="1"/>
  <c r="N173" i="7"/>
  <c r="O173" i="7" s="1"/>
  <c r="P152" i="7"/>
  <c r="Q152" i="7" s="1"/>
  <c r="R152" i="7" s="1"/>
  <c r="R37" i="32"/>
  <c r="R19" i="32"/>
  <c r="Q37" i="32"/>
  <c r="Q19" i="32"/>
  <c r="P37" i="32"/>
  <c r="P19" i="32"/>
  <c r="O37" i="32"/>
  <c r="O19" i="32"/>
  <c r="N37" i="32"/>
  <c r="N19" i="32"/>
  <c r="M37" i="32"/>
  <c r="M19" i="32"/>
  <c r="L19" i="32"/>
  <c r="J37" i="32"/>
  <c r="I37" i="32"/>
  <c r="I19" i="32"/>
  <c r="H19" i="32"/>
  <c r="G37" i="32"/>
  <c r="G19" i="32"/>
  <c r="F19" i="32"/>
  <c r="E37" i="32"/>
  <c r="E19" i="32"/>
  <c r="D19" i="32"/>
  <c r="C37" i="32"/>
  <c r="F37" i="32"/>
  <c r="D37" i="32"/>
  <c r="K19" i="32"/>
  <c r="J19" i="32"/>
  <c r="C19" i="32"/>
  <c r="N77" i="26" l="1"/>
  <c r="N174" i="7"/>
  <c r="O174" i="7" s="1"/>
  <c r="P153" i="7"/>
  <c r="Q153" i="7" s="1"/>
  <c r="R153" i="7" s="1"/>
  <c r="L37" i="32"/>
  <c r="K37" i="32"/>
  <c r="H37" i="32"/>
  <c r="B37" i="32"/>
  <c r="N78" i="26" l="1"/>
  <c r="N175" i="7"/>
  <c r="O175" i="7" s="1"/>
  <c r="P154" i="7"/>
  <c r="Q154" i="7" s="1"/>
  <c r="R154" i="7" s="1"/>
  <c r="N79" i="26" l="1"/>
  <c r="N176" i="7"/>
  <c r="O176" i="7" s="1"/>
  <c r="P155" i="7"/>
  <c r="Q155" i="7" s="1"/>
  <c r="R155" i="7" s="1"/>
  <c r="N80" i="26" l="1"/>
  <c r="N177" i="7"/>
  <c r="O177" i="7" s="1"/>
  <c r="P156" i="7"/>
  <c r="Q156" i="7" s="1"/>
  <c r="R156" i="7" s="1"/>
  <c r="N81" i="26" l="1"/>
  <c r="N178" i="7"/>
  <c r="O178" i="7" s="1"/>
  <c r="P157" i="7"/>
  <c r="Q157" i="7" s="1"/>
  <c r="R157" i="7" s="1"/>
  <c r="A29" i="11"/>
  <c r="F38" i="17"/>
  <c r="F51" i="17" s="1"/>
  <c r="F39" i="17"/>
  <c r="L50" i="9"/>
  <c r="L73" i="9" s="1"/>
  <c r="L49" i="9"/>
  <c r="L48" i="9"/>
  <c r="N82" i="26" l="1"/>
  <c r="N179" i="7"/>
  <c r="O179" i="7" s="1"/>
  <c r="P158" i="7"/>
  <c r="Q158" i="7" s="1"/>
  <c r="R158" i="7" s="1"/>
  <c r="L71" i="9"/>
  <c r="L81" i="9" s="1"/>
  <c r="L72" i="9"/>
  <c r="D37" i="18"/>
  <c r="D39" i="18"/>
  <c r="D38" i="18"/>
  <c r="K91" i="9"/>
  <c r="J38" i="9"/>
  <c r="D50" i="18" l="1"/>
  <c r="D52" i="18" s="1"/>
  <c r="D48" i="18"/>
  <c r="N83" i="26"/>
  <c r="N180" i="7"/>
  <c r="O180" i="7" s="1"/>
  <c r="D46" i="18"/>
  <c r="P159" i="7"/>
  <c r="Q159" i="7" s="1"/>
  <c r="R159" i="7" s="1"/>
  <c r="F53" i="17"/>
  <c r="L79" i="9"/>
  <c r="L56" i="9" s="1"/>
  <c r="P83" i="26" l="1"/>
  <c r="N181" i="7"/>
  <c r="O181" i="7" s="1"/>
  <c r="O83" i="26"/>
  <c r="U8" i="26" s="1"/>
  <c r="V8" i="26" s="1"/>
  <c r="L85" i="9"/>
  <c r="L84" i="9"/>
  <c r="P160" i="7"/>
  <c r="Q160" i="7" s="1"/>
  <c r="R160" i="7" s="1"/>
  <c r="L93" i="9"/>
  <c r="M50" i="9"/>
  <c r="M73" i="9" s="1"/>
  <c r="N48" i="9"/>
  <c r="M47" i="9"/>
  <c r="I39" i="17"/>
  <c r="C28" i="18"/>
  <c r="C29" i="18"/>
  <c r="C30" i="18"/>
  <c r="E30" i="18"/>
  <c r="G36" i="17"/>
  <c r="H38" i="17"/>
  <c r="H36" i="17"/>
  <c r="E36" i="17"/>
  <c r="B36" i="17"/>
  <c r="G19" i="9"/>
  <c r="G15" i="9"/>
  <c r="I44" i="9"/>
  <c r="J46" i="9"/>
  <c r="H46" i="9"/>
  <c r="H40" i="9"/>
  <c r="H39" i="9"/>
  <c r="H41" i="9"/>
  <c r="B32" i="17"/>
  <c r="H43" i="9"/>
  <c r="H44" i="9"/>
  <c r="B30" i="17"/>
  <c r="B34" i="17"/>
  <c r="B35" i="17"/>
  <c r="I46" i="9"/>
  <c r="I40" i="9"/>
  <c r="C29" i="17"/>
  <c r="C31" i="17"/>
  <c r="I42" i="9"/>
  <c r="I43" i="9"/>
  <c r="C33" i="17"/>
  <c r="C32" i="17"/>
  <c r="J39" i="9"/>
  <c r="J41" i="9"/>
  <c r="J42" i="9"/>
  <c r="D32" i="17"/>
  <c r="J45" i="9"/>
  <c r="D30" i="17"/>
  <c r="D31" i="17"/>
  <c r="D34" i="17"/>
  <c r="D35" i="17"/>
  <c r="K40" i="9"/>
  <c r="K39" i="9"/>
  <c r="K41" i="9"/>
  <c r="K42" i="9"/>
  <c r="K43" i="9"/>
  <c r="K44" i="9"/>
  <c r="K45" i="9"/>
  <c r="M46" i="9"/>
  <c r="M42" i="9"/>
  <c r="G32" i="17"/>
  <c r="M44" i="9"/>
  <c r="M45" i="9"/>
  <c r="G34" i="17"/>
  <c r="G35" i="17"/>
  <c r="N46" i="9"/>
  <c r="N45" i="9"/>
  <c r="N44" i="9"/>
  <c r="G320" i="7"/>
  <c r="B8" i="9" s="1"/>
  <c r="G321" i="7"/>
  <c r="B9" i="9" s="1"/>
  <c r="G322" i="7"/>
  <c r="B10" i="9" s="1"/>
  <c r="G323" i="7"/>
  <c r="B11" i="9" s="1"/>
  <c r="G324" i="7"/>
  <c r="B12" i="9" s="1"/>
  <c r="F12" i="9" s="1"/>
  <c r="G325" i="7"/>
  <c r="B13" i="9" s="1"/>
  <c r="F13" i="9" s="1"/>
  <c r="G326" i="7"/>
  <c r="B14" i="9" s="1"/>
  <c r="F14" i="9" s="1"/>
  <c r="G327" i="7"/>
  <c r="B15" i="9" s="1"/>
  <c r="F15" i="9" s="1"/>
  <c r="G328" i="7"/>
  <c r="B16" i="9" s="1"/>
  <c r="F16" i="9" s="1"/>
  <c r="G329" i="7"/>
  <c r="B17" i="9" s="1"/>
  <c r="F17" i="9" s="1"/>
  <c r="G319" i="7"/>
  <c r="B7" i="9" s="1"/>
  <c r="G12" i="9"/>
  <c r="G13" i="9"/>
  <c r="G14" i="9"/>
  <c r="A27" i="7"/>
  <c r="A28" i="7" s="1"/>
  <c r="A29" i="7" s="1"/>
  <c r="A30" i="7" s="1"/>
  <c r="A31" i="7" s="1"/>
  <c r="A32" i="7" s="1"/>
  <c r="A33" i="7" s="1"/>
  <c r="A34" i="7" s="1"/>
  <c r="A35" i="7" s="1"/>
  <c r="A36" i="7" s="1"/>
  <c r="A37" i="7" s="1"/>
  <c r="A38" i="7" s="1"/>
  <c r="A39" i="7" s="1"/>
  <c r="A40" i="7" s="1"/>
  <c r="A41" i="7" s="1"/>
  <c r="A42" i="7" s="1"/>
  <c r="A43" i="7" s="1"/>
  <c r="A44" i="7" s="1"/>
  <c r="A45" i="7" s="1"/>
  <c r="A46" i="7" s="1"/>
  <c r="A47" i="7" s="1"/>
  <c r="A48" i="7" s="1"/>
  <c r="A49" i="7" s="1"/>
  <c r="A50" i="7" s="1"/>
  <c r="A51" i="7" s="1"/>
  <c r="A52" i="7" s="1"/>
  <c r="A53" i="7" s="1"/>
  <c r="A54" i="7" s="1"/>
  <c r="A55" i="7" s="1"/>
  <c r="A56" i="7" s="1"/>
  <c r="A57" i="7" s="1"/>
  <c r="A58" i="7" s="1"/>
  <c r="A59" i="7" s="1"/>
  <c r="A60" i="7" s="1"/>
  <c r="A61" i="7" s="1"/>
  <c r="A62" i="7" s="1"/>
  <c r="A63" i="7" s="1"/>
  <c r="A64" i="7" s="1"/>
  <c r="A65" i="7" s="1"/>
  <c r="A66" i="7" s="1"/>
  <c r="A67" i="7" s="1"/>
  <c r="A68" i="7" s="1"/>
  <c r="A69" i="7" s="1"/>
  <c r="A70" i="7" s="1"/>
  <c r="A71" i="7" s="1"/>
  <c r="A72" i="7" s="1"/>
  <c r="A73" i="7" s="1"/>
  <c r="A74" i="7" s="1"/>
  <c r="A75" i="7" s="1"/>
  <c r="A76" i="7" s="1"/>
  <c r="A77" i="7" s="1"/>
  <c r="A78" i="7" s="1"/>
  <c r="A79" i="7" s="1"/>
  <c r="A80" i="7" s="1"/>
  <c r="A81" i="7" s="1"/>
  <c r="A82" i="7" s="1"/>
  <c r="A83" i="7" s="1"/>
  <c r="A84" i="7" s="1"/>
  <c r="A85" i="7" s="1"/>
  <c r="A86" i="7" s="1"/>
  <c r="A87" i="7" s="1"/>
  <c r="A88" i="7" s="1"/>
  <c r="A89" i="7" s="1"/>
  <c r="A90" i="7" s="1"/>
  <c r="A91" i="7" s="1"/>
  <c r="A92" i="7" s="1"/>
  <c r="A93" i="7" s="1"/>
  <c r="A94" i="7" s="1"/>
  <c r="A95" i="7" s="1"/>
  <c r="A96" i="7" s="1"/>
  <c r="A97" i="7" s="1"/>
  <c r="A98" i="7" s="1"/>
  <c r="A99" i="7" s="1"/>
  <c r="A100" i="7" s="1"/>
  <c r="A101" i="7" s="1"/>
  <c r="A102" i="7" s="1"/>
  <c r="A103" i="7" s="1"/>
  <c r="A104" i="7" s="1"/>
  <c r="A105" i="7" s="1"/>
  <c r="A106" i="7" s="1"/>
  <c r="A107" i="7" s="1"/>
  <c r="A108" i="7" s="1"/>
  <c r="A109" i="7" s="1"/>
  <c r="A110" i="7" s="1"/>
  <c r="A111" i="7" s="1"/>
  <c r="A112" i="7" s="1"/>
  <c r="A113" i="7" s="1"/>
  <c r="A114" i="7" s="1"/>
  <c r="A115" i="7" s="1"/>
  <c r="A116" i="7" s="1"/>
  <c r="A117" i="7" s="1"/>
  <c r="A118" i="7" s="1"/>
  <c r="A119" i="7" s="1"/>
  <c r="A120" i="7" s="1"/>
  <c r="A121" i="7" s="1"/>
  <c r="A122" i="7" s="1"/>
  <c r="A123" i="7" s="1"/>
  <c r="A124" i="7" s="1"/>
  <c r="A125" i="7" s="1"/>
  <c r="A126" i="7" s="1"/>
  <c r="A127" i="7" s="1"/>
  <c r="A128" i="7" s="1"/>
  <c r="A129" i="7" s="1"/>
  <c r="A130" i="7" s="1"/>
  <c r="A131" i="7" s="1"/>
  <c r="A132" i="7" s="1"/>
  <c r="A133" i="7" s="1"/>
  <c r="A134" i="7" s="1"/>
  <c r="A135" i="7" s="1"/>
  <c r="A136" i="7" s="1"/>
  <c r="A137" i="7" s="1"/>
  <c r="A138" i="7" s="1"/>
  <c r="A139" i="7" s="1"/>
  <c r="A140" i="7" s="1"/>
  <c r="A141" i="7" s="1"/>
  <c r="A142" i="7" s="1"/>
  <c r="A143" i="7" s="1"/>
  <c r="A144" i="7" s="1"/>
  <c r="A145" i="7" s="1"/>
  <c r="A146" i="7" s="1"/>
  <c r="A147" i="7" s="1"/>
  <c r="A148" i="7" s="1"/>
  <c r="A149" i="7" s="1"/>
  <c r="A150" i="7" s="1"/>
  <c r="A151" i="7" s="1"/>
  <c r="A152" i="7" s="1"/>
  <c r="A153" i="7" s="1"/>
  <c r="A154" i="7" s="1"/>
  <c r="A155" i="7" s="1"/>
  <c r="A156" i="7" s="1"/>
  <c r="A157" i="7" s="1"/>
  <c r="A158" i="7" s="1"/>
  <c r="A159" i="7" s="1"/>
  <c r="A160" i="7" s="1"/>
  <c r="A161" i="7" s="1"/>
  <c r="A162" i="7" s="1"/>
  <c r="A163" i="7" s="1"/>
  <c r="A164" i="7" s="1"/>
  <c r="A165" i="7" s="1"/>
  <c r="A166" i="7" s="1"/>
  <c r="A167" i="7" s="1"/>
  <c r="A168" i="7" s="1"/>
  <c r="A169" i="7" s="1"/>
  <c r="A170" i="7" s="1"/>
  <c r="A171" i="7" s="1"/>
  <c r="A172" i="7" s="1"/>
  <c r="A173" i="7" s="1"/>
  <c r="A174" i="7" s="1"/>
  <c r="A175" i="7" s="1"/>
  <c r="A176" i="7" s="1"/>
  <c r="A177" i="7" s="1"/>
  <c r="A178" i="7" s="1"/>
  <c r="A179" i="7" s="1"/>
  <c r="A180" i="7" s="1"/>
  <c r="A181" i="7" s="1"/>
  <c r="A182" i="7" s="1"/>
  <c r="A183" i="7" s="1"/>
  <c r="A184" i="7" s="1"/>
  <c r="A185" i="7" s="1"/>
  <c r="A186" i="7" s="1"/>
  <c r="A187" i="7" s="1"/>
  <c r="A188" i="7" s="1"/>
  <c r="A189" i="7" s="1"/>
  <c r="A190" i="7" s="1"/>
  <c r="A191" i="7" s="1"/>
  <c r="A192" i="7" s="1"/>
  <c r="A193" i="7" s="1"/>
  <c r="A194" i="7" s="1"/>
  <c r="A195" i="7" s="1"/>
  <c r="A196" i="7" s="1"/>
  <c r="A197" i="7" s="1"/>
  <c r="A198" i="7" s="1"/>
  <c r="A199" i="7" s="1"/>
  <c r="A200" i="7" s="1"/>
  <c r="A201" i="7" s="1"/>
  <c r="A202" i="7" s="1"/>
  <c r="A203" i="7" s="1"/>
  <c r="A204" i="7" s="1"/>
  <c r="A205" i="7" s="1"/>
  <c r="A206" i="7" s="1"/>
  <c r="A207" i="7" s="1"/>
  <c r="A208" i="7" s="1"/>
  <c r="A209" i="7" s="1"/>
  <c r="A210" i="7" s="1"/>
  <c r="A211" i="7" s="1"/>
  <c r="A212" i="7" s="1"/>
  <c r="A213" i="7" s="1"/>
  <c r="A214" i="7" s="1"/>
  <c r="A215" i="7" s="1"/>
  <c r="A216" i="7" s="1"/>
  <c r="A217" i="7" s="1"/>
  <c r="A218" i="7" s="1"/>
  <c r="A219" i="7" s="1"/>
  <c r="A220" i="7" s="1"/>
  <c r="A221" i="7" s="1"/>
  <c r="A222" i="7" s="1"/>
  <c r="A223" i="7" s="1"/>
  <c r="A224" i="7" s="1"/>
  <c r="A225" i="7" s="1"/>
  <c r="A226" i="7" s="1"/>
  <c r="A227" i="7" s="1"/>
  <c r="A228" i="7" s="1"/>
  <c r="A229" i="7" s="1"/>
  <c r="A230" i="7" s="1"/>
  <c r="A231" i="7" s="1"/>
  <c r="A232" i="7" s="1"/>
  <c r="A233" i="7" s="1"/>
  <c r="A234" i="7" s="1"/>
  <c r="A235" i="7" s="1"/>
  <c r="A236" i="7" s="1"/>
  <c r="A237" i="7" s="1"/>
  <c r="A238" i="7" s="1"/>
  <c r="A239" i="7" s="1"/>
  <c r="A240" i="7" s="1"/>
  <c r="A241" i="7" s="1"/>
  <c r="A242" i="7" s="1"/>
  <c r="A243" i="7" s="1"/>
  <c r="A244" i="7" s="1"/>
  <c r="A245" i="7" s="1"/>
  <c r="A246" i="7" s="1"/>
  <c r="A247" i="7" s="1"/>
  <c r="A248" i="7" s="1"/>
  <c r="A249" i="7" s="1"/>
  <c r="A250" i="7" s="1"/>
  <c r="A251" i="7" s="1"/>
  <c r="A252" i="7" s="1"/>
  <c r="A253" i="7" s="1"/>
  <c r="A254" i="7" s="1"/>
  <c r="A255" i="7" s="1"/>
  <c r="A256" i="7" s="1"/>
  <c r="A257" i="7" s="1"/>
  <c r="A258" i="7" s="1"/>
  <c r="A259" i="7" s="1"/>
  <c r="A260" i="7" s="1"/>
  <c r="A261" i="7" s="1"/>
  <c r="A262" i="7" s="1"/>
  <c r="A263" i="7" s="1"/>
  <c r="A264" i="7" s="1"/>
  <c r="A265" i="7" s="1"/>
  <c r="A266" i="7" s="1"/>
  <c r="A267" i="7" s="1"/>
  <c r="A268" i="7" s="1"/>
  <c r="A269" i="7" s="1"/>
  <c r="A270" i="7" s="1"/>
  <c r="A271" i="7" s="1"/>
  <c r="A272" i="7" s="1"/>
  <c r="A273" i="7" s="1"/>
  <c r="A274" i="7" s="1"/>
  <c r="A275" i="7" s="1"/>
  <c r="A276" i="7" s="1"/>
  <c r="A277" i="7" s="1"/>
  <c r="A278" i="7" s="1"/>
  <c r="A279" i="7" s="1"/>
  <c r="A280" i="7" s="1"/>
  <c r="A281" i="7" s="1"/>
  <c r="A282" i="7" s="1"/>
  <c r="A283" i="7" s="1"/>
  <c r="A284" i="7" s="1"/>
  <c r="A285" i="7" s="1"/>
  <c r="A286" i="7" s="1"/>
  <c r="A287" i="7" s="1"/>
  <c r="A288" i="7" s="1"/>
  <c r="A289" i="7" s="1"/>
  <c r="A290" i="7" s="1"/>
  <c r="A291" i="7" s="1"/>
  <c r="A292" i="7" s="1"/>
  <c r="A293" i="7" s="1"/>
  <c r="A294" i="7" s="1"/>
  <c r="A295" i="7" s="1"/>
  <c r="A296" i="7" s="1"/>
  <c r="A297" i="7" s="1"/>
  <c r="A298" i="7" s="1"/>
  <c r="A299" i="7" s="1"/>
  <c r="A300" i="7" s="1"/>
  <c r="A301" i="7" s="1"/>
  <c r="A302" i="7" s="1"/>
  <c r="A303" i="7" s="1"/>
  <c r="A304" i="7" s="1"/>
  <c r="A305" i="7" s="1"/>
  <c r="A306" i="7" s="1"/>
  <c r="A307" i="7" s="1"/>
  <c r="A308" i="7" s="1"/>
  <c r="A309" i="7" s="1"/>
  <c r="A310" i="7" s="1"/>
  <c r="A311" i="7" s="1"/>
  <c r="A312" i="7" s="1"/>
  <c r="A313" i="7" s="1"/>
  <c r="M40" i="9"/>
  <c r="E29" i="17"/>
  <c r="E30" i="17"/>
  <c r="E31" i="17"/>
  <c r="E32" i="17"/>
  <c r="E33" i="17"/>
  <c r="E34" i="17"/>
  <c r="E35" i="17"/>
  <c r="B28" i="18"/>
  <c r="B29" i="18"/>
  <c r="E35" i="18"/>
  <c r="E34" i="18"/>
  <c r="E33" i="18"/>
  <c r="C33" i="18"/>
  <c r="C32" i="18"/>
  <c r="E31" i="18"/>
  <c r="C31" i="18"/>
  <c r="I38" i="9"/>
  <c r="K38" i="9"/>
  <c r="C2" i="17"/>
  <c r="D2" i="17"/>
  <c r="B2" i="18" s="1"/>
  <c r="E2" i="17"/>
  <c r="C2" i="18" s="1"/>
  <c r="G2" i="17"/>
  <c r="H2" i="17"/>
  <c r="B2" i="17"/>
  <c r="A38" i="9"/>
  <c r="A60" i="9" s="1"/>
  <c r="A7" i="9"/>
  <c r="G5" i="18"/>
  <c r="G6" i="18"/>
  <c r="G4" i="18"/>
  <c r="A39" i="11"/>
  <c r="A34" i="11"/>
  <c r="A24" i="11"/>
  <c r="A19" i="11"/>
  <c r="A15" i="11"/>
  <c r="A11" i="11"/>
  <c r="B33" i="18"/>
  <c r="G33" i="17"/>
  <c r="D33" i="17"/>
  <c r="J44" i="9"/>
  <c r="H42" i="9"/>
  <c r="B31" i="17"/>
  <c r="K46" i="9"/>
  <c r="G16" i="9"/>
  <c r="J43" i="9"/>
  <c r="M43" i="9"/>
  <c r="J40" i="9"/>
  <c r="D29" i="17"/>
  <c r="I41" i="9"/>
  <c r="C30" i="17"/>
  <c r="G17" i="9"/>
  <c r="M41" i="9"/>
  <c r="C34" i="17"/>
  <c r="I45" i="9"/>
  <c r="H45" i="9"/>
  <c r="G18" i="9"/>
  <c r="H34" i="17"/>
  <c r="H35" i="17"/>
  <c r="I39" i="9"/>
  <c r="G31" i="17"/>
  <c r="C35" i="17"/>
  <c r="B33" i="17"/>
  <c r="B29" i="17"/>
  <c r="G39" i="17"/>
  <c r="J48" i="9"/>
  <c r="I48" i="9"/>
  <c r="E39" i="17"/>
  <c r="H37" i="17"/>
  <c r="N50" i="9"/>
  <c r="N73" i="9" s="1"/>
  <c r="C38" i="17"/>
  <c r="B37" i="17"/>
  <c r="E32" i="18"/>
  <c r="B31" i="18"/>
  <c r="G8" i="18"/>
  <c r="I37" i="17"/>
  <c r="O324" i="7"/>
  <c r="C12" i="9" s="1"/>
  <c r="O320" i="7"/>
  <c r="C8" i="9" s="1"/>
  <c r="O319" i="7"/>
  <c r="C7" i="9" s="1"/>
  <c r="O321" i="7"/>
  <c r="C9" i="9" s="1"/>
  <c r="O326" i="7"/>
  <c r="C14" i="9" s="1"/>
  <c r="O325" i="7"/>
  <c r="C13" i="9" s="1"/>
  <c r="O322" i="7"/>
  <c r="C10" i="9" s="1"/>
  <c r="O323" i="7"/>
  <c r="C11" i="9" s="1"/>
  <c r="G38" i="17"/>
  <c r="G37" i="17"/>
  <c r="D39" i="17"/>
  <c r="B38" i="17"/>
  <c r="H39" i="17"/>
  <c r="C39" i="17"/>
  <c r="C37" i="17"/>
  <c r="O9" i="26" l="1"/>
  <c r="P9" i="26" s="1"/>
  <c r="N84" i="26" s="1"/>
  <c r="N85" i="26" s="1"/>
  <c r="P161" i="7"/>
  <c r="Q161" i="7" s="1"/>
  <c r="R161" i="7" s="1"/>
  <c r="H48" i="17"/>
  <c r="H46" i="17"/>
  <c r="B46" i="17"/>
  <c r="G51" i="17"/>
  <c r="G46" i="17" s="1"/>
  <c r="G48" i="17"/>
  <c r="B53" i="17"/>
  <c r="L92" i="9"/>
  <c r="I66" i="9"/>
  <c r="H63" i="9"/>
  <c r="H64" i="9"/>
  <c r="H62" i="9"/>
  <c r="B50" i="11"/>
  <c r="K64" i="9"/>
  <c r="M48" i="9"/>
  <c r="M70" i="9" s="1"/>
  <c r="S19" i="32"/>
  <c r="AC8" i="32"/>
  <c r="H367" i="7"/>
  <c r="H353" i="7"/>
  <c r="H355" i="7"/>
  <c r="AC10" i="32"/>
  <c r="H369" i="7"/>
  <c r="H357" i="7"/>
  <c r="AC12" i="32"/>
  <c r="H371" i="7"/>
  <c r="H359" i="7"/>
  <c r="AC14" i="32"/>
  <c r="H373" i="7"/>
  <c r="AC16" i="32"/>
  <c r="H375" i="7"/>
  <c r="H361" i="7"/>
  <c r="T19" i="32"/>
  <c r="I367" i="7"/>
  <c r="I353" i="7"/>
  <c r="I355" i="7"/>
  <c r="I369" i="7"/>
  <c r="I371" i="7"/>
  <c r="I357" i="7"/>
  <c r="I359" i="7"/>
  <c r="I373" i="7"/>
  <c r="I375" i="7"/>
  <c r="I361" i="7"/>
  <c r="T37" i="32"/>
  <c r="U37" i="32"/>
  <c r="H352" i="7"/>
  <c r="H366" i="7"/>
  <c r="AC7" i="32"/>
  <c r="AC9" i="32"/>
  <c r="H368" i="7"/>
  <c r="H354" i="7"/>
  <c r="H356" i="7"/>
  <c r="AC11" i="32"/>
  <c r="H370" i="7"/>
  <c r="AC13" i="32"/>
  <c r="H372" i="7"/>
  <c r="H358" i="7"/>
  <c r="H374" i="7"/>
  <c r="H360" i="7"/>
  <c r="AC15" i="32"/>
  <c r="AC17" i="32"/>
  <c r="H376" i="7"/>
  <c r="H362" i="7"/>
  <c r="I366" i="7"/>
  <c r="I352" i="7"/>
  <c r="I368" i="7"/>
  <c r="I354" i="7"/>
  <c r="I370" i="7"/>
  <c r="I356" i="7"/>
  <c r="I372" i="7"/>
  <c r="I358" i="7"/>
  <c r="I374" i="7"/>
  <c r="I360" i="7"/>
  <c r="I362" i="7"/>
  <c r="I376" i="7"/>
  <c r="M67" i="9"/>
  <c r="J64" i="9"/>
  <c r="I67" i="9"/>
  <c r="C39" i="18"/>
  <c r="H47" i="9"/>
  <c r="I64" i="9"/>
  <c r="H68" i="9"/>
  <c r="J67" i="9"/>
  <c r="N47" i="9"/>
  <c r="N69" i="9" s="1"/>
  <c r="O47" i="9"/>
  <c r="O48" i="9"/>
  <c r="B37" i="18"/>
  <c r="K50" i="9"/>
  <c r="K73" i="9" s="1"/>
  <c r="G16" i="18"/>
  <c r="H48" i="9"/>
  <c r="I49" i="9"/>
  <c r="I71" i="9" s="1"/>
  <c r="J65" i="9"/>
  <c r="O49" i="9"/>
  <c r="E37" i="18"/>
  <c r="M49" i="9"/>
  <c r="C37" i="18"/>
  <c r="K49" i="9"/>
  <c r="H49" i="9"/>
  <c r="H72" i="9" s="1"/>
  <c r="I63" i="9"/>
  <c r="I50" i="9"/>
  <c r="I73" i="9" s="1"/>
  <c r="I68" i="9"/>
  <c r="K63" i="9"/>
  <c r="M68" i="9"/>
  <c r="H67" i="9"/>
  <c r="J62" i="9"/>
  <c r="J68" i="9"/>
  <c r="M65" i="9"/>
  <c r="M64" i="9"/>
  <c r="M66" i="9"/>
  <c r="P319" i="7"/>
  <c r="Q319" i="7" s="1"/>
  <c r="P322" i="7"/>
  <c r="Q322" i="7" s="1"/>
  <c r="P321" i="7"/>
  <c r="Q321" i="7" s="1"/>
  <c r="P324" i="7"/>
  <c r="Q324" i="7" s="1"/>
  <c r="P323" i="7"/>
  <c r="Q323" i="7" s="1"/>
  <c r="D14" i="9"/>
  <c r="E14" i="9" s="1"/>
  <c r="P325" i="7"/>
  <c r="Q325" i="7" s="1"/>
  <c r="P320" i="7"/>
  <c r="Q320" i="7" s="1"/>
  <c r="M69" i="9"/>
  <c r="N49" i="9"/>
  <c r="N72" i="9" s="1"/>
  <c r="J66" i="9"/>
  <c r="G14" i="18"/>
  <c r="C36" i="18"/>
  <c r="O50" i="9"/>
  <c r="O73" i="9" s="1"/>
  <c r="G11" i="18"/>
  <c r="B34" i="18"/>
  <c r="K47" i="9"/>
  <c r="P326" i="7"/>
  <c r="Q326" i="7" s="1"/>
  <c r="B36" i="18"/>
  <c r="G13" i="18"/>
  <c r="N68" i="9"/>
  <c r="K65" i="9"/>
  <c r="H65" i="9"/>
  <c r="H66" i="9"/>
  <c r="G12" i="18"/>
  <c r="B35" i="18"/>
  <c r="D36" i="17"/>
  <c r="J47" i="9"/>
  <c r="J70" i="9" s="1"/>
  <c r="C35" i="18"/>
  <c r="K68" i="9"/>
  <c r="K48" i="9"/>
  <c r="E37" i="17"/>
  <c r="E38" i="17"/>
  <c r="E36" i="18"/>
  <c r="E50" i="18" s="1"/>
  <c r="E52" i="18" s="1"/>
  <c r="E39" i="18"/>
  <c r="G10" i="18"/>
  <c r="C34" i="18"/>
  <c r="C50" i="18" s="1"/>
  <c r="K66" i="9"/>
  <c r="K67" i="9"/>
  <c r="I62" i="9"/>
  <c r="G7" i="18"/>
  <c r="N67" i="9"/>
  <c r="B30" i="18"/>
  <c r="C36" i="17"/>
  <c r="I65" i="9"/>
  <c r="K62" i="9"/>
  <c r="J63" i="9"/>
  <c r="E2" i="18"/>
  <c r="D37" i="17"/>
  <c r="D38" i="17"/>
  <c r="E38" i="18"/>
  <c r="C38" i="18"/>
  <c r="J50" i="9"/>
  <c r="J73" i="9" s="1"/>
  <c r="G15" i="18"/>
  <c r="I47" i="9"/>
  <c r="G20" i="9"/>
  <c r="I38" i="17"/>
  <c r="I48" i="17" s="1"/>
  <c r="J49" i="9"/>
  <c r="J71" i="9" s="1"/>
  <c r="B38" i="18"/>
  <c r="G22" i="9"/>
  <c r="B46" i="18" l="1"/>
  <c r="B81" i="17"/>
  <c r="C52" i="18"/>
  <c r="B48" i="18"/>
  <c r="N86" i="26"/>
  <c r="N183" i="7"/>
  <c r="O183" i="7" s="1"/>
  <c r="N182" i="7"/>
  <c r="O182" i="7" s="1"/>
  <c r="C48" i="18"/>
  <c r="C46" i="18"/>
  <c r="E48" i="18"/>
  <c r="E46" i="18"/>
  <c r="P162" i="7"/>
  <c r="Q162" i="7" s="1"/>
  <c r="R162" i="7" s="1"/>
  <c r="G81" i="17"/>
  <c r="G82" i="17"/>
  <c r="H81" i="17"/>
  <c r="D48" i="17"/>
  <c r="I51" i="17"/>
  <c r="I46" i="17" s="1"/>
  <c r="E51" i="17"/>
  <c r="E46" i="17" s="1"/>
  <c r="D51" i="17"/>
  <c r="D46" i="17" s="1"/>
  <c r="C46" i="17"/>
  <c r="E48" i="17"/>
  <c r="I310" i="7"/>
  <c r="I298" i="7"/>
  <c r="I293" i="7"/>
  <c r="I305" i="7"/>
  <c r="I308" i="7"/>
  <c r="I296" i="7"/>
  <c r="I311" i="7"/>
  <c r="I299" i="7"/>
  <c r="I307" i="7"/>
  <c r="I295" i="7"/>
  <c r="I303" i="7"/>
  <c r="I291" i="7"/>
  <c r="I306" i="7"/>
  <c r="I294" i="7"/>
  <c r="I309" i="7"/>
  <c r="I297" i="7"/>
  <c r="I312" i="7"/>
  <c r="I300" i="7"/>
  <c r="I304" i="7"/>
  <c r="I292" i="7"/>
  <c r="I301" i="7"/>
  <c r="I313" i="7"/>
  <c r="H313" i="7"/>
  <c r="H301" i="7"/>
  <c r="H305" i="7"/>
  <c r="H293" i="7"/>
  <c r="H309" i="7"/>
  <c r="H297" i="7"/>
  <c r="H306" i="7"/>
  <c r="H294" i="7"/>
  <c r="H307" i="7"/>
  <c r="H295" i="7"/>
  <c r="H312" i="7"/>
  <c r="H300" i="7"/>
  <c r="H308" i="7"/>
  <c r="H296" i="7"/>
  <c r="H304" i="7"/>
  <c r="H292" i="7"/>
  <c r="H311" i="7"/>
  <c r="H299" i="7"/>
  <c r="H310" i="7"/>
  <c r="H298" i="7"/>
  <c r="H303" i="7"/>
  <c r="H291" i="7"/>
  <c r="H71" i="9"/>
  <c r="D11" i="9"/>
  <c r="E11" i="9" s="1"/>
  <c r="D8" i="9"/>
  <c r="E8" i="9" s="1"/>
  <c r="D9" i="9"/>
  <c r="E9" i="9" s="1"/>
  <c r="D7" i="9"/>
  <c r="E7" i="9" s="1"/>
  <c r="M71" i="9"/>
  <c r="I351" i="7"/>
  <c r="I365" i="7"/>
  <c r="H351" i="7"/>
  <c r="H290" i="7" s="1"/>
  <c r="H365" i="7"/>
  <c r="S37" i="32"/>
  <c r="R320" i="7"/>
  <c r="R319" i="7"/>
  <c r="R323" i="7"/>
  <c r="R322" i="7"/>
  <c r="R321" i="7"/>
  <c r="R326" i="7"/>
  <c r="R325" i="7"/>
  <c r="R324" i="7"/>
  <c r="N70" i="9"/>
  <c r="N81" i="9" s="1"/>
  <c r="H69" i="9"/>
  <c r="K71" i="9"/>
  <c r="O71" i="9"/>
  <c r="H70" i="9"/>
  <c r="K72" i="9"/>
  <c r="O72" i="9"/>
  <c r="I72" i="9"/>
  <c r="M72" i="9"/>
  <c r="N71" i="9"/>
  <c r="K70" i="9"/>
  <c r="D10" i="9"/>
  <c r="E10" i="9" s="1"/>
  <c r="D12" i="9"/>
  <c r="E12" i="9" s="1"/>
  <c r="C53" i="17"/>
  <c r="G53" i="17"/>
  <c r="J69" i="9"/>
  <c r="G9" i="18"/>
  <c r="B32" i="18"/>
  <c r="B50" i="18" s="1"/>
  <c r="B52" i="18" s="1"/>
  <c r="H53" i="17"/>
  <c r="K69" i="9"/>
  <c r="D13" i="9"/>
  <c r="E13" i="9" s="1"/>
  <c r="I69" i="9"/>
  <c r="I81" i="9" s="1"/>
  <c r="I70" i="9"/>
  <c r="I53" i="17"/>
  <c r="J72" i="9"/>
  <c r="J81" i="9" s="1"/>
  <c r="B22" i="17" l="1"/>
  <c r="H84" i="9" s="1"/>
  <c r="B82" i="17"/>
  <c r="B23" i="17" s="1"/>
  <c r="N87" i="26"/>
  <c r="N184" i="7"/>
  <c r="O184" i="7" s="1"/>
  <c r="M81" i="9"/>
  <c r="D82" i="17"/>
  <c r="P163" i="7"/>
  <c r="Q163" i="7" s="1"/>
  <c r="R163" i="7" s="1"/>
  <c r="I81" i="17"/>
  <c r="C81" i="17"/>
  <c r="H22" i="17"/>
  <c r="E82" i="17"/>
  <c r="E81" i="17"/>
  <c r="H82" i="17"/>
  <c r="H23" i="17" s="1"/>
  <c r="G22" i="17"/>
  <c r="G23" i="17"/>
  <c r="K81" i="9"/>
  <c r="I302" i="7"/>
  <c r="I290" i="7"/>
  <c r="H302" i="7"/>
  <c r="D53" i="17"/>
  <c r="E53" i="17"/>
  <c r="H92" i="9" l="1"/>
  <c r="N88" i="26"/>
  <c r="N185" i="7"/>
  <c r="O185" i="7" s="1"/>
  <c r="P164" i="7"/>
  <c r="Q164" i="7" s="1"/>
  <c r="R164" i="7" s="1"/>
  <c r="C22" i="17"/>
  <c r="B40" i="11" a="1"/>
  <c r="B35" i="11" a="1"/>
  <c r="C82" i="17"/>
  <c r="E23" i="17"/>
  <c r="E22" i="17"/>
  <c r="D23" i="17"/>
  <c r="D22" i="17"/>
  <c r="I22" i="17"/>
  <c r="I82" i="17"/>
  <c r="I23" i="17" s="1"/>
  <c r="N79" i="9"/>
  <c r="N56" i="9" s="1"/>
  <c r="N84" i="9" s="1"/>
  <c r="J79" i="9"/>
  <c r="J56" i="9" s="1"/>
  <c r="M79" i="9"/>
  <c r="M56" i="9" s="1"/>
  <c r="K79" i="9"/>
  <c r="O56" i="9"/>
  <c r="I79" i="9"/>
  <c r="B12" i="11" l="1" a="1"/>
  <c r="T12" i="11" s="1"/>
  <c r="H85" i="9"/>
  <c r="N89" i="26"/>
  <c r="N186" i="7"/>
  <c r="O186" i="7" s="1"/>
  <c r="B20" i="11" a="1"/>
  <c r="Q20" i="11" s="1"/>
  <c r="P165" i="7"/>
  <c r="Q165" i="7" s="1"/>
  <c r="R165" i="7" s="1"/>
  <c r="C23" i="17"/>
  <c r="B16" i="11" s="1" a="1"/>
  <c r="K22" i="17"/>
  <c r="G35" i="11"/>
  <c r="B35" i="11"/>
  <c r="T35" i="11"/>
  <c r="E35" i="11"/>
  <c r="I35" i="11"/>
  <c r="P35" i="11"/>
  <c r="S35" i="11"/>
  <c r="O35" i="11"/>
  <c r="K35" i="11"/>
  <c r="F35" i="11"/>
  <c r="H35" i="11"/>
  <c r="L35" i="11"/>
  <c r="Q35" i="11"/>
  <c r="N35" i="11"/>
  <c r="J35" i="11"/>
  <c r="M35" i="11"/>
  <c r="R35" i="11"/>
  <c r="D35" i="11"/>
  <c r="C35" i="11"/>
  <c r="B44" i="11" a="1"/>
  <c r="B25" i="11" a="1"/>
  <c r="J40" i="11"/>
  <c r="O40" i="11"/>
  <c r="H40" i="11"/>
  <c r="S40" i="11"/>
  <c r="G40" i="11"/>
  <c r="M40" i="11"/>
  <c r="D40" i="11"/>
  <c r="E40" i="11"/>
  <c r="C40" i="11"/>
  <c r="R40" i="11"/>
  <c r="T40" i="11"/>
  <c r="I40" i="11"/>
  <c r="B40" i="11"/>
  <c r="Q40" i="11"/>
  <c r="L40" i="11"/>
  <c r="F40" i="11"/>
  <c r="K40" i="11"/>
  <c r="P40" i="11"/>
  <c r="N40" i="11"/>
  <c r="K23" i="17"/>
  <c r="I56" i="9"/>
  <c r="K56" i="9"/>
  <c r="K85" i="9" s="1"/>
  <c r="N85" i="9"/>
  <c r="N93" i="9" s="1"/>
  <c r="M85" i="9"/>
  <c r="M93" i="9" s="1"/>
  <c r="O85" i="9"/>
  <c r="O93" i="9" s="1"/>
  <c r="J85" i="9"/>
  <c r="J93" i="9" s="1"/>
  <c r="N92" i="9"/>
  <c r="M84" i="9"/>
  <c r="M92" i="9" s="1"/>
  <c r="C12" i="11" l="1"/>
  <c r="M12" i="11"/>
  <c r="N12" i="11"/>
  <c r="F12" i="11"/>
  <c r="O12" i="11"/>
  <c r="L12" i="11"/>
  <c r="J12" i="11"/>
  <c r="E12" i="11"/>
  <c r="K12" i="11"/>
  <c r="G12" i="11"/>
  <c r="P12" i="11"/>
  <c r="S12" i="11"/>
  <c r="D12" i="11"/>
  <c r="H12" i="11"/>
  <c r="Q12" i="11"/>
  <c r="I12" i="11"/>
  <c r="B12" i="11"/>
  <c r="R12" i="11"/>
  <c r="N90" i="26"/>
  <c r="N187" i="7"/>
  <c r="O187" i="7" s="1"/>
  <c r="S20" i="11"/>
  <c r="K20" i="11"/>
  <c r="H20" i="11"/>
  <c r="P20" i="11"/>
  <c r="G20" i="11"/>
  <c r="R20" i="11"/>
  <c r="F20" i="11"/>
  <c r="O20" i="11"/>
  <c r="L20" i="11"/>
  <c r="N20" i="11"/>
  <c r="E20" i="11"/>
  <c r="C20" i="11"/>
  <c r="J20" i="11"/>
  <c r="D20" i="11"/>
  <c r="T20" i="11"/>
  <c r="U20" i="11" s="1"/>
  <c r="B20" i="11"/>
  <c r="I20" i="11"/>
  <c r="M20" i="11"/>
  <c r="I85" i="9"/>
  <c r="I93" i="9" s="1"/>
  <c r="P166" i="7"/>
  <c r="Q166" i="7" s="1"/>
  <c r="R166" i="7" s="1"/>
  <c r="B53" i="11" a="1"/>
  <c r="S53" i="11" s="1"/>
  <c r="J25" i="11"/>
  <c r="T25" i="11"/>
  <c r="Q25" i="11"/>
  <c r="F25" i="11"/>
  <c r="C25" i="11"/>
  <c r="P25" i="11"/>
  <c r="R25" i="11"/>
  <c r="E25" i="11"/>
  <c r="S25" i="11"/>
  <c r="M25" i="11"/>
  <c r="O25" i="11"/>
  <c r="H25" i="11"/>
  <c r="N25" i="11"/>
  <c r="D25" i="11"/>
  <c r="L25" i="11"/>
  <c r="G25" i="11"/>
  <c r="B25" i="11"/>
  <c r="K25" i="11"/>
  <c r="I25" i="11"/>
  <c r="M44" i="11"/>
  <c r="E44" i="11"/>
  <c r="J44" i="11"/>
  <c r="I44" i="11"/>
  <c r="R44" i="11"/>
  <c r="K44" i="11"/>
  <c r="B44" i="11"/>
  <c r="H44" i="11"/>
  <c r="T44" i="11"/>
  <c r="S44" i="11"/>
  <c r="D44" i="11"/>
  <c r="O44" i="11"/>
  <c r="L44" i="11"/>
  <c r="F44" i="11"/>
  <c r="P44" i="11"/>
  <c r="N44" i="11"/>
  <c r="Q44" i="11"/>
  <c r="G44" i="11"/>
  <c r="C44" i="11"/>
  <c r="D16" i="11"/>
  <c r="J16" i="11"/>
  <c r="I16" i="11"/>
  <c r="T16" i="11"/>
  <c r="B16" i="11"/>
  <c r="P16" i="11"/>
  <c r="L16" i="11"/>
  <c r="Q16" i="11"/>
  <c r="G16" i="11"/>
  <c r="S16" i="11"/>
  <c r="N16" i="11"/>
  <c r="M16" i="11"/>
  <c r="E16" i="11"/>
  <c r="H16" i="11"/>
  <c r="R16" i="11"/>
  <c r="K16" i="11"/>
  <c r="F16" i="11"/>
  <c r="O16" i="11"/>
  <c r="C16" i="11"/>
  <c r="K84" i="9"/>
  <c r="K92" i="9" s="1"/>
  <c r="I84" i="9"/>
  <c r="G84" i="9" s="1"/>
  <c r="J84" i="9"/>
  <c r="J92" i="9" s="1"/>
  <c r="O84" i="9"/>
  <c r="O92" i="9" s="1"/>
  <c r="K93" i="9"/>
  <c r="S49" i="11" l="1"/>
  <c r="D49" i="11"/>
  <c r="N91" i="26"/>
  <c r="N188" i="7"/>
  <c r="O188" i="7" s="1"/>
  <c r="K49" i="11"/>
  <c r="P49" i="11"/>
  <c r="O49" i="11"/>
  <c r="J49" i="11"/>
  <c r="B49" i="11"/>
  <c r="H53" i="11"/>
  <c r="O53" i="11"/>
  <c r="D53" i="11"/>
  <c r="I53" i="11"/>
  <c r="P53" i="11"/>
  <c r="P167" i="7"/>
  <c r="Q167" i="7" s="1"/>
  <c r="R167" i="7" s="1"/>
  <c r="K53" i="11"/>
  <c r="G53" i="11"/>
  <c r="N53" i="11"/>
  <c r="J53" i="11"/>
  <c r="C53" i="11"/>
  <c r="R53" i="11"/>
  <c r="E53" i="11"/>
  <c r="Q53" i="11"/>
  <c r="B53" i="11"/>
  <c r="F53" i="11"/>
  <c r="M53" i="11"/>
  <c r="L53" i="11"/>
  <c r="T53" i="11"/>
  <c r="H49" i="11"/>
  <c r="C49" i="11"/>
  <c r="N49" i="11"/>
  <c r="F49" i="11"/>
  <c r="E49" i="11"/>
  <c r="G49" i="11"/>
  <c r="M49" i="11"/>
  <c r="Q49" i="11"/>
  <c r="T49" i="11"/>
  <c r="R49" i="11"/>
  <c r="L49" i="11"/>
  <c r="I49" i="11"/>
  <c r="I92" i="9"/>
  <c r="P92" i="9" s="1"/>
  <c r="N92" i="26" l="1"/>
  <c r="N189" i="7"/>
  <c r="O189" i="7" s="1"/>
  <c r="P168" i="7"/>
  <c r="Q168" i="7" s="1"/>
  <c r="R168" i="7" s="1"/>
  <c r="N93" i="26" l="1"/>
  <c r="N190" i="7"/>
  <c r="O190" i="7" s="1"/>
  <c r="P169" i="7"/>
  <c r="Q169" i="7" s="1"/>
  <c r="R169" i="7" s="1"/>
  <c r="G330" i="7"/>
  <c r="B18" i="9" s="1"/>
  <c r="F18" i="9" s="1"/>
  <c r="N94" i="26" l="1"/>
  <c r="N191" i="7"/>
  <c r="O191" i="7" s="1"/>
  <c r="P170" i="7"/>
  <c r="Q170" i="7" s="1"/>
  <c r="R170" i="7" s="1"/>
  <c r="N95" i="26" l="1"/>
  <c r="N192" i="7"/>
  <c r="O192" i="7" s="1"/>
  <c r="P171" i="7"/>
  <c r="Q171" i="7" s="1"/>
  <c r="R171" i="7" s="1"/>
  <c r="P95" i="26" l="1"/>
  <c r="N193" i="7"/>
  <c r="O193" i="7" s="1"/>
  <c r="O95" i="26"/>
  <c r="U9" i="26" s="1"/>
  <c r="V9" i="26" s="1"/>
  <c r="P172" i="7"/>
  <c r="Q172" i="7" s="1"/>
  <c r="R172" i="7" s="1"/>
  <c r="O327" i="7"/>
  <c r="C15" i="9" s="1"/>
  <c r="O10" i="26" l="1"/>
  <c r="P10" i="26" s="1"/>
  <c r="N96" i="26" s="1"/>
  <c r="N97" i="26" s="1"/>
  <c r="P173" i="7"/>
  <c r="Q173" i="7" s="1"/>
  <c r="R173" i="7" s="1"/>
  <c r="P327" i="7"/>
  <c r="Q327" i="7" s="1"/>
  <c r="R327" i="7" s="1"/>
  <c r="D15" i="9"/>
  <c r="E15" i="9" s="1"/>
  <c r="N98" i="26" l="1"/>
  <c r="N195" i="7"/>
  <c r="O195" i="7" s="1"/>
  <c r="N194" i="7"/>
  <c r="O194" i="7" s="1"/>
  <c r="P174" i="7"/>
  <c r="Q174" i="7" s="1"/>
  <c r="R174" i="7" s="1"/>
  <c r="N99" i="26" l="1"/>
  <c r="N196" i="7"/>
  <c r="O196" i="7" s="1"/>
  <c r="P175" i="7"/>
  <c r="Q175" i="7" s="1"/>
  <c r="R175" i="7" s="1"/>
  <c r="N100" i="26" l="1"/>
  <c r="N197" i="7"/>
  <c r="O197" i="7" s="1"/>
  <c r="P176" i="7"/>
  <c r="Q176" i="7" s="1"/>
  <c r="R176" i="7" s="1"/>
  <c r="N101" i="26" l="1"/>
  <c r="N198" i="7"/>
  <c r="O198" i="7" s="1"/>
  <c r="P177" i="7"/>
  <c r="Q177" i="7" s="1"/>
  <c r="R177" i="7" s="1"/>
  <c r="N102" i="26" l="1"/>
  <c r="N199" i="7"/>
  <c r="O199" i="7" s="1"/>
  <c r="P178" i="7"/>
  <c r="Q178" i="7" s="1"/>
  <c r="R178" i="7" s="1"/>
  <c r="N103" i="26" l="1"/>
  <c r="N200" i="7"/>
  <c r="O200" i="7" s="1"/>
  <c r="P179" i="7"/>
  <c r="Q179" i="7" s="1"/>
  <c r="R179" i="7" s="1"/>
  <c r="N104" i="26" l="1"/>
  <c r="N201" i="7"/>
  <c r="O201" i="7" s="1"/>
  <c r="P180" i="7"/>
  <c r="Q180" i="7" s="1"/>
  <c r="R180" i="7" s="1"/>
  <c r="N105" i="26" l="1"/>
  <c r="N202" i="7"/>
  <c r="O202" i="7" s="1"/>
  <c r="P181" i="7"/>
  <c r="Q181" i="7" s="1"/>
  <c r="R181" i="7" s="1"/>
  <c r="G331" i="7"/>
  <c r="B19" i="9" s="1"/>
  <c r="F19" i="9" s="1"/>
  <c r="N106" i="26" l="1"/>
  <c r="N203" i="7"/>
  <c r="O203" i="7" s="1"/>
  <c r="N107" i="26" l="1"/>
  <c r="N204" i="7"/>
  <c r="O204" i="7" s="1"/>
  <c r="P183" i="7"/>
  <c r="Q183" i="7" s="1"/>
  <c r="R183" i="7" s="1"/>
  <c r="P182" i="7"/>
  <c r="Q182" i="7" s="1"/>
  <c r="R182" i="7" s="1"/>
  <c r="O328" i="7"/>
  <c r="C16" i="9" s="1"/>
  <c r="P107" i="26" l="1"/>
  <c r="N205" i="7"/>
  <c r="O205" i="7" s="1"/>
  <c r="O107" i="26"/>
  <c r="U10" i="26" s="1"/>
  <c r="V10" i="26" s="1"/>
  <c r="P184" i="7"/>
  <c r="Q184" i="7" s="1"/>
  <c r="R184" i="7" s="1"/>
  <c r="D16" i="9"/>
  <c r="E16" i="9" s="1"/>
  <c r="P328" i="7"/>
  <c r="Q328" i="7" s="1"/>
  <c r="R328" i="7" s="1"/>
  <c r="O11" i="26" l="1"/>
  <c r="P11" i="26" s="1"/>
  <c r="N108" i="26" s="1"/>
  <c r="N109" i="26" s="1"/>
  <c r="P185" i="7"/>
  <c r="Q185" i="7" s="1"/>
  <c r="R185" i="7" s="1"/>
  <c r="N110" i="26" l="1"/>
  <c r="N207" i="7"/>
  <c r="O207" i="7" s="1"/>
  <c r="N206" i="7"/>
  <c r="O206" i="7" s="1"/>
  <c r="P186" i="7"/>
  <c r="Q186" i="7" s="1"/>
  <c r="R186" i="7" s="1"/>
  <c r="N111" i="26" l="1"/>
  <c r="N208" i="7"/>
  <c r="O208" i="7" s="1"/>
  <c r="P187" i="7"/>
  <c r="Q187" i="7" s="1"/>
  <c r="R187" i="7" s="1"/>
  <c r="N112" i="26" l="1"/>
  <c r="N209" i="7"/>
  <c r="O209" i="7" s="1"/>
  <c r="P188" i="7"/>
  <c r="Q188" i="7" s="1"/>
  <c r="R188" i="7" s="1"/>
  <c r="N113" i="26" l="1"/>
  <c r="N210" i="7"/>
  <c r="O210" i="7" s="1"/>
  <c r="P189" i="7"/>
  <c r="Q189" i="7" s="1"/>
  <c r="R189" i="7" s="1"/>
  <c r="N114" i="26" l="1"/>
  <c r="N211" i="7"/>
  <c r="O211" i="7" s="1"/>
  <c r="P190" i="7"/>
  <c r="Q190" i="7" s="1"/>
  <c r="R190" i="7" s="1"/>
  <c r="N115" i="26" l="1"/>
  <c r="N212" i="7"/>
  <c r="O212" i="7" s="1"/>
  <c r="P191" i="7"/>
  <c r="Q191" i="7" s="1"/>
  <c r="R191" i="7" s="1"/>
  <c r="N116" i="26" l="1"/>
  <c r="N213" i="7"/>
  <c r="O213" i="7" s="1"/>
  <c r="P192" i="7"/>
  <c r="Q192" i="7" s="1"/>
  <c r="R192" i="7" s="1"/>
  <c r="N117" i="26" l="1"/>
  <c r="N214" i="7"/>
  <c r="O214" i="7" s="1"/>
  <c r="P193" i="7"/>
  <c r="Q193" i="7" s="1"/>
  <c r="R193" i="7" s="1"/>
  <c r="G332" i="7"/>
  <c r="B20" i="9" s="1"/>
  <c r="F20" i="9" s="1"/>
  <c r="N118" i="26" l="1"/>
  <c r="N215" i="7"/>
  <c r="O215" i="7" s="1"/>
  <c r="P194" i="7"/>
  <c r="Q194" i="7" s="1"/>
  <c r="R194" i="7" s="1"/>
  <c r="O329" i="7"/>
  <c r="C17" i="9" s="1"/>
  <c r="N119" i="26" l="1"/>
  <c r="N216" i="7"/>
  <c r="O216" i="7" s="1"/>
  <c r="P195" i="7"/>
  <c r="Q195" i="7" s="1"/>
  <c r="R195" i="7" s="1"/>
  <c r="P329" i="7"/>
  <c r="Q329" i="7" s="1"/>
  <c r="R329" i="7" s="1"/>
  <c r="D17" i="9"/>
  <c r="E17" i="9" s="1"/>
  <c r="P119" i="26" l="1"/>
  <c r="N217" i="7"/>
  <c r="O217" i="7" s="1"/>
  <c r="O119" i="26"/>
  <c r="U11" i="26" s="1"/>
  <c r="V11" i="26" s="1"/>
  <c r="P196" i="7"/>
  <c r="Q196" i="7" s="1"/>
  <c r="R196" i="7" s="1"/>
  <c r="O12" i="26" l="1"/>
  <c r="P12" i="26" s="1"/>
  <c r="N120" i="26" s="1"/>
  <c r="P197" i="7"/>
  <c r="Q197" i="7" s="1"/>
  <c r="R197" i="7" s="1"/>
  <c r="N218" i="7" l="1"/>
  <c r="O218" i="7" s="1"/>
  <c r="N121" i="26"/>
  <c r="P198" i="7"/>
  <c r="Q198" i="7" s="1"/>
  <c r="R198" i="7" s="1"/>
  <c r="N122" i="26" l="1"/>
  <c r="N219" i="7"/>
  <c r="O219" i="7" s="1"/>
  <c r="P199" i="7"/>
  <c r="Q199" i="7" s="1"/>
  <c r="R199" i="7" s="1"/>
  <c r="N123" i="26" l="1"/>
  <c r="N220" i="7"/>
  <c r="O220" i="7" s="1"/>
  <c r="P200" i="7"/>
  <c r="Q200" i="7" s="1"/>
  <c r="R200" i="7" s="1"/>
  <c r="N124" i="26" l="1"/>
  <c r="N221" i="7"/>
  <c r="O221" i="7" s="1"/>
  <c r="P201" i="7"/>
  <c r="Q201" i="7" s="1"/>
  <c r="R201" i="7" s="1"/>
  <c r="N125" i="26" l="1"/>
  <c r="N222" i="7"/>
  <c r="O222" i="7" s="1"/>
  <c r="P202" i="7"/>
  <c r="Q202" i="7" s="1"/>
  <c r="R202" i="7" s="1"/>
  <c r="O330" i="7"/>
  <c r="C18" i="9" s="1"/>
  <c r="N126" i="26" l="1"/>
  <c r="N223" i="7"/>
  <c r="O223" i="7" s="1"/>
  <c r="P203" i="7"/>
  <c r="Q203" i="7" s="1"/>
  <c r="R203" i="7" s="1"/>
  <c r="D18" i="9"/>
  <c r="E18" i="9" s="1"/>
  <c r="P330" i="7"/>
  <c r="Q330" i="7" s="1"/>
  <c r="R330" i="7" s="1"/>
  <c r="N127" i="26" l="1"/>
  <c r="N224" i="7"/>
  <c r="O224" i="7" s="1"/>
  <c r="P204" i="7"/>
  <c r="Q204" i="7" s="1"/>
  <c r="R204" i="7" s="1"/>
  <c r="N128" i="26" l="1"/>
  <c r="N225" i="7"/>
  <c r="O225" i="7" s="1"/>
  <c r="P205" i="7"/>
  <c r="Q205" i="7" s="1"/>
  <c r="R205" i="7" s="1"/>
  <c r="G333" i="7"/>
  <c r="B21" i="9" s="1"/>
  <c r="F21" i="9" s="1"/>
  <c r="N129" i="26" l="1"/>
  <c r="N226" i="7"/>
  <c r="O226" i="7" s="1"/>
  <c r="P206" i="7"/>
  <c r="Q206" i="7" s="1"/>
  <c r="R206" i="7" s="1"/>
  <c r="N130" i="26" l="1"/>
  <c r="N227" i="7"/>
  <c r="O227" i="7" s="1"/>
  <c r="P207" i="7"/>
  <c r="Q207" i="7" s="1"/>
  <c r="R207" i="7" s="1"/>
  <c r="N131" i="26" l="1"/>
  <c r="N228" i="7"/>
  <c r="O228" i="7" s="1"/>
  <c r="P208" i="7"/>
  <c r="Q208" i="7" s="1"/>
  <c r="R208" i="7" s="1"/>
  <c r="P131" i="26" l="1"/>
  <c r="N229" i="7"/>
  <c r="O229" i="7" s="1"/>
  <c r="O131" i="26"/>
  <c r="U12" i="26" s="1"/>
  <c r="V12" i="26" s="1"/>
  <c r="P209" i="7"/>
  <c r="Q209" i="7" s="1"/>
  <c r="R209" i="7" s="1"/>
  <c r="O13" i="26" l="1"/>
  <c r="P13" i="26" s="1"/>
  <c r="N132" i="26" s="1"/>
  <c r="P210" i="7"/>
  <c r="Q210" i="7" s="1"/>
  <c r="R210" i="7" s="1"/>
  <c r="N230" i="7" l="1"/>
  <c r="O230" i="7" s="1"/>
  <c r="N133" i="26"/>
  <c r="P211" i="7"/>
  <c r="Q211" i="7" s="1"/>
  <c r="R211" i="7" s="1"/>
  <c r="N134" i="26" l="1"/>
  <c r="N231" i="7"/>
  <c r="O231" i="7" s="1"/>
  <c r="P212" i="7"/>
  <c r="Q212" i="7" s="1"/>
  <c r="R212" i="7" s="1"/>
  <c r="N135" i="26" l="1"/>
  <c r="N232" i="7"/>
  <c r="O232" i="7" s="1"/>
  <c r="P213" i="7"/>
  <c r="Q213" i="7" s="1"/>
  <c r="R213" i="7" s="1"/>
  <c r="O331" i="7"/>
  <c r="C19" i="9" s="1"/>
  <c r="N136" i="26" l="1"/>
  <c r="N233" i="7"/>
  <c r="O233" i="7" s="1"/>
  <c r="P214" i="7"/>
  <c r="Q214" i="7" s="1"/>
  <c r="R214" i="7" s="1"/>
  <c r="P331" i="7"/>
  <c r="Q331" i="7" s="1"/>
  <c r="R331" i="7" s="1"/>
  <c r="D19" i="9"/>
  <c r="E19" i="9" s="1"/>
  <c r="N137" i="26" l="1"/>
  <c r="N234" i="7"/>
  <c r="O234" i="7" s="1"/>
  <c r="P215" i="7"/>
  <c r="Q215" i="7" s="1"/>
  <c r="R215" i="7" s="1"/>
  <c r="N138" i="26" l="1"/>
  <c r="N235" i="7"/>
  <c r="O235" i="7" s="1"/>
  <c r="P216" i="7"/>
  <c r="Q216" i="7" s="1"/>
  <c r="R216" i="7" s="1"/>
  <c r="N139" i="26" l="1"/>
  <c r="N236" i="7"/>
  <c r="O236" i="7" s="1"/>
  <c r="P217" i="7"/>
  <c r="Q217" i="7" s="1"/>
  <c r="R217" i="7" s="1"/>
  <c r="G334" i="7"/>
  <c r="B22" i="9" s="1"/>
  <c r="F22" i="9" s="1"/>
  <c r="N140" i="26" l="1"/>
  <c r="N237" i="7"/>
  <c r="O237" i="7" s="1"/>
  <c r="P218" i="7"/>
  <c r="Q218" i="7" s="1"/>
  <c r="R218" i="7" s="1"/>
  <c r="N141" i="26" l="1"/>
  <c r="N238" i="7"/>
  <c r="O238" i="7" s="1"/>
  <c r="P219" i="7"/>
  <c r="Q219" i="7" s="1"/>
  <c r="R219" i="7" s="1"/>
  <c r="N142" i="26" l="1"/>
  <c r="N239" i="7"/>
  <c r="O239" i="7" s="1"/>
  <c r="P220" i="7"/>
  <c r="Q220" i="7" s="1"/>
  <c r="R220" i="7" s="1"/>
  <c r="N143" i="26" l="1"/>
  <c r="N240" i="7"/>
  <c r="O240" i="7" s="1"/>
  <c r="P221" i="7"/>
  <c r="Q221" i="7" s="1"/>
  <c r="R221" i="7" s="1"/>
  <c r="P143" i="26" l="1"/>
  <c r="N241" i="7"/>
  <c r="O241" i="7" s="1"/>
  <c r="O143" i="26"/>
  <c r="U13" i="26" s="1"/>
  <c r="V13" i="26" s="1"/>
  <c r="P222" i="7"/>
  <c r="Q222" i="7" s="1"/>
  <c r="R222" i="7" s="1"/>
  <c r="O14" i="26" l="1"/>
  <c r="P14" i="26" s="1"/>
  <c r="N144" i="26" s="1"/>
  <c r="N145" i="26" s="1"/>
  <c r="P223" i="7"/>
  <c r="Q223" i="7" s="1"/>
  <c r="R223" i="7" s="1"/>
  <c r="N146" i="26" l="1"/>
  <c r="N243" i="7"/>
  <c r="O243" i="7" s="1"/>
  <c r="N242" i="7"/>
  <c r="O242" i="7" s="1"/>
  <c r="P224" i="7"/>
  <c r="Q224" i="7" s="1"/>
  <c r="R224" i="7" s="1"/>
  <c r="N147" i="26" l="1"/>
  <c r="N244" i="7"/>
  <c r="O244" i="7" s="1"/>
  <c r="P225" i="7"/>
  <c r="Q225" i="7" s="1"/>
  <c r="R225" i="7" s="1"/>
  <c r="N148" i="26" l="1"/>
  <c r="N245" i="7"/>
  <c r="O245" i="7" s="1"/>
  <c r="P226" i="7"/>
  <c r="Q226" i="7" s="1"/>
  <c r="R226" i="7" s="1"/>
  <c r="O332" i="7"/>
  <c r="C20" i="9" s="1"/>
  <c r="N149" i="26" l="1"/>
  <c r="N246" i="7"/>
  <c r="O246" i="7" s="1"/>
  <c r="P227" i="7"/>
  <c r="Q227" i="7" s="1"/>
  <c r="R227" i="7" s="1"/>
  <c r="P332" i="7"/>
  <c r="Q332" i="7" s="1"/>
  <c r="R332" i="7" s="1"/>
  <c r="D20" i="9"/>
  <c r="E20" i="9" s="1"/>
  <c r="N150" i="26" l="1"/>
  <c r="N247" i="7"/>
  <c r="O247" i="7" s="1"/>
  <c r="P228" i="7"/>
  <c r="Q228" i="7" s="1"/>
  <c r="R228" i="7" s="1"/>
  <c r="N151" i="26" l="1"/>
  <c r="N248" i="7"/>
  <c r="O248" i="7" s="1"/>
  <c r="P230" i="7"/>
  <c r="Q230" i="7" s="1"/>
  <c r="R230" i="7" s="1"/>
  <c r="P229" i="7"/>
  <c r="Q229" i="7" s="1"/>
  <c r="R229" i="7" s="1"/>
  <c r="G335" i="7"/>
  <c r="B23" i="9" l="1"/>
  <c r="F23" i="9" s="1"/>
  <c r="N152" i="26"/>
  <c r="N249" i="7"/>
  <c r="O249" i="7" s="1"/>
  <c r="P231" i="7"/>
  <c r="Q231" i="7" s="1"/>
  <c r="R231" i="7" s="1"/>
  <c r="N153" i="26" l="1"/>
  <c r="N250" i="7"/>
  <c r="O250" i="7" s="1"/>
  <c r="P232" i="7"/>
  <c r="Q232" i="7" s="1"/>
  <c r="R232" i="7" s="1"/>
  <c r="N154" i="26" l="1"/>
  <c r="N251" i="7"/>
  <c r="O251" i="7" s="1"/>
  <c r="P233" i="7"/>
  <c r="Q233" i="7" s="1"/>
  <c r="R233" i="7" s="1"/>
  <c r="N155" i="26" l="1"/>
  <c r="N252" i="7"/>
  <c r="O252" i="7" s="1"/>
  <c r="P234" i="7"/>
  <c r="Q234" i="7" s="1"/>
  <c r="R234" i="7" s="1"/>
  <c r="P155" i="26" l="1"/>
  <c r="N253" i="7"/>
  <c r="O253" i="7" s="1"/>
  <c r="O155" i="26"/>
  <c r="U14" i="26" s="1"/>
  <c r="V14" i="26" s="1"/>
  <c r="P235" i="7"/>
  <c r="Q235" i="7" s="1"/>
  <c r="R235" i="7" s="1"/>
  <c r="O15" i="26" l="1"/>
  <c r="P15" i="26" s="1"/>
  <c r="N156" i="26" s="1"/>
  <c r="N157" i="26" s="1"/>
  <c r="P236" i="7"/>
  <c r="Q236" i="7" s="1"/>
  <c r="R236" i="7" s="1"/>
  <c r="O333" i="7"/>
  <c r="C21" i="9" s="1"/>
  <c r="N158" i="26" l="1"/>
  <c r="N255" i="7"/>
  <c r="O255" i="7" s="1"/>
  <c r="N254" i="7"/>
  <c r="O254" i="7" s="1"/>
  <c r="P237" i="7"/>
  <c r="Q237" i="7" s="1"/>
  <c r="R237" i="7" s="1"/>
  <c r="P333" i="7"/>
  <c r="Q333" i="7" s="1"/>
  <c r="R333" i="7" s="1"/>
  <c r="D21" i="9"/>
  <c r="E21" i="9" s="1"/>
  <c r="N159" i="26" l="1"/>
  <c r="N256" i="7"/>
  <c r="O256" i="7" s="1"/>
  <c r="P238" i="7"/>
  <c r="Q238" i="7" s="1"/>
  <c r="R238" i="7" s="1"/>
  <c r="N160" i="26" l="1"/>
  <c r="N257" i="7"/>
  <c r="O257" i="7" s="1"/>
  <c r="P239" i="7"/>
  <c r="Q239" i="7" s="1"/>
  <c r="R239" i="7" s="1"/>
  <c r="N161" i="26" l="1"/>
  <c r="N258" i="7"/>
  <c r="O258" i="7" s="1"/>
  <c r="P240" i="7"/>
  <c r="Q240" i="7" s="1"/>
  <c r="R240" i="7" s="1"/>
  <c r="N162" i="26" l="1"/>
  <c r="N259" i="7"/>
  <c r="O259" i="7" s="1"/>
  <c r="P241" i="7"/>
  <c r="Q241" i="7" s="1"/>
  <c r="R241" i="7" s="1"/>
  <c r="O336" i="7"/>
  <c r="C24" i="9" s="1"/>
  <c r="G336" i="7"/>
  <c r="B24" i="9" s="1"/>
  <c r="F24" i="9" s="1"/>
  <c r="N163" i="26" l="1"/>
  <c r="N260" i="7"/>
  <c r="O260" i="7" s="1"/>
  <c r="P242" i="7"/>
  <c r="Q242" i="7" s="1"/>
  <c r="R242" i="7" s="1"/>
  <c r="P336" i="7"/>
  <c r="Q336" i="7" s="1"/>
  <c r="R336" i="7" s="1"/>
  <c r="N164" i="26" l="1"/>
  <c r="N261" i="7"/>
  <c r="O261" i="7" s="1"/>
  <c r="P243" i="7"/>
  <c r="Q243" i="7" s="1"/>
  <c r="R243" i="7" s="1"/>
  <c r="D24" i="9"/>
  <c r="E24" i="9" s="1"/>
  <c r="N165" i="26" l="1"/>
  <c r="N262" i="7"/>
  <c r="O262" i="7" s="1"/>
  <c r="P244" i="7"/>
  <c r="Q244" i="7" s="1"/>
  <c r="R244" i="7" s="1"/>
  <c r="N166" i="26" l="1"/>
  <c r="N263" i="7"/>
  <c r="O263" i="7" s="1"/>
  <c r="P245" i="7"/>
  <c r="Q245" i="7" s="1"/>
  <c r="R245" i="7" s="1"/>
  <c r="N167" i="26" l="1"/>
  <c r="N264" i="7"/>
  <c r="O264" i="7" s="1"/>
  <c r="P246" i="7"/>
  <c r="Q246" i="7" s="1"/>
  <c r="R246" i="7" s="1"/>
  <c r="P167" i="26" l="1"/>
  <c r="N265" i="7"/>
  <c r="O265" i="7" s="1"/>
  <c r="O167" i="26"/>
  <c r="U15" i="26" s="1"/>
  <c r="V15" i="26" s="1"/>
  <c r="P247" i="7"/>
  <c r="Q247" i="7" s="1"/>
  <c r="R247" i="7" s="1"/>
  <c r="O16" i="26" l="1"/>
  <c r="P16" i="26" s="1"/>
  <c r="N168" i="26" s="1"/>
  <c r="N169" i="26" s="1"/>
  <c r="P248" i="7"/>
  <c r="Q248" i="7" s="1"/>
  <c r="R248" i="7" s="1"/>
  <c r="N267" i="7" l="1"/>
  <c r="O267" i="7" s="1"/>
  <c r="N170" i="26"/>
  <c r="N266" i="7"/>
  <c r="O266" i="7" s="1"/>
  <c r="P249" i="7"/>
  <c r="Q249" i="7" s="1"/>
  <c r="R249" i="7" s="1"/>
  <c r="O334" i="7"/>
  <c r="C22" i="9" s="1"/>
  <c r="N268" i="7" l="1"/>
  <c r="O268" i="7" s="1"/>
  <c r="N171" i="26"/>
  <c r="P250" i="7"/>
  <c r="Q250" i="7" s="1"/>
  <c r="R250" i="7" s="1"/>
  <c r="D22" i="9"/>
  <c r="E22" i="9" s="1"/>
  <c r="P334" i="7"/>
  <c r="Q334" i="7" s="1"/>
  <c r="R334" i="7" s="1"/>
  <c r="N269" i="7" l="1"/>
  <c r="O269" i="7" s="1"/>
  <c r="N172" i="26"/>
  <c r="P251" i="7"/>
  <c r="Q251" i="7" s="1"/>
  <c r="R251" i="7" s="1"/>
  <c r="N270" i="7" l="1"/>
  <c r="O270" i="7" s="1"/>
  <c r="N173" i="26"/>
  <c r="P252" i="7"/>
  <c r="Q252" i="7" s="1"/>
  <c r="R252" i="7" s="1"/>
  <c r="N271" i="7" l="1"/>
  <c r="O271" i="7" s="1"/>
  <c r="N174" i="26"/>
  <c r="P253" i="7"/>
  <c r="Q253" i="7" s="1"/>
  <c r="R253" i="7" s="1"/>
  <c r="O337" i="7"/>
  <c r="C25" i="9" s="1"/>
  <c r="G337" i="7"/>
  <c r="B25" i="9" s="1"/>
  <c r="F25" i="9" s="1"/>
  <c r="N272" i="7" l="1"/>
  <c r="O272" i="7" s="1"/>
  <c r="N175" i="26"/>
  <c r="P254" i="7"/>
  <c r="Q254" i="7" s="1"/>
  <c r="R254" i="7" s="1"/>
  <c r="P337" i="7"/>
  <c r="Q337" i="7" s="1"/>
  <c r="R337" i="7" s="1"/>
  <c r="N273" i="7" l="1"/>
  <c r="O273" i="7" s="1"/>
  <c r="N176" i="26"/>
  <c r="P255" i="7"/>
  <c r="Q255" i="7" s="1"/>
  <c r="R255" i="7" s="1"/>
  <c r="D25" i="9"/>
  <c r="E25" i="9" s="1"/>
  <c r="N177" i="26" l="1"/>
  <c r="N274" i="7"/>
  <c r="O274" i="7" s="1"/>
  <c r="P256" i="7"/>
  <c r="Q256" i="7" s="1"/>
  <c r="R256" i="7" s="1"/>
  <c r="O335" i="7"/>
  <c r="C23" i="9" s="1"/>
  <c r="N178" i="26" l="1"/>
  <c r="N275" i="7"/>
  <c r="O275" i="7" s="1"/>
  <c r="P257" i="7"/>
  <c r="Q257" i="7" s="1"/>
  <c r="R257" i="7" s="1"/>
  <c r="D23" i="9"/>
  <c r="E23" i="9" s="1"/>
  <c r="P335" i="7"/>
  <c r="Q335" i="7" s="1"/>
  <c r="R335" i="7" s="1"/>
  <c r="N276" i="7" l="1"/>
  <c r="O276" i="7" s="1"/>
  <c r="N179" i="26"/>
  <c r="P258" i="7"/>
  <c r="Q258" i="7" s="1"/>
  <c r="R258" i="7" s="1"/>
  <c r="O179" i="26" l="1"/>
  <c r="U16" i="26" s="1"/>
  <c r="V16" i="26" s="1"/>
  <c r="N277" i="7"/>
  <c r="O277" i="7" s="1"/>
  <c r="P179" i="26"/>
  <c r="P259" i="7"/>
  <c r="Q259" i="7" s="1"/>
  <c r="R259" i="7" s="1"/>
  <c r="O17" i="26" l="1"/>
  <c r="P17" i="26" s="1"/>
  <c r="N180" i="26" s="1"/>
  <c r="N278" i="7" s="1"/>
  <c r="O278" i="7" s="1"/>
  <c r="P260" i="7"/>
  <c r="Q260" i="7" s="1"/>
  <c r="R260" i="7" s="1"/>
  <c r="N181" i="26" l="1"/>
  <c r="N279" i="7" s="1"/>
  <c r="O279" i="7" s="1"/>
  <c r="P261" i="7"/>
  <c r="Q261" i="7" s="1"/>
  <c r="R261" i="7" s="1"/>
  <c r="N182" i="26" l="1"/>
  <c r="N280" i="7" s="1"/>
  <c r="O280" i="7" s="1"/>
  <c r="P262" i="7"/>
  <c r="Q262" i="7" s="1"/>
  <c r="R262" i="7" s="1"/>
  <c r="N183" i="26" l="1"/>
  <c r="P263" i="7"/>
  <c r="Q263" i="7" s="1"/>
  <c r="R263" i="7" s="1"/>
  <c r="N281" i="7" l="1"/>
  <c r="O281" i="7" s="1"/>
  <c r="N184" i="26"/>
  <c r="H93" i="9"/>
  <c r="G85" i="9"/>
  <c r="P264" i="7"/>
  <c r="Q264" i="7" s="1"/>
  <c r="R264" i="7" s="1"/>
  <c r="N185" i="26" l="1"/>
  <c r="N282" i="7"/>
  <c r="O282" i="7" s="1"/>
  <c r="P265" i="7"/>
  <c r="Q265" i="7" s="1"/>
  <c r="R265" i="7" s="1"/>
  <c r="O338" i="7"/>
  <c r="C26" i="9" s="1"/>
  <c r="P93" i="9"/>
  <c r="N283" i="7" l="1"/>
  <c r="O283" i="7" s="1"/>
  <c r="N186" i="26"/>
  <c r="G338" i="7"/>
  <c r="B26" i="9" s="1"/>
  <c r="F26" i="9" s="1"/>
  <c r="N284" i="7" l="1"/>
  <c r="O284" i="7" s="1"/>
  <c r="N187" i="26"/>
  <c r="P338" i="7"/>
  <c r="Q338" i="7" s="1"/>
  <c r="R338" i="7" s="1"/>
  <c r="P266" i="7"/>
  <c r="Q266" i="7" s="1"/>
  <c r="R266" i="7" s="1"/>
  <c r="D26" i="9"/>
  <c r="E26" i="9" s="1"/>
  <c r="N285" i="7" l="1"/>
  <c r="O285" i="7" s="1"/>
  <c r="N188" i="26"/>
  <c r="P267" i="7"/>
  <c r="Q267" i="7" s="1"/>
  <c r="R267" i="7" s="1"/>
  <c r="N286" i="7" l="1"/>
  <c r="O286" i="7" s="1"/>
  <c r="P286" i="7" s="1"/>
  <c r="Q286" i="7" s="1"/>
  <c r="R286" i="7" s="1"/>
  <c r="N189" i="26"/>
  <c r="P268" i="7"/>
  <c r="Q268" i="7" s="1"/>
  <c r="R268" i="7" s="1"/>
  <c r="N287" i="7" l="1"/>
  <c r="N190" i="26"/>
  <c r="P269" i="7"/>
  <c r="Q269" i="7" s="1"/>
  <c r="R269" i="7" s="1"/>
  <c r="O287" i="7" l="1"/>
  <c r="P287" i="7" s="1"/>
  <c r="Q287" i="7" s="1"/>
  <c r="R287" i="7" s="1"/>
  <c r="N191" i="26"/>
  <c r="N288" i="7"/>
  <c r="O288" i="7" s="1"/>
  <c r="P288" i="7" s="1"/>
  <c r="Q288" i="7" s="1"/>
  <c r="R288" i="7" s="1"/>
  <c r="P270" i="7"/>
  <c r="Q270" i="7" s="1"/>
  <c r="R270" i="7" s="1"/>
  <c r="N289" i="7" l="1"/>
  <c r="O289" i="7" s="1"/>
  <c r="P289" i="7" s="1"/>
  <c r="Q289" i="7" s="1"/>
  <c r="R289" i="7" s="1"/>
  <c r="P191" i="26"/>
  <c r="O191" i="26"/>
  <c r="U17" i="26" s="1"/>
  <c r="V17" i="26" s="1"/>
  <c r="P271" i="7"/>
  <c r="Q271" i="7" s="1"/>
  <c r="R271" i="7" s="1"/>
  <c r="O18" i="26" l="1"/>
  <c r="P18" i="26" s="1"/>
  <c r="P272" i="7"/>
  <c r="Q272" i="7" s="1"/>
  <c r="R272" i="7" s="1"/>
  <c r="N192" i="26" l="1"/>
  <c r="N290" i="7" s="1"/>
  <c r="O290" i="7" s="1"/>
  <c r="P273" i="7"/>
  <c r="Q273" i="7" s="1"/>
  <c r="R273" i="7" s="1"/>
  <c r="N193" i="26" l="1"/>
  <c r="P274" i="7"/>
  <c r="Q274" i="7" s="1"/>
  <c r="R274" i="7" s="1"/>
  <c r="N291" i="7" l="1"/>
  <c r="O291" i="7" s="1"/>
  <c r="N194" i="26"/>
  <c r="P275" i="7"/>
  <c r="Q275" i="7" s="1"/>
  <c r="R275" i="7" s="1"/>
  <c r="N292" i="7" l="1"/>
  <c r="O292" i="7" s="1"/>
  <c r="N195" i="26"/>
  <c r="P276" i="7"/>
  <c r="Q276" i="7" s="1"/>
  <c r="R276" i="7" s="1"/>
  <c r="N293" i="7" l="1"/>
  <c r="O293" i="7" s="1"/>
  <c r="N196" i="26"/>
  <c r="P277" i="7"/>
  <c r="Q277" i="7" s="1"/>
  <c r="R277" i="7" s="1"/>
  <c r="O339" i="7"/>
  <c r="C27" i="9" s="1"/>
  <c r="N294" i="7" l="1"/>
  <c r="O294" i="7" s="1"/>
  <c r="N197" i="26"/>
  <c r="P278" i="7"/>
  <c r="Q278" i="7" s="1"/>
  <c r="R278" i="7" s="1"/>
  <c r="P339" i="7"/>
  <c r="Q339" i="7" s="1"/>
  <c r="R339" i="7" s="1"/>
  <c r="N198" i="26" l="1"/>
  <c r="N295" i="7"/>
  <c r="O295" i="7" s="1"/>
  <c r="P279" i="7"/>
  <c r="Q279" i="7" s="1"/>
  <c r="R279" i="7" s="1"/>
  <c r="D27" i="9"/>
  <c r="E27" i="9" s="1"/>
  <c r="N199" i="26" l="1"/>
  <c r="N296" i="7"/>
  <c r="O296" i="7" s="1"/>
  <c r="P280" i="7"/>
  <c r="Q280" i="7" s="1"/>
  <c r="R280" i="7" s="1"/>
  <c r="N297" i="7" l="1"/>
  <c r="O297" i="7" s="1"/>
  <c r="N200" i="26"/>
  <c r="P281" i="7"/>
  <c r="Q281" i="7" s="1"/>
  <c r="R281" i="7" s="1"/>
  <c r="N201" i="26" l="1"/>
  <c r="N298" i="7"/>
  <c r="O298" i="7" s="1"/>
  <c r="P282" i="7"/>
  <c r="Q282" i="7" s="1"/>
  <c r="R282" i="7" s="1"/>
  <c r="N202" i="26" l="1"/>
  <c r="N299" i="7"/>
  <c r="O299" i="7" s="1"/>
  <c r="P283" i="7"/>
  <c r="Q283" i="7" s="1"/>
  <c r="R283" i="7" s="1"/>
  <c r="N300" i="7" l="1"/>
  <c r="O300" i="7" s="1"/>
  <c r="N203" i="26"/>
  <c r="O203" i="26"/>
  <c r="U18" i="26" s="1"/>
  <c r="V18" i="26" s="1"/>
  <c r="P284" i="7"/>
  <c r="Q284" i="7" s="1"/>
  <c r="R284" i="7" s="1"/>
  <c r="N301" i="7" l="1"/>
  <c r="O301" i="7" s="1"/>
  <c r="P203" i="26"/>
  <c r="O19" i="26" s="1"/>
  <c r="P19" i="26" s="1"/>
  <c r="P285" i="7"/>
  <c r="Q285" i="7" s="1"/>
  <c r="R285" i="7" s="1"/>
  <c r="N204" i="26" l="1"/>
  <c r="N302" i="7" s="1"/>
  <c r="O302" i="7" s="1"/>
  <c r="N205" i="26" l="1"/>
  <c r="N303" i="7" s="1"/>
  <c r="O303" i="7" s="1"/>
  <c r="N206" i="26" l="1"/>
  <c r="N304" i="7" s="1"/>
  <c r="O304" i="7" s="1"/>
  <c r="N207" i="26" l="1"/>
  <c r="N305" i="7" s="1"/>
  <c r="O305" i="7" s="1"/>
  <c r="N208" i="26"/>
  <c r="R290" i="7"/>
  <c r="O340" i="7"/>
  <c r="C28" i="9" s="1"/>
  <c r="G340" i="7"/>
  <c r="B28" i="9" s="1"/>
  <c r="F28" i="9" s="1"/>
  <c r="F32" i="9" s="1"/>
  <c r="N306" i="7" l="1"/>
  <c r="O306" i="7" s="1"/>
  <c r="N209" i="26"/>
  <c r="O344" i="7"/>
  <c r="G344" i="7"/>
  <c r="P340" i="7"/>
  <c r="Q340" i="7" s="1"/>
  <c r="R340" i="7" s="1"/>
  <c r="B4" i="11" a="1"/>
  <c r="N307" i="7" l="1"/>
  <c r="O307" i="7" s="1"/>
  <c r="N210" i="26"/>
  <c r="P344" i="7"/>
  <c r="D28" i="9"/>
  <c r="E28" i="9" s="1"/>
  <c r="H4" i="11"/>
  <c r="I4" i="11"/>
  <c r="F4" i="11"/>
  <c r="C4" i="11"/>
  <c r="L4" i="11"/>
  <c r="M4" i="11"/>
  <c r="J4" i="11"/>
  <c r="G4" i="11"/>
  <c r="P4" i="11"/>
  <c r="Q4" i="11"/>
  <c r="N4" i="11"/>
  <c r="K4" i="11"/>
  <c r="D4" i="11"/>
  <c r="E4" i="11"/>
  <c r="B4" i="11"/>
  <c r="R4" i="11"/>
  <c r="O4" i="11"/>
  <c r="N308" i="7" l="1"/>
  <c r="O308" i="7" s="1"/>
  <c r="N211" i="26"/>
  <c r="N212" i="26" l="1"/>
  <c r="N309" i="7"/>
  <c r="O309" i="7" s="1"/>
  <c r="N213" i="26" l="1"/>
  <c r="N310" i="7"/>
  <c r="O310" i="7" s="1"/>
  <c r="N311" i="7" l="1"/>
  <c r="O311" i="7" s="1"/>
  <c r="N214" i="26"/>
  <c r="N215" i="26" l="1"/>
  <c r="N312" i="7"/>
  <c r="O312" i="7" s="1"/>
  <c r="N313" i="7" l="1"/>
  <c r="O313" i="7" s="1"/>
  <c r="N216" i="26"/>
  <c r="P215" i="26"/>
  <c r="O215" i="26"/>
  <c r="U19" i="26" s="1"/>
  <c r="V19" i="26" s="1"/>
  <c r="O341" i="7" l="1"/>
  <c r="C29" i="9" s="1"/>
  <c r="G29" i="9" l="1"/>
  <c r="G88" i="9" s="1"/>
  <c r="G92" i="9" l="1"/>
  <c r="H96" i="9" s="1"/>
  <c r="H88" i="9" s="1"/>
  <c r="K96" i="9"/>
  <c r="M96" i="9" l="1"/>
  <c r="M88" i="9" s="1"/>
  <c r="E22" i="18" s="1"/>
  <c r="K88" i="9"/>
  <c r="C22" i="18" s="1"/>
  <c r="L96" i="9"/>
  <c r="L88" i="9" s="1"/>
  <c r="D22" i="18" s="1"/>
  <c r="O96" i="9" l="1"/>
  <c r="O88" i="9" s="1"/>
  <c r="F22" i="18" s="1"/>
  <c r="N96" i="9"/>
  <c r="J96" i="9"/>
  <c r="J88" i="9" s="1"/>
  <c r="B22" i="18" s="1"/>
  <c r="I96" i="9"/>
  <c r="I88" i="9" s="1"/>
  <c r="S17" i="11" s="1"/>
  <c r="S31" i="11"/>
  <c r="S36" i="11"/>
  <c r="S26" i="11"/>
  <c r="S45" i="11" l="1"/>
  <c r="S21" i="11"/>
  <c r="N88" i="9"/>
  <c r="P96" i="9"/>
  <c r="S13" i="11"/>
  <c r="G22" i="18" l="1"/>
  <c r="P88" i="9"/>
  <c r="Q88" i="9" s="1"/>
  <c r="S41" i="11"/>
  <c r="S50" i="11" l="1"/>
  <c r="O315" i="7" l="1"/>
  <c r="O342" i="7"/>
  <c r="C30" i="9" s="1"/>
  <c r="O346" i="7" l="1"/>
  <c r="P346" i="7" s="1"/>
  <c r="B5" i="11" a="1"/>
  <c r="G30" i="9" l="1"/>
  <c r="G89" i="9" s="1"/>
  <c r="C5" i="11"/>
  <c r="C6" i="11" s="1"/>
  <c r="T5" i="11"/>
  <c r="L5" i="11"/>
  <c r="L6" i="11" s="1"/>
  <c r="J5" i="11"/>
  <c r="J6" i="11" s="1"/>
  <c r="G5" i="11"/>
  <c r="G6" i="11" s="1"/>
  <c r="B5" i="11"/>
  <c r="B6" i="11" s="1"/>
  <c r="M5" i="11"/>
  <c r="M6" i="11" s="1"/>
  <c r="H5" i="11"/>
  <c r="H6" i="11" s="1"/>
  <c r="N5" i="11"/>
  <c r="N6" i="11" s="1"/>
  <c r="E5" i="11"/>
  <c r="E6" i="11" s="1"/>
  <c r="R5" i="11"/>
  <c r="R6" i="11" s="1"/>
  <c r="P5" i="11"/>
  <c r="P6" i="11" s="1"/>
  <c r="K5" i="11"/>
  <c r="K6" i="11" s="1"/>
  <c r="Q5" i="11"/>
  <c r="Q6" i="11" s="1"/>
  <c r="I5" i="11"/>
  <c r="I6" i="11" s="1"/>
  <c r="F5" i="11"/>
  <c r="F6" i="11" s="1"/>
  <c r="D5" i="11"/>
  <c r="D6" i="11" s="1"/>
  <c r="O5" i="11"/>
  <c r="O6" i="11" s="1"/>
  <c r="S5" i="11"/>
  <c r="B8" i="11" a="1"/>
  <c r="B54" i="11" a="1"/>
  <c r="G93" i="9" l="1"/>
  <c r="B8" i="11"/>
  <c r="Q8" i="11"/>
  <c r="K8" i="11"/>
  <c r="I8" i="11"/>
  <c r="H8" i="11"/>
  <c r="N8" i="11"/>
  <c r="O8" i="11"/>
  <c r="F8" i="11"/>
  <c r="L8" i="11"/>
  <c r="C8" i="11"/>
  <c r="R8" i="11"/>
  <c r="S8" i="11"/>
  <c r="J8" i="11"/>
  <c r="P8" i="11"/>
  <c r="G8" i="11"/>
  <c r="M8" i="11"/>
  <c r="D8" i="11"/>
  <c r="E8" i="11"/>
  <c r="T8" i="11"/>
  <c r="O54" i="11"/>
  <c r="S54" i="11"/>
  <c r="L54" i="11"/>
  <c r="P54" i="11"/>
  <c r="I54" i="11"/>
  <c r="M54" i="11"/>
  <c r="F54" i="11"/>
  <c r="J54" i="11"/>
  <c r="C54" i="11"/>
  <c r="K54" i="11"/>
  <c r="G54" i="11"/>
  <c r="H54" i="11"/>
  <c r="D54" i="11"/>
  <c r="E54" i="11"/>
  <c r="T54" i="11"/>
  <c r="B54" i="11"/>
  <c r="Q54" i="11"/>
  <c r="R54" i="11"/>
  <c r="N54" i="11"/>
  <c r="O97" i="9" l="1"/>
  <c r="O89" i="9" s="1"/>
  <c r="F23" i="18" s="1"/>
  <c r="B46" i="11" s="1" a="1"/>
  <c r="H97" i="9"/>
  <c r="H89" i="9" s="1"/>
  <c r="J97" i="9"/>
  <c r="J89" i="9" s="1"/>
  <c r="B23" i="18" s="1"/>
  <c r="M97" i="9"/>
  <c r="M89" i="9" s="1"/>
  <c r="E23" i="18" s="1"/>
  <c r="B37" i="11" s="1" a="1"/>
  <c r="K97" i="9"/>
  <c r="K89" i="9" s="1"/>
  <c r="C23" i="18" s="1"/>
  <c r="B27" i="11" s="1" a="1"/>
  <c r="N97" i="9"/>
  <c r="N89" i="9" s="1"/>
  <c r="T41" i="11" s="1"/>
  <c r="L97" i="9"/>
  <c r="L89" i="9" s="1"/>
  <c r="D23" i="18" s="1"/>
  <c r="B32" i="11" s="1" a="1"/>
  <c r="I97" i="9"/>
  <c r="I89" i="9" s="1"/>
  <c r="T17" i="11" s="1"/>
  <c r="T45" i="11"/>
  <c r="T21" i="11" l="1"/>
  <c r="T36" i="11"/>
  <c r="P97" i="9"/>
  <c r="T31" i="11"/>
  <c r="T26" i="11"/>
  <c r="E32" i="11"/>
  <c r="O32" i="11"/>
  <c r="F32" i="11"/>
  <c r="D32" i="11"/>
  <c r="N32" i="11"/>
  <c r="P32" i="11"/>
  <c r="T32" i="11"/>
  <c r="M32" i="11"/>
  <c r="H32" i="11"/>
  <c r="R32" i="11"/>
  <c r="I32" i="11"/>
  <c r="G32" i="11"/>
  <c r="Q32" i="11"/>
  <c r="K32" i="11"/>
  <c r="B32" i="11"/>
  <c r="L32" i="11"/>
  <c r="S32" i="11"/>
  <c r="C32" i="11"/>
  <c r="J32" i="11"/>
  <c r="I27" i="11"/>
  <c r="K27" i="11"/>
  <c r="C27" i="11"/>
  <c r="H27" i="11"/>
  <c r="Q27" i="11"/>
  <c r="S27" i="11"/>
  <c r="P27" i="11"/>
  <c r="M27" i="11"/>
  <c r="G27" i="11"/>
  <c r="B27" i="11"/>
  <c r="D27" i="11"/>
  <c r="O27" i="11"/>
  <c r="T27" i="11"/>
  <c r="N27" i="11"/>
  <c r="E27" i="11"/>
  <c r="R27" i="11"/>
  <c r="L27" i="11"/>
  <c r="J27" i="11"/>
  <c r="F27" i="11"/>
  <c r="J37" i="11"/>
  <c r="Q37" i="11"/>
  <c r="E37" i="11"/>
  <c r="P37" i="11"/>
  <c r="D37" i="11"/>
  <c r="K37" i="11"/>
  <c r="R37" i="11"/>
  <c r="B37" i="11"/>
  <c r="I37" i="11"/>
  <c r="T37" i="11"/>
  <c r="N37" i="11"/>
  <c r="S37" i="11"/>
  <c r="H37" i="11"/>
  <c r="O37" i="11"/>
  <c r="C37" i="11"/>
  <c r="F37" i="11"/>
  <c r="M37" i="11"/>
  <c r="L37" i="11"/>
  <c r="G37" i="11"/>
  <c r="J46" i="11"/>
  <c r="T46" i="11"/>
  <c r="N46" i="11"/>
  <c r="L46" i="11"/>
  <c r="E46" i="11"/>
  <c r="R46" i="11"/>
  <c r="M46" i="11"/>
  <c r="G46" i="11"/>
  <c r="C46" i="11"/>
  <c r="I46" i="11"/>
  <c r="Q46" i="11"/>
  <c r="F46" i="11"/>
  <c r="P46" i="11"/>
  <c r="K46" i="11"/>
  <c r="B46" i="11"/>
  <c r="S46" i="11"/>
  <c r="D46" i="11"/>
  <c r="O46" i="11"/>
  <c r="H46" i="11"/>
  <c r="T13" i="11"/>
  <c r="P89" i="9"/>
  <c r="G23" i="18"/>
  <c r="B55" i="11" s="1" a="1"/>
  <c r="B22" i="11" a="1"/>
  <c r="U21" i="11" l="1"/>
  <c r="Q89" i="9"/>
  <c r="I22" i="11"/>
  <c r="I51" i="11" s="1"/>
  <c r="M22" i="11"/>
  <c r="M51" i="11" s="1"/>
  <c r="B22" i="11"/>
  <c r="B51" i="11" s="1"/>
  <c r="G22" i="11"/>
  <c r="G51" i="11" s="1"/>
  <c r="N22" i="11"/>
  <c r="N51" i="11" s="1"/>
  <c r="O22" i="11"/>
  <c r="O51" i="11" s="1"/>
  <c r="H22" i="11"/>
  <c r="H51" i="11" s="1"/>
  <c r="P22" i="11"/>
  <c r="P51" i="11" s="1"/>
  <c r="J22" i="11"/>
  <c r="J51" i="11" s="1"/>
  <c r="F22" i="11"/>
  <c r="F51" i="11" s="1"/>
  <c r="K22" i="11"/>
  <c r="K51" i="11" s="1"/>
  <c r="R22" i="11"/>
  <c r="R51" i="11" s="1"/>
  <c r="D22" i="11"/>
  <c r="D51" i="11" s="1"/>
  <c r="S22" i="11"/>
  <c r="T22" i="11"/>
  <c r="Q22" i="11"/>
  <c r="Q51" i="11" s="1"/>
  <c r="C22" i="11"/>
  <c r="C51" i="11" s="1"/>
  <c r="L22" i="11"/>
  <c r="L51" i="11" s="1"/>
  <c r="E22" i="11"/>
  <c r="E51" i="11" s="1"/>
  <c r="L55" i="11"/>
  <c r="B55" i="11"/>
  <c r="C55" i="11"/>
  <c r="H55" i="11"/>
  <c r="R55" i="11"/>
  <c r="N55" i="11"/>
  <c r="T55" i="11"/>
  <c r="S55" i="11"/>
  <c r="K55" i="11"/>
  <c r="O55" i="11"/>
  <c r="M55" i="11"/>
  <c r="Q55" i="11"/>
  <c r="D55" i="11"/>
  <c r="P55" i="11"/>
  <c r="J55" i="11"/>
  <c r="F55" i="11"/>
  <c r="I55" i="11"/>
  <c r="E55" i="11"/>
  <c r="G55" i="11"/>
  <c r="T50" i="11"/>
  <c r="T58" i="11" s="1"/>
  <c r="U22" i="11" l="1"/>
  <c r="T51" i="11"/>
  <c r="S51" i="11"/>
</calcChain>
</file>

<file path=xl/sharedStrings.xml><?xml version="1.0" encoding="utf-8"?>
<sst xmlns="http://schemas.openxmlformats.org/spreadsheetml/2006/main" count="284" uniqueCount="175">
  <si>
    <t>Loss Factor</t>
  </si>
  <si>
    <t xml:space="preserve">Residential </t>
  </si>
  <si>
    <t xml:space="preserve">Unmetered Loads </t>
  </si>
  <si>
    <t>Total Billed</t>
  </si>
  <si>
    <t>Heating Degree Days</t>
  </si>
  <si>
    <t>Cooling Degree Days</t>
  </si>
  <si>
    <t>Number of Days in Month</t>
  </si>
  <si>
    <t>Purchases</t>
  </si>
  <si>
    <t>Modeled Purchases</t>
  </si>
  <si>
    <t>% Difference</t>
  </si>
  <si>
    <t>Total</t>
  </si>
  <si>
    <t xml:space="preserve">Predicted Purchases </t>
  </si>
  <si>
    <t>Variances (kWh)</t>
  </si>
  <si>
    <t>% Variance</t>
  </si>
  <si>
    <t>Average</t>
  </si>
  <si>
    <t xml:space="preserve">Geomean </t>
  </si>
  <si>
    <t>Usage Per Customer</t>
  </si>
  <si>
    <t xml:space="preserve">Total </t>
  </si>
  <si>
    <t xml:space="preserve">Used </t>
  </si>
  <si>
    <t>Spring Fall Flag</t>
  </si>
  <si>
    <t>SUMMARY OUTPUT</t>
  </si>
  <si>
    <t>Regression Statistics</t>
  </si>
  <si>
    <t>Multiple R</t>
  </si>
  <si>
    <t>R Square</t>
  </si>
  <si>
    <t>Adjusted R Square</t>
  </si>
  <si>
    <t>Standard Error</t>
  </si>
  <si>
    <t>Observations</t>
  </si>
  <si>
    <t>ANOVA</t>
  </si>
  <si>
    <t>Regression</t>
  </si>
  <si>
    <t>Residual</t>
  </si>
  <si>
    <t>Intercept</t>
  </si>
  <si>
    <t>df</t>
  </si>
  <si>
    <t>SS</t>
  </si>
  <si>
    <t>MS</t>
  </si>
  <si>
    <t>F</t>
  </si>
  <si>
    <t>Significance F</t>
  </si>
  <si>
    <t>Coefficients</t>
  </si>
  <si>
    <t>t Stat</t>
  </si>
  <si>
    <t>P-value</t>
  </si>
  <si>
    <t>Lower 95%</t>
  </si>
  <si>
    <t>Upper 95%</t>
  </si>
  <si>
    <t>Difference</t>
  </si>
  <si>
    <t xml:space="preserve">Growth Rate in Customer Numbers </t>
  </si>
  <si>
    <t>Weather Corrected Forecast</t>
  </si>
  <si>
    <t>Non Weather Corrected Forecast</t>
  </si>
  <si>
    <t>% Weather Sensitive</t>
  </si>
  <si>
    <t>Allocation of Weather Sensitive Amount</t>
  </si>
  <si>
    <t xml:space="preserve">  Customers</t>
  </si>
  <si>
    <t xml:space="preserve">  kWh</t>
  </si>
  <si>
    <t xml:space="preserve">  kW</t>
  </si>
  <si>
    <t xml:space="preserve">2003 Actual </t>
  </si>
  <si>
    <t xml:space="preserve">2004 Actual </t>
  </si>
  <si>
    <t xml:space="preserve">2005 Actual </t>
  </si>
  <si>
    <t xml:space="preserve">2006 Actual </t>
  </si>
  <si>
    <t xml:space="preserve">2007 Actual </t>
  </si>
  <si>
    <t xml:space="preserve">  Connections</t>
  </si>
  <si>
    <t xml:space="preserve">  kW from applicable classes</t>
  </si>
  <si>
    <t xml:space="preserve">  Customer/Connections</t>
  </si>
  <si>
    <t>Actual kWh Purchases</t>
  </si>
  <si>
    <t>Predicted kWh Purchases</t>
  </si>
  <si>
    <t>By Class</t>
  </si>
  <si>
    <t>Used</t>
  </si>
  <si>
    <r>
      <t xml:space="preserve">General Service </t>
    </r>
    <r>
      <rPr>
        <u/>
        <sz val="10"/>
        <rFont val="Arial"/>
        <family val="2"/>
      </rPr>
      <t>&lt; 50 kW</t>
    </r>
  </si>
  <si>
    <t>kW/kWh</t>
  </si>
  <si>
    <t>Street Lights</t>
  </si>
  <si>
    <t>Embedded Distributor</t>
  </si>
  <si>
    <t>Weather Normal</t>
  </si>
  <si>
    <t>Embedded Distributors</t>
  </si>
  <si>
    <t>May</t>
  </si>
  <si>
    <t>% Variance (Abs)</t>
  </si>
  <si>
    <t>Mean Average Percent Error</t>
  </si>
  <si>
    <t>Direct Market Participant</t>
  </si>
  <si>
    <t>Large User</t>
  </si>
  <si>
    <t xml:space="preserve">2008 Actual </t>
  </si>
  <si>
    <t xml:space="preserve">2010 Actual </t>
  </si>
  <si>
    <t xml:space="preserve">2011 Actual </t>
  </si>
  <si>
    <t xml:space="preserve">2009 Actual </t>
  </si>
  <si>
    <t xml:space="preserve">2012 Actual </t>
  </si>
  <si>
    <t xml:space="preserve">Billed kWh </t>
  </si>
  <si>
    <t>Summary of Degree Day Information</t>
  </si>
  <si>
    <t>Summary of All Heating Degree Days</t>
  </si>
  <si>
    <t>Month</t>
  </si>
  <si>
    <t>10 Year Avg</t>
  </si>
  <si>
    <t>20 Year Trend</t>
  </si>
  <si>
    <t>January</t>
  </si>
  <si>
    <t>February</t>
  </si>
  <si>
    <t>March</t>
  </si>
  <si>
    <t>April</t>
  </si>
  <si>
    <t>June</t>
  </si>
  <si>
    <t>July</t>
  </si>
  <si>
    <t>August</t>
  </si>
  <si>
    <t>September</t>
  </si>
  <si>
    <t>October</t>
  </si>
  <si>
    <t>November</t>
  </si>
  <si>
    <t>December</t>
  </si>
  <si>
    <t>Summary of All Cooling Degree Days</t>
  </si>
  <si>
    <t>10 Year Average</t>
  </si>
  <si>
    <t>20 Year Avg</t>
  </si>
  <si>
    <t xml:space="preserve">2013 Actual </t>
  </si>
  <si>
    <t xml:space="preserve">2014 Actual </t>
  </si>
  <si>
    <r>
      <t xml:space="preserve">Embedded </t>
    </r>
    <r>
      <rPr>
        <u/>
        <sz val="10"/>
        <rFont val="Arial"/>
        <family val="2"/>
      </rPr>
      <t>Distributors - #1</t>
    </r>
  </si>
  <si>
    <t>Lower 95.0%</t>
  </si>
  <si>
    <t>Upper 95.0%</t>
  </si>
  <si>
    <t>Embedded Generation</t>
  </si>
  <si>
    <t>Less Wallenstein Adjmt</t>
  </si>
  <si>
    <t>Less LTLT</t>
  </si>
  <si>
    <t>General Service &gt; 50 to 4999 kW</t>
  </si>
  <si>
    <t>Employment Kitchener-Waterloo-Cambridge (000's)</t>
  </si>
  <si>
    <t>Number of Peak Hours</t>
  </si>
  <si>
    <r>
      <t xml:space="preserve">General Service </t>
    </r>
    <r>
      <rPr>
        <u/>
        <sz val="10"/>
        <rFont val="Arial"/>
        <family val="2"/>
      </rPr>
      <t>&gt; 50 to 4999 kW</t>
    </r>
  </si>
  <si>
    <t>Purchased kWh</t>
  </si>
  <si>
    <t>Weather Normal Projection</t>
  </si>
  <si>
    <t xml:space="preserve">2015 Actual </t>
  </si>
  <si>
    <t xml:space="preserve">2016 Actual </t>
  </si>
  <si>
    <t xml:space="preserve">2017 Actual </t>
  </si>
  <si>
    <t xml:space="preserve">2018 Actual </t>
  </si>
  <si>
    <t xml:space="preserve">2019 Actual </t>
  </si>
  <si>
    <t>2020 Weather Normal</t>
  </si>
  <si>
    <t>2021 Weather Normal</t>
  </si>
  <si>
    <t>Total to 2019</t>
  </si>
  <si>
    <t>Persistent CDM</t>
  </si>
  <si>
    <t>Total OPA Annual CDM Results 2006 to 2010 programs</t>
  </si>
  <si>
    <t>Total IESO Annual CDM Results 2015 programs</t>
  </si>
  <si>
    <t>Total IESO Annual CDM Results 2016 programs</t>
  </si>
  <si>
    <t>Total IESO Annual CDM Results 2017 programs</t>
  </si>
  <si>
    <t>Total Annual CDM Results</t>
  </si>
  <si>
    <t>Increase over previous year</t>
  </si>
  <si>
    <t>Check</t>
  </si>
  <si>
    <t>Jan</t>
  </si>
  <si>
    <t>Feb</t>
  </si>
  <si>
    <t>Mar</t>
  </si>
  <si>
    <t>Apr</t>
  </si>
  <si>
    <t>Jun</t>
  </si>
  <si>
    <t>Jul</t>
  </si>
  <si>
    <t>Aug</t>
  </si>
  <si>
    <t>Sep</t>
  </si>
  <si>
    <t>Oct</t>
  </si>
  <si>
    <t>Nov</t>
  </si>
  <si>
    <t>Dec</t>
  </si>
  <si>
    <t>CDM Activity Variable</t>
  </si>
  <si>
    <t>Total IESO Annual CDM Results 2018 programs</t>
  </si>
  <si>
    <t>Total IESO Annual CDM Results 2019 programs</t>
  </si>
  <si>
    <t>Unemployment Kitchener-Waterloo-Cambridge (000's)</t>
  </si>
  <si>
    <t># of Customers</t>
  </si>
  <si>
    <t>1995</t>
  </si>
  <si>
    <t>Total IESO Annual CDM Results 2020 programs</t>
  </si>
  <si>
    <t>Total IESO Annual CDM Results 2011 to 2014 programs</t>
  </si>
  <si>
    <t>Purchased kWh - Utilismart (TSL w/o generation)</t>
  </si>
  <si>
    <t>Evidence of correlation (close to 1), should not be used together in model.</t>
  </si>
  <si>
    <t>Geomean 5-yr</t>
  </si>
  <si>
    <t>Trend</t>
  </si>
  <si>
    <t>Geomean 3-yr</t>
  </si>
  <si>
    <t>Monthly Addition</t>
  </si>
  <si>
    <t>Half Year Rule</t>
  </si>
  <si>
    <t>Increase over PY - Half Rule</t>
  </si>
  <si>
    <t>Monthly Addition - Half Rule</t>
  </si>
  <si>
    <t>Check - Full</t>
  </si>
  <si>
    <t>Check - Half Rule</t>
  </si>
  <si>
    <t>Persistent Amount</t>
  </si>
  <si>
    <t>CDM Activity Variable - Half Year</t>
  </si>
  <si>
    <t>5-yr Average</t>
  </si>
  <si>
    <t>10-yr Average</t>
  </si>
  <si>
    <t>10-yr Trend</t>
  </si>
  <si>
    <t>5-yr Trend</t>
  </si>
  <si>
    <t>Increase over previous year - Not Persistent</t>
  </si>
  <si>
    <t>Waterloo North Hydro Inc. Weather Normal Load Forecast for 2021 Rate Application</t>
  </si>
  <si>
    <t>Actual Billed</t>
  </si>
  <si>
    <t>GS&gt;50 + DMP</t>
  </si>
  <si>
    <t>Actual Billed and Forecast</t>
  </si>
  <si>
    <t>Weather Normalized Actuals - 10-year Average</t>
  </si>
  <si>
    <t>Weather Normalized - 10-year Average weather actuals in predicted purchases model</t>
  </si>
  <si>
    <t>Weather Normalized - 20-year Trend weather actuals in predicted purchases model</t>
  </si>
  <si>
    <t>Weather Normalized Actuals - 20-year Trend</t>
  </si>
  <si>
    <t>USL Customer Count</t>
  </si>
  <si>
    <t>CORRELATION - Includes Employment &amp; Unemployment variables not used in the regression model.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</si>
</sst>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_);\(&quot;$&quot;#,##0\)"/>
    <numFmt numFmtId="165" formatCode="_(* #,##0.00_);_(* \(#,##0.00\);_(* &quot;-&quot;??_);_(@_)"/>
    <numFmt numFmtId="166" formatCode="0.0%"/>
    <numFmt numFmtId="167" formatCode="0.0"/>
    <numFmt numFmtId="168" formatCode="#,##0;\(#,##0\)"/>
    <numFmt numFmtId="169" formatCode="0.0000"/>
    <numFmt numFmtId="170" formatCode="#,##0.0000"/>
    <numFmt numFmtId="171" formatCode="0.0000%"/>
    <numFmt numFmtId="172" formatCode="_(* #,##0_);_(* \(#,##0\);_(* &quot;-&quot;??_);_(@_)"/>
    <numFmt numFmtId="173" formatCode="_(* #,##0.0_);_(* \(#,##0.0\);_(* &quot;-&quot;??_);_(@_)"/>
    <numFmt numFmtId="174" formatCode="_(* #,##0.0000_);_(* \(#,##0.0000\);_(* &quot;-&quot;??_);_(@_)"/>
    <numFmt numFmtId="175" formatCode="_-* #,##0_-;\-* #,##0_-;_-* &quot;-&quot;??_-;_-@_-"/>
    <numFmt numFmtId="176" formatCode="_-&quot;$&quot;* #,##0_-;\-&quot;$&quot;* #,##0_-;_-&quot;$&quot;* &quot;-&quot;??_-;_-@_-"/>
  </numFmts>
  <fonts count="25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u/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  <font>
      <i/>
      <sz val="8"/>
      <name val="Arial"/>
      <family val="2"/>
    </font>
    <font>
      <b/>
      <u/>
      <sz val="8"/>
      <name val="Arial"/>
      <family val="2"/>
    </font>
    <font>
      <b/>
      <sz val="8"/>
      <name val="Arial"/>
      <family val="2"/>
    </font>
    <font>
      <sz val="10"/>
      <color rgb="FFFF00FF"/>
      <name val="Arial"/>
      <family val="2"/>
    </font>
    <font>
      <b/>
      <sz val="10"/>
      <color rgb="FFFF0000"/>
      <name val="Arial"/>
      <family val="2"/>
    </font>
    <font>
      <i/>
      <sz val="10"/>
      <color rgb="FFFF00FF"/>
      <name val="Arial"/>
      <family val="2"/>
    </font>
    <font>
      <sz val="10"/>
      <color rgb="FF000000"/>
      <name val="Sans-serif"/>
    </font>
    <font>
      <b/>
      <sz val="10"/>
      <color rgb="FF00B050"/>
      <name val="Arial"/>
      <family val="2"/>
    </font>
    <font>
      <sz val="10"/>
      <name val="Arial"/>
      <family val="2"/>
    </font>
    <font>
      <sz val="10"/>
      <color rgb="FF0070C0"/>
      <name val="Arial"/>
      <family val="2"/>
    </font>
    <font>
      <sz val="8"/>
      <color rgb="FF0070C0"/>
      <name val="Arial"/>
      <family val="2"/>
    </font>
    <font>
      <b/>
      <sz val="10"/>
      <color rgb="FF0070C0"/>
      <name val="Arial"/>
      <family val="2"/>
    </font>
    <font>
      <sz val="10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1" fillId="4" borderId="1" applyNumberFormat="0" applyProtection="0">
      <alignment horizontal="left" vertical="center"/>
    </xf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4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4" fontId="20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9" fontId="1" fillId="0" borderId="0" applyFont="0" applyFill="0" applyBorder="0" applyAlignment="0" applyProtection="0"/>
  </cellStyleXfs>
  <cellXfs count="285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17" fontId="0" fillId="0" borderId="0" xfId="0" applyNumberFormat="1"/>
    <xf numFmtId="0" fontId="0" fillId="0" borderId="0" xfId="0" applyAlignment="1">
      <alignment horizontal="right"/>
    </xf>
    <xf numFmtId="166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  <xf numFmtId="3" fontId="4" fillId="0" borderId="0" xfId="0" applyNumberFormat="1" applyFont="1" applyAlignment="1">
      <alignment horizontal="center"/>
    </xf>
    <xf numFmtId="3" fontId="3" fillId="0" borderId="0" xfId="0" applyNumberFormat="1" applyFont="1" applyAlignment="1">
      <alignment horizontal="center" wrapText="1"/>
    </xf>
    <xf numFmtId="3" fontId="4" fillId="0" borderId="0" xfId="0" applyNumberFormat="1" applyFont="1" applyAlignment="1">
      <alignment horizontal="center" wrapText="1"/>
    </xf>
    <xf numFmtId="37" fontId="3" fillId="0" borderId="0" xfId="0" applyNumberFormat="1" applyFont="1" applyAlignment="1">
      <alignment horizontal="center"/>
    </xf>
    <xf numFmtId="3" fontId="3" fillId="0" borderId="0" xfId="0" applyNumberFormat="1" applyFont="1" applyAlignment="1">
      <alignment horizontal="center"/>
    </xf>
    <xf numFmtId="3" fontId="2" fillId="0" borderId="0" xfId="1" applyNumberFormat="1" applyAlignment="1">
      <alignment horizontal="center"/>
    </xf>
    <xf numFmtId="166" fontId="3" fillId="0" borderId="0" xfId="0" applyNumberFormat="1" applyFont="1" applyAlignment="1">
      <alignment horizontal="center"/>
    </xf>
    <xf numFmtId="0" fontId="3" fillId="0" borderId="0" xfId="0" applyFont="1"/>
    <xf numFmtId="10" fontId="0" fillId="0" borderId="0" xfId="0" applyNumberFormat="1" applyAlignment="1">
      <alignment horizontal="center"/>
    </xf>
    <xf numFmtId="37" fontId="3" fillId="0" borderId="0" xfId="0" applyNumberFormat="1" applyFont="1" applyFill="1" applyAlignment="1">
      <alignment horizontal="center"/>
    </xf>
    <xf numFmtId="0" fontId="5" fillId="0" borderId="0" xfId="0" applyFont="1"/>
    <xf numFmtId="17" fontId="5" fillId="0" borderId="0" xfId="0" applyNumberFormat="1" applyFont="1"/>
    <xf numFmtId="3" fontId="0" fillId="0" borderId="1" xfId="0" applyNumberFormat="1" applyBorder="1" applyAlignment="1">
      <alignment horizontal="center"/>
    </xf>
    <xf numFmtId="0" fontId="0" fillId="0" borderId="0" xfId="0" applyFill="1" applyAlignment="1">
      <alignment horizontal="center"/>
    </xf>
    <xf numFmtId="169" fontId="0" fillId="0" borderId="0" xfId="0" applyNumberFormat="1" applyAlignment="1">
      <alignment horizontal="center"/>
    </xf>
    <xf numFmtId="170" fontId="0" fillId="0" borderId="0" xfId="0" applyNumberFormat="1" applyAlignment="1">
      <alignment horizontal="center"/>
    </xf>
    <xf numFmtId="9" fontId="0" fillId="0" borderId="0" xfId="0" applyNumberFormat="1" applyAlignment="1">
      <alignment horizontal="center"/>
    </xf>
    <xf numFmtId="3" fontId="0" fillId="0" borderId="0" xfId="0" applyNumberFormat="1" applyFill="1" applyAlignment="1">
      <alignment horizontal="center"/>
    </xf>
    <xf numFmtId="171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 wrapText="1"/>
    </xf>
    <xf numFmtId="0" fontId="0" fillId="0" borderId="1" xfId="0" applyBorder="1" applyAlignment="1">
      <alignment horizontal="right"/>
    </xf>
    <xf numFmtId="0" fontId="0" fillId="0" borderId="0" xfId="0" applyFill="1"/>
    <xf numFmtId="0" fontId="0" fillId="0" borderId="0" xfId="0" applyFill="1" applyBorder="1" applyAlignment="1"/>
    <xf numFmtId="0" fontId="0" fillId="0" borderId="2" xfId="0" applyFill="1" applyBorder="1" applyAlignment="1"/>
    <xf numFmtId="0" fontId="7" fillId="0" borderId="3" xfId="0" applyFont="1" applyFill="1" applyBorder="1" applyAlignment="1">
      <alignment horizontal="center"/>
    </xf>
    <xf numFmtId="0" fontId="7" fillId="0" borderId="3" xfId="0" applyFont="1" applyFill="1" applyBorder="1" applyAlignment="1">
      <alignment horizontal="centerContinuous"/>
    </xf>
    <xf numFmtId="168" fontId="0" fillId="0" borderId="0" xfId="0" applyNumberFormat="1" applyAlignment="1">
      <alignment horizontal="center"/>
    </xf>
    <xf numFmtId="0" fontId="0" fillId="0" borderId="0" xfId="0" applyNumberFormat="1" applyBorder="1"/>
    <xf numFmtId="3" fontId="0" fillId="2" borderId="0" xfId="0" applyNumberFormat="1" applyFill="1" applyAlignment="1">
      <alignment horizontal="center"/>
    </xf>
    <xf numFmtId="3" fontId="3" fillId="2" borderId="0" xfId="0" applyNumberFormat="1" applyFont="1" applyFill="1" applyAlignment="1">
      <alignment horizontal="center"/>
    </xf>
    <xf numFmtId="0" fontId="0" fillId="0" borderId="0" xfId="0" applyAlignment="1">
      <alignment horizontal="center" wrapText="1"/>
    </xf>
    <xf numFmtId="3" fontId="5" fillId="0" borderId="0" xfId="0" applyNumberFormat="1" applyFont="1"/>
    <xf numFmtId="0" fontId="6" fillId="0" borderId="0" xfId="0" applyFont="1"/>
    <xf numFmtId="166" fontId="0" fillId="0" borderId="0" xfId="0" applyNumberFormat="1" applyAlignment="1">
      <alignment horizontal="center" wrapText="1"/>
    </xf>
    <xf numFmtId="0" fontId="5" fillId="0" borderId="0" xfId="0" applyFont="1" applyAlignment="1">
      <alignment horizontal="center" wrapText="1"/>
    </xf>
    <xf numFmtId="3" fontId="0" fillId="2" borderId="1" xfId="0" applyNumberForma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3" fontId="4" fillId="2" borderId="0" xfId="0" applyNumberFormat="1" applyFont="1" applyFill="1" applyAlignment="1">
      <alignment horizontal="center"/>
    </xf>
    <xf numFmtId="3" fontId="3" fillId="2" borderId="0" xfId="0" applyNumberFormat="1" applyFont="1" applyFill="1" applyAlignment="1">
      <alignment horizontal="center" wrapText="1"/>
    </xf>
    <xf numFmtId="3" fontId="4" fillId="2" borderId="0" xfId="0" applyNumberFormat="1" applyFont="1" applyFill="1" applyAlignment="1">
      <alignment horizontal="center" wrapText="1"/>
    </xf>
    <xf numFmtId="37" fontId="0" fillId="0" borderId="0" xfId="0" applyNumberFormat="1" applyAlignment="1">
      <alignment horizontal="center"/>
    </xf>
    <xf numFmtId="172" fontId="0" fillId="0" borderId="0" xfId="1" applyNumberFormat="1" applyFont="1" applyAlignment="1">
      <alignment horizontal="center"/>
    </xf>
    <xf numFmtId="0" fontId="0" fillId="0" borderId="0" xfId="0" quotePrefix="1" applyAlignment="1">
      <alignment horizontal="center"/>
    </xf>
    <xf numFmtId="3" fontId="0" fillId="0" borderId="0" xfId="0" applyNumberFormat="1"/>
    <xf numFmtId="0" fontId="0" fillId="0" borderId="0" xfId="0" applyBorder="1"/>
    <xf numFmtId="10" fontId="0" fillId="0" borderId="0" xfId="2" applyNumberFormat="1" applyFont="1" applyAlignment="1">
      <alignment horizontal="center"/>
    </xf>
    <xf numFmtId="173" fontId="0" fillId="0" borderId="0" xfId="1" applyNumberFormat="1" applyFont="1" applyAlignment="1">
      <alignment horizontal="center"/>
    </xf>
    <xf numFmtId="172" fontId="0" fillId="0" borderId="0" xfId="0" applyNumberFormat="1" applyAlignment="1">
      <alignment horizontal="center"/>
    </xf>
    <xf numFmtId="0" fontId="5" fillId="0" borderId="0" xfId="0" applyFont="1" applyAlignment="1">
      <alignment horizontal="center"/>
    </xf>
    <xf numFmtId="3" fontId="0" fillId="3" borderId="0" xfId="0" applyNumberFormat="1" applyFill="1" applyAlignment="1">
      <alignment horizontal="center"/>
    </xf>
    <xf numFmtId="3" fontId="3" fillId="3" borderId="0" xfId="0" applyNumberFormat="1" applyFont="1" applyFill="1" applyBorder="1" applyAlignment="1">
      <alignment horizontal="center"/>
    </xf>
    <xf numFmtId="3" fontId="0" fillId="3" borderId="0" xfId="0" applyNumberFormat="1" applyFill="1" applyBorder="1" applyAlignment="1">
      <alignment horizontal="center"/>
    </xf>
    <xf numFmtId="169" fontId="0" fillId="0" borderId="0" xfId="0" applyNumberFormat="1" applyFill="1" applyAlignment="1">
      <alignment horizontal="center"/>
    </xf>
    <xf numFmtId="170" fontId="0" fillId="0" borderId="0" xfId="0" applyNumberFormat="1" applyFill="1" applyAlignment="1">
      <alignment horizontal="center"/>
    </xf>
    <xf numFmtId="3" fontId="3" fillId="3" borderId="1" xfId="0" applyNumberFormat="1" applyFont="1" applyFill="1" applyBorder="1" applyAlignment="1">
      <alignment horizontal="center"/>
    </xf>
    <xf numFmtId="38" fontId="0" fillId="0" borderId="0" xfId="0" applyNumberFormat="1" applyAlignment="1">
      <alignment horizontal="center"/>
    </xf>
    <xf numFmtId="0" fontId="0" fillId="3" borderId="1" xfId="0" applyFill="1" applyBorder="1"/>
    <xf numFmtId="170" fontId="0" fillId="3" borderId="0" xfId="0" applyNumberFormat="1" applyFill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/>
    <xf numFmtId="166" fontId="0" fillId="0" borderId="0" xfId="0" applyNumberFormat="1" applyFill="1" applyAlignment="1">
      <alignment horizontal="center" wrapText="1"/>
    </xf>
    <xf numFmtId="174" fontId="9" fillId="0" borderId="0" xfId="1" applyNumberFormat="1" applyFont="1" applyFill="1" applyAlignment="1">
      <alignment horizontal="center"/>
    </xf>
    <xf numFmtId="38" fontId="0" fillId="0" borderId="0" xfId="0" applyNumberFormat="1" applyFill="1" applyAlignment="1">
      <alignment horizontal="center"/>
    </xf>
    <xf numFmtId="0" fontId="0" fillId="0" borderId="0" xfId="0" applyAlignment="1">
      <alignment horizontal="center"/>
    </xf>
    <xf numFmtId="3" fontId="2" fillId="2" borderId="0" xfId="0" quotePrefix="1" applyNumberFormat="1" applyFont="1" applyFill="1" applyAlignment="1">
      <alignment horizontal="center" wrapText="1"/>
    </xf>
    <xf numFmtId="0" fontId="2" fillId="0" borderId="0" xfId="4"/>
    <xf numFmtId="3" fontId="2" fillId="3" borderId="0" xfId="0" applyNumberFormat="1" applyFont="1" applyFill="1" applyAlignment="1">
      <alignment horizontal="center" wrapText="1"/>
    </xf>
    <xf numFmtId="0" fontId="7" fillId="0" borderId="0" xfId="0" applyFont="1" applyFill="1" applyBorder="1" applyAlignment="1">
      <alignment horizontal="centerContinuous"/>
    </xf>
    <xf numFmtId="0" fontId="7" fillId="0" borderId="0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5" fillId="0" borderId="0" xfId="4" applyFont="1"/>
    <xf numFmtId="0" fontId="12" fillId="0" borderId="0" xfId="4" applyFont="1"/>
    <xf numFmtId="165" fontId="2" fillId="0" borderId="0" xfId="11" applyFont="1"/>
    <xf numFmtId="0" fontId="13" fillId="0" borderId="0" xfId="4" applyFont="1"/>
    <xf numFmtId="165" fontId="8" fillId="0" borderId="0" xfId="11" applyFont="1"/>
    <xf numFmtId="0" fontId="8" fillId="0" borderId="0" xfId="4" applyFont="1"/>
    <xf numFmtId="165" fontId="14" fillId="0" borderId="0" xfId="11" applyFont="1" applyAlignment="1">
      <alignment horizontal="right"/>
    </xf>
    <xf numFmtId="0" fontId="14" fillId="0" borderId="9" xfId="4" applyFont="1" applyBorder="1" applyAlignment="1">
      <alignment horizontal="right"/>
    </xf>
    <xf numFmtId="0" fontId="8" fillId="0" borderId="0" xfId="4" applyFont="1" applyAlignment="1">
      <alignment horizontal="right"/>
    </xf>
    <xf numFmtId="165" fontId="8" fillId="0" borderId="0" xfId="4" applyNumberFormat="1" applyFont="1" applyAlignment="1">
      <alignment horizontal="right"/>
    </xf>
    <xf numFmtId="0" fontId="2" fillId="0" borderId="0" xfId="4" applyFill="1"/>
    <xf numFmtId="3" fontId="4" fillId="0" borderId="0" xfId="0" applyNumberFormat="1" applyFont="1" applyFill="1" applyAlignment="1">
      <alignment horizontal="center" wrapText="1"/>
    </xf>
    <xf numFmtId="3" fontId="2" fillId="0" borderId="0" xfId="0" applyNumberFormat="1" applyFont="1"/>
    <xf numFmtId="172" fontId="0" fillId="0" borderId="0" xfId="1" applyNumberFormat="1" applyFont="1" applyAlignment="1">
      <alignment horizontal="left"/>
    </xf>
    <xf numFmtId="172" fontId="0" fillId="0" borderId="0" xfId="1" applyNumberFormat="1" applyFont="1" applyFill="1" applyAlignment="1">
      <alignment horizontal="left"/>
    </xf>
    <xf numFmtId="173" fontId="0" fillId="0" borderId="0" xfId="1" applyNumberFormat="1" applyFont="1" applyFill="1" applyAlignment="1">
      <alignment horizontal="center"/>
    </xf>
    <xf numFmtId="3" fontId="0" fillId="3" borderId="1" xfId="0" applyNumberFormat="1" applyFill="1" applyBorder="1" applyAlignment="1">
      <alignment horizontal="center"/>
    </xf>
    <xf numFmtId="0" fontId="10" fillId="0" borderId="0" xfId="0" applyFont="1"/>
    <xf numFmtId="166" fontId="17" fillId="0" borderId="0" xfId="0" applyNumberFormat="1" applyFont="1" applyAlignment="1">
      <alignment horizontal="center"/>
    </xf>
    <xf numFmtId="169" fontId="17" fillId="0" borderId="0" xfId="0" applyNumberFormat="1" applyFont="1" applyAlignment="1">
      <alignment horizontal="center"/>
    </xf>
    <xf numFmtId="3" fontId="3" fillId="3" borderId="0" xfId="0" applyNumberFormat="1" applyFont="1" applyFill="1" applyAlignment="1">
      <alignment horizontal="center"/>
    </xf>
    <xf numFmtId="3" fontId="2" fillId="0" borderId="0" xfId="0" applyNumberFormat="1" applyFont="1" applyFill="1" applyAlignment="1">
      <alignment horizontal="center" wrapText="1"/>
    </xf>
    <xf numFmtId="0" fontId="10" fillId="0" borderId="0" xfId="0" applyNumberFormat="1" applyFont="1" applyAlignment="1">
      <alignment horizontal="center"/>
    </xf>
    <xf numFmtId="169" fontId="10" fillId="0" borderId="0" xfId="0" applyNumberFormat="1" applyFont="1" applyAlignment="1">
      <alignment horizontal="center"/>
    </xf>
    <xf numFmtId="172" fontId="2" fillId="0" borderId="0" xfId="1" applyNumberFormat="1" applyFont="1" applyAlignment="1">
      <alignment horizontal="left"/>
    </xf>
    <xf numFmtId="3" fontId="2" fillId="3" borderId="1" xfId="0" applyNumberFormat="1" applyFont="1" applyFill="1" applyBorder="1" applyAlignment="1">
      <alignment horizontal="center"/>
    </xf>
    <xf numFmtId="0" fontId="18" fillId="0" borderId="0" xfId="0" applyFont="1" applyAlignment="1">
      <alignment vertical="center"/>
    </xf>
    <xf numFmtId="170" fontId="0" fillId="0" borderId="0" xfId="0" applyNumberFormat="1" applyAlignment="1">
      <alignment horizontal="left"/>
    </xf>
    <xf numFmtId="170" fontId="2" fillId="0" borderId="0" xfId="0" applyNumberFormat="1" applyFont="1" applyAlignment="1">
      <alignment horizontal="left"/>
    </xf>
    <xf numFmtId="165" fontId="8" fillId="0" borderId="0" xfId="4" applyNumberFormat="1" applyFont="1" applyFill="1" applyAlignment="1">
      <alignment horizontal="right"/>
    </xf>
    <xf numFmtId="3" fontId="2" fillId="3" borderId="0" xfId="0" applyNumberFormat="1" applyFont="1" applyFill="1" applyAlignment="1">
      <alignment horizontal="center"/>
    </xf>
    <xf numFmtId="172" fontId="0" fillId="0" borderId="0" xfId="1" applyNumberFormat="1" applyFont="1"/>
    <xf numFmtId="170" fontId="15" fillId="0" borderId="0" xfId="0" applyNumberFormat="1" applyFont="1" applyFill="1" applyAlignment="1">
      <alignment horizontal="center"/>
    </xf>
    <xf numFmtId="0" fontId="0" fillId="0" borderId="0" xfId="0" applyAlignment="1">
      <alignment horizontal="center"/>
    </xf>
    <xf numFmtId="172" fontId="4" fillId="0" borderId="0" xfId="1" applyNumberFormat="1" applyFont="1" applyFill="1" applyBorder="1" applyAlignment="1">
      <alignment horizontal="center" vertical="center" wrapText="1"/>
    </xf>
    <xf numFmtId="172" fontId="2" fillId="0" borderId="0" xfId="1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wrapText="1"/>
    </xf>
    <xf numFmtId="0" fontId="5" fillId="0" borderId="0" xfId="0" applyFont="1" applyFill="1" applyAlignment="1">
      <alignment horizontal="center" vertical="center"/>
    </xf>
    <xf numFmtId="0" fontId="15" fillId="0" borderId="0" xfId="0" applyFont="1" applyFill="1" applyAlignment="1">
      <alignment horizontal="right"/>
    </xf>
    <xf numFmtId="3" fontId="15" fillId="0" borderId="0" xfId="0" applyNumberFormat="1" applyFont="1" applyFill="1" applyAlignment="1">
      <alignment horizontal="center"/>
    </xf>
    <xf numFmtId="166" fontId="15" fillId="0" borderId="0" xfId="0" applyNumberFormat="1" applyFont="1" applyAlignment="1">
      <alignment horizontal="center"/>
    </xf>
    <xf numFmtId="169" fontId="15" fillId="0" borderId="0" xfId="0" applyNumberFormat="1" applyFont="1" applyAlignment="1">
      <alignment horizontal="center"/>
    </xf>
    <xf numFmtId="37" fontId="2" fillId="0" borderId="0" xfId="0" applyNumberFormat="1" applyFont="1" applyFill="1" applyAlignment="1">
      <alignment horizontal="center"/>
    </xf>
    <xf numFmtId="3" fontId="2" fillId="0" borderId="0" xfId="0" applyNumberFormat="1" applyFont="1" applyFill="1" applyAlignment="1">
      <alignment horizontal="center"/>
    </xf>
    <xf numFmtId="170" fontId="19" fillId="0" borderId="0" xfId="0" applyNumberFormat="1" applyFont="1" applyFill="1" applyAlignment="1">
      <alignment horizontal="center"/>
    </xf>
    <xf numFmtId="3" fontId="2" fillId="2" borderId="0" xfId="0" applyNumberFormat="1" applyFont="1" applyFill="1" applyAlignment="1">
      <alignment horizontal="center" wrapText="1"/>
    </xf>
    <xf numFmtId="175" fontId="2" fillId="0" borderId="0" xfId="1" applyNumberFormat="1" applyFont="1"/>
    <xf numFmtId="3" fontId="4" fillId="3" borderId="0" xfId="0" applyNumberFormat="1" applyFont="1" applyFill="1" applyAlignment="1">
      <alignment horizontal="center" wrapText="1"/>
    </xf>
    <xf numFmtId="3" fontId="5" fillId="0" borderId="0" xfId="0" applyNumberFormat="1" applyFont="1" applyFill="1"/>
    <xf numFmtId="0" fontId="2" fillId="0" borderId="0" xfId="0" applyFont="1" applyAlignment="1">
      <alignment horizontal="center"/>
    </xf>
    <xf numFmtId="37" fontId="2" fillId="0" borderId="0" xfId="0" applyNumberFormat="1" applyFont="1" applyAlignment="1">
      <alignment horizontal="center"/>
    </xf>
    <xf numFmtId="3" fontId="2" fillId="0" borderId="0" xfId="0" applyNumberFormat="1" applyFont="1" applyAlignment="1">
      <alignment horizontal="center"/>
    </xf>
    <xf numFmtId="0" fontId="2" fillId="0" borderId="0" xfId="0" applyFont="1" applyFill="1" applyAlignment="1">
      <alignment horizontal="center"/>
    </xf>
    <xf numFmtId="0" fontId="16" fillId="0" borderId="0" xfId="0" applyFont="1" applyFill="1"/>
    <xf numFmtId="0" fontId="16" fillId="0" borderId="0" xfId="0" applyFont="1" applyFill="1" applyAlignment="1">
      <alignment vertical="center" wrapText="1"/>
    </xf>
    <xf numFmtId="0" fontId="2" fillId="0" borderId="0" xfId="0" applyFont="1" applyFill="1"/>
    <xf numFmtId="0" fontId="0" fillId="0" borderId="0" xfId="0" applyFill="1" applyAlignment="1">
      <alignment horizontal="left"/>
    </xf>
    <xf numFmtId="3" fontId="2" fillId="2" borderId="0" xfId="0" applyNumberFormat="1" applyFont="1" applyFill="1" applyAlignment="1">
      <alignment horizontal="center"/>
    </xf>
    <xf numFmtId="0" fontId="5" fillId="0" borderId="11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right"/>
    </xf>
    <xf numFmtId="3" fontId="2" fillId="3" borderId="0" xfId="0" applyNumberFormat="1" applyFont="1" applyFill="1" applyBorder="1" applyAlignment="1">
      <alignment horizontal="center"/>
    </xf>
    <xf numFmtId="0" fontId="2" fillId="0" borderId="0" xfId="0" applyFont="1" applyAlignment="1">
      <alignment horizontal="right"/>
    </xf>
    <xf numFmtId="172" fontId="15" fillId="0" borderId="0" xfId="1" applyNumberFormat="1" applyFont="1" applyBorder="1" applyAlignment="1">
      <alignment horizontal="center"/>
    </xf>
    <xf numFmtId="0" fontId="5" fillId="0" borderId="0" xfId="0" applyFont="1" applyFill="1" applyBorder="1" applyAlignment="1">
      <alignment horizontal="left"/>
    </xf>
    <xf numFmtId="170" fontId="0" fillId="0" borderId="0" xfId="0" applyNumberFormat="1" applyFill="1" applyBorder="1" applyAlignment="1">
      <alignment horizontal="center"/>
    </xf>
    <xf numFmtId="0" fontId="14" fillId="0" borderId="0" xfId="0" applyFont="1" applyFill="1" applyAlignment="1">
      <alignment horizontal="center" vertical="center" wrapText="1"/>
    </xf>
    <xf numFmtId="3" fontId="3" fillId="0" borderId="0" xfId="0" applyNumberFormat="1" applyFont="1" applyFill="1" applyAlignment="1">
      <alignment horizontal="center" wrapText="1"/>
    </xf>
    <xf numFmtId="3" fontId="2" fillId="2" borderId="1" xfId="0" applyNumberFormat="1" applyFont="1" applyFill="1" applyBorder="1" applyAlignment="1">
      <alignment horizontal="center"/>
    </xf>
    <xf numFmtId="171" fontId="0" fillId="0" borderId="0" xfId="0" applyNumberFormat="1" applyFill="1" applyAlignment="1">
      <alignment horizontal="center"/>
    </xf>
    <xf numFmtId="166" fontId="2" fillId="0" borderId="0" xfId="0" applyNumberFormat="1" applyFont="1" applyFill="1" applyBorder="1" applyAlignment="1">
      <alignment horizontal="center"/>
    </xf>
    <xf numFmtId="171" fontId="16" fillId="0" borderId="0" xfId="0" applyNumberFormat="1" applyFont="1" applyFill="1" applyBorder="1" applyAlignment="1">
      <alignment horizontal="center"/>
    </xf>
    <xf numFmtId="166" fontId="2" fillId="0" borderId="0" xfId="0" applyNumberFormat="1" applyFont="1" applyFill="1" applyBorder="1" applyAlignment="1">
      <alignment horizontal="right"/>
    </xf>
    <xf numFmtId="171" fontId="0" fillId="0" borderId="0" xfId="0" applyNumberFormat="1" applyFill="1" applyBorder="1" applyAlignment="1">
      <alignment horizontal="center"/>
    </xf>
    <xf numFmtId="171" fontId="2" fillId="0" borderId="0" xfId="0" applyNumberFormat="1" applyFont="1" applyAlignment="1">
      <alignment horizontal="center"/>
    </xf>
    <xf numFmtId="165" fontId="5" fillId="0" borderId="0" xfId="11" applyFont="1" applyFill="1" applyBorder="1"/>
    <xf numFmtId="0" fontId="5" fillId="0" borderId="0" xfId="4" applyFont="1" applyFill="1" applyBorder="1"/>
    <xf numFmtId="0" fontId="2" fillId="0" borderId="0" xfId="4" applyFill="1" applyBorder="1"/>
    <xf numFmtId="0" fontId="14" fillId="0" borderId="0" xfId="4" applyFont="1" applyFill="1"/>
    <xf numFmtId="2" fontId="8" fillId="0" borderId="0" xfId="4" applyNumberFormat="1" applyFont="1" applyFill="1"/>
    <xf numFmtId="4" fontId="8" fillId="0" borderId="0" xfId="4" applyNumberFormat="1" applyFont="1" applyFill="1"/>
    <xf numFmtId="2" fontId="2" fillId="0" borderId="0" xfId="4" applyNumberFormat="1" applyFill="1"/>
    <xf numFmtId="165" fontId="8" fillId="0" borderId="0" xfId="4" applyNumberFormat="1" applyFont="1"/>
    <xf numFmtId="172" fontId="2" fillId="0" borderId="0" xfId="1" applyNumberFormat="1" applyFont="1" applyFill="1" applyAlignment="1">
      <alignment horizontal="left"/>
    </xf>
    <xf numFmtId="0" fontId="2" fillId="0" borderId="0" xfId="0" applyFont="1" applyFill="1" applyAlignment="1">
      <alignment horizontal="left"/>
    </xf>
    <xf numFmtId="0" fontId="21" fillId="0" borderId="0" xfId="0" applyFont="1" applyFill="1" applyAlignment="1">
      <alignment horizontal="center"/>
    </xf>
    <xf numFmtId="0" fontId="21" fillId="0" borderId="0" xfId="0" applyFont="1"/>
    <xf numFmtId="0" fontId="10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172" fontId="10" fillId="0" borderId="0" xfId="1" applyNumberFormat="1" applyFont="1" applyAlignment="1">
      <alignment horizontal="left"/>
    </xf>
    <xf numFmtId="0" fontId="10" fillId="0" borderId="0" xfId="0" applyFont="1" applyFill="1" applyBorder="1" applyAlignment="1"/>
    <xf numFmtId="173" fontId="2" fillId="0" borderId="0" xfId="1" applyNumberFormat="1" applyFont="1" applyFill="1" applyAlignment="1">
      <alignment horizontal="center"/>
    </xf>
    <xf numFmtId="165" fontId="22" fillId="0" borderId="0" xfId="4" applyNumberFormat="1" applyFont="1"/>
    <xf numFmtId="3" fontId="2" fillId="0" borderId="0" xfId="0" applyNumberFormat="1" applyFont="1" applyFill="1"/>
    <xf numFmtId="1" fontId="21" fillId="0" borderId="0" xfId="0" applyNumberFormat="1" applyFont="1" applyAlignment="1">
      <alignment horizontal="center"/>
    </xf>
    <xf numFmtId="0" fontId="5" fillId="0" borderId="0" xfId="0" applyFont="1" applyFill="1" applyAlignment="1">
      <alignment horizontal="center" wrapText="1"/>
    </xf>
    <xf numFmtId="166" fontId="2" fillId="0" borderId="0" xfId="0" applyNumberFormat="1" applyFont="1" applyFill="1" applyAlignment="1">
      <alignment horizontal="center" wrapText="1"/>
    </xf>
    <xf numFmtId="174" fontId="2" fillId="0" borderId="0" xfId="1" applyNumberFormat="1" applyFont="1" applyFill="1" applyAlignment="1">
      <alignment horizontal="center"/>
    </xf>
    <xf numFmtId="38" fontId="2" fillId="0" borderId="0" xfId="0" applyNumberFormat="1" applyFont="1" applyFill="1" applyAlignment="1">
      <alignment horizontal="center"/>
    </xf>
    <xf numFmtId="168" fontId="2" fillId="0" borderId="0" xfId="0" applyNumberFormat="1" applyFont="1" applyAlignment="1">
      <alignment horizontal="center"/>
    </xf>
    <xf numFmtId="166" fontId="2" fillId="0" borderId="0" xfId="0" applyNumberFormat="1" applyFont="1" applyAlignment="1">
      <alignment horizontal="center"/>
    </xf>
    <xf numFmtId="1" fontId="2" fillId="0" borderId="0" xfId="0" applyNumberFormat="1" applyFont="1" applyFill="1" applyAlignment="1">
      <alignment horizontal="left"/>
    </xf>
    <xf numFmtId="167" fontId="2" fillId="0" borderId="0" xfId="0" applyNumberFormat="1" applyFont="1" applyFill="1" applyAlignment="1">
      <alignment horizontal="center"/>
    </xf>
    <xf numFmtId="169" fontId="2" fillId="0" borderId="0" xfId="0" applyNumberFormat="1" applyFont="1" applyAlignment="1">
      <alignment horizontal="center"/>
    </xf>
    <xf numFmtId="165" fontId="2" fillId="0" borderId="0" xfId="1" applyFont="1" applyAlignment="1">
      <alignment horizontal="center"/>
    </xf>
    <xf numFmtId="170" fontId="2" fillId="0" borderId="0" xfId="0" applyNumberFormat="1" applyFont="1" applyAlignment="1">
      <alignment horizontal="center"/>
    </xf>
    <xf numFmtId="0" fontId="6" fillId="0" borderId="0" xfId="4" applyFont="1"/>
    <xf numFmtId="0" fontId="2" fillId="0" borderId="0" xfId="4" applyAlignment="1">
      <alignment wrapText="1"/>
    </xf>
    <xf numFmtId="175" fontId="2" fillId="0" borderId="0" xfId="13" applyNumberFormat="1"/>
    <xf numFmtId="0" fontId="2" fillId="0" borderId="1" xfId="4" applyBorder="1" applyAlignment="1">
      <alignment horizontal="center"/>
    </xf>
    <xf numFmtId="175" fontId="2" fillId="0" borderId="0" xfId="4" applyNumberFormat="1"/>
    <xf numFmtId="3" fontId="2" fillId="0" borderId="0" xfId="4" applyNumberFormat="1" applyFill="1"/>
    <xf numFmtId="3" fontId="2" fillId="0" borderId="0" xfId="4" applyNumberFormat="1"/>
    <xf numFmtId="165" fontId="2" fillId="0" borderId="0" xfId="4" applyNumberFormat="1"/>
    <xf numFmtId="0" fontId="2" fillId="0" borderId="0" xfId="4" applyBorder="1" applyAlignment="1">
      <alignment horizontal="center"/>
    </xf>
    <xf numFmtId="17" fontId="2" fillId="0" borderId="0" xfId="4" applyNumberFormat="1"/>
    <xf numFmtId="0" fontId="2" fillId="0" borderId="0" xfId="4" applyAlignment="1">
      <alignment horizontal="right"/>
    </xf>
    <xf numFmtId="3" fontId="2" fillId="0" borderId="0" xfId="4" applyNumberFormat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172" fontId="2" fillId="0" borderId="0" xfId="1" applyNumberFormat="1" applyFont="1" applyFill="1" applyAlignment="1">
      <alignment horizontal="center"/>
    </xf>
    <xf numFmtId="172" fontId="0" fillId="0" borderId="0" xfId="1" applyNumberFormat="1" applyFont="1" applyFill="1" applyAlignment="1">
      <alignment horizontal="center"/>
    </xf>
    <xf numFmtId="172" fontId="2" fillId="0" borderId="0" xfId="1" applyNumberFormat="1" applyFont="1" applyFill="1" applyBorder="1" applyAlignment="1">
      <alignment horizontal="center" wrapText="1"/>
    </xf>
    <xf numFmtId="176" fontId="2" fillId="0" borderId="0" xfId="12" applyNumberFormat="1" applyFont="1" applyAlignment="1">
      <alignment horizontal="center"/>
    </xf>
    <xf numFmtId="0" fontId="2" fillId="0" borderId="0" xfId="4" applyFont="1" applyFill="1"/>
    <xf numFmtId="0" fontId="14" fillId="0" borderId="9" xfId="4" applyFont="1" applyFill="1" applyBorder="1" applyAlignment="1">
      <alignment horizontal="right"/>
    </xf>
    <xf numFmtId="0" fontId="8" fillId="0" borderId="0" xfId="4" applyFont="1" applyFill="1" applyAlignment="1">
      <alignment horizontal="right"/>
    </xf>
    <xf numFmtId="165" fontId="8" fillId="0" borderId="0" xfId="4" applyNumberFormat="1" applyFont="1" applyFill="1"/>
    <xf numFmtId="0" fontId="14" fillId="0" borderId="9" xfId="4" quotePrefix="1" applyFont="1" applyBorder="1" applyAlignment="1">
      <alignment horizontal="right"/>
    </xf>
    <xf numFmtId="166" fontId="2" fillId="0" borderId="0" xfId="0" applyNumberFormat="1" applyFont="1" applyFill="1" applyAlignment="1">
      <alignment horizontal="center"/>
    </xf>
    <xf numFmtId="9" fontId="2" fillId="0" borderId="0" xfId="0" applyNumberFormat="1" applyFont="1" applyFill="1" applyAlignment="1">
      <alignment horizontal="center"/>
    </xf>
    <xf numFmtId="9" fontId="2" fillId="0" borderId="0" xfId="2" applyFont="1" applyFill="1" applyAlignment="1">
      <alignment horizontal="center"/>
    </xf>
    <xf numFmtId="172" fontId="0" fillId="0" borderId="0" xfId="1" applyNumberFormat="1" applyFont="1" applyFill="1" applyBorder="1" applyAlignment="1">
      <alignment vertical="top"/>
    </xf>
    <xf numFmtId="0" fontId="2" fillId="0" borderId="0" xfId="4" applyFont="1"/>
    <xf numFmtId="175" fontId="2" fillId="0" borderId="0" xfId="13" applyNumberFormat="1" applyFont="1"/>
    <xf numFmtId="175" fontId="2" fillId="0" borderId="0" xfId="13" applyNumberFormat="1" applyFont="1" applyFill="1"/>
    <xf numFmtId="3" fontId="0" fillId="0" borderId="0" xfId="0" applyNumberFormat="1" applyFill="1" applyAlignment="1">
      <alignment horizontal="left"/>
    </xf>
    <xf numFmtId="0" fontId="2" fillId="0" borderId="0" xfId="4" applyFont="1" applyAlignment="1">
      <alignment wrapText="1"/>
    </xf>
    <xf numFmtId="172" fontId="2" fillId="0" borderId="0" xfId="1" applyNumberFormat="1" applyFont="1" applyFill="1" applyBorder="1" applyAlignment="1">
      <alignment vertical="top"/>
    </xf>
    <xf numFmtId="17" fontId="2" fillId="0" borderId="0" xfId="4" applyNumberFormat="1" applyFont="1"/>
    <xf numFmtId="0" fontId="5" fillId="0" borderId="0" xfId="0" applyFont="1" applyFill="1" applyBorder="1" applyAlignment="1">
      <alignment horizontal="left" vertical="center" wrapText="1"/>
    </xf>
    <xf numFmtId="166" fontId="2" fillId="0" borderId="0" xfId="2" applyNumberFormat="1" applyFont="1" applyAlignment="1">
      <alignment horizontal="center"/>
    </xf>
    <xf numFmtId="0" fontId="5" fillId="0" borderId="0" xfId="0" applyFont="1" applyBorder="1" applyAlignment="1"/>
    <xf numFmtId="3" fontId="10" fillId="0" borderId="0" xfId="0" applyNumberFormat="1" applyFont="1" applyFill="1" applyBorder="1" applyAlignment="1">
      <alignment horizontal="center"/>
    </xf>
    <xf numFmtId="3" fontId="10" fillId="0" borderId="0" xfId="0" applyNumberFormat="1" applyFont="1" applyFill="1" applyBorder="1" applyAlignment="1">
      <alignment horizontal="left"/>
    </xf>
    <xf numFmtId="3" fontId="0" fillId="0" borderId="0" xfId="0" applyNumberFormat="1" applyBorder="1" applyAlignment="1">
      <alignment horizontal="center"/>
    </xf>
    <xf numFmtId="0" fontId="21" fillId="0" borderId="0" xfId="0" applyFont="1" applyAlignment="1">
      <alignment horizontal="left"/>
    </xf>
    <xf numFmtId="0" fontId="7" fillId="0" borderId="0" xfId="0" applyFont="1" applyFill="1" applyBorder="1" applyAlignment="1">
      <alignment horizontal="left"/>
    </xf>
    <xf numFmtId="0" fontId="2" fillId="0" borderId="0" xfId="0" applyFont="1" applyFill="1" applyBorder="1" applyAlignment="1">
      <alignment horizontal="left" vertical="center" wrapText="1"/>
    </xf>
    <xf numFmtId="0" fontId="0" fillId="0" borderId="0" xfId="0" applyFill="1" applyBorder="1"/>
    <xf numFmtId="3" fontId="15" fillId="0" borderId="0" xfId="0" applyNumberFormat="1" applyFont="1" applyFill="1" applyAlignment="1">
      <alignment horizontal="left"/>
    </xf>
    <xf numFmtId="3" fontId="23" fillId="0" borderId="0" xfId="0" applyNumberFormat="1" applyFont="1" applyFill="1" applyAlignment="1">
      <alignment horizontal="center"/>
    </xf>
    <xf numFmtId="3" fontId="21" fillId="0" borderId="0" xfId="0" applyNumberFormat="1" applyFont="1" applyAlignment="1">
      <alignment horizontal="center"/>
    </xf>
    <xf numFmtId="3" fontId="2" fillId="0" borderId="0" xfId="0" applyNumberFormat="1" applyFont="1" applyAlignment="1">
      <alignment horizontal="left"/>
    </xf>
    <xf numFmtId="170" fontId="2" fillId="5" borderId="0" xfId="0" applyNumberFormat="1" applyFont="1" applyFill="1" applyAlignment="1">
      <alignment horizontal="center"/>
    </xf>
    <xf numFmtId="170" fontId="0" fillId="5" borderId="0" xfId="0" applyNumberFormat="1" applyFill="1" applyAlignment="1">
      <alignment horizontal="center"/>
    </xf>
    <xf numFmtId="175" fontId="0" fillId="0" borderId="0" xfId="1" applyNumberFormat="1" applyFont="1"/>
    <xf numFmtId="3" fontId="21" fillId="0" borderId="0" xfId="0" applyNumberFormat="1" applyFont="1" applyAlignment="1">
      <alignment horizontal="center" wrapText="1"/>
    </xf>
    <xf numFmtId="0" fontId="2" fillId="0" borderId="0" xfId="4" applyAlignment="1">
      <alignment horizontal="center"/>
    </xf>
    <xf numFmtId="43" fontId="2" fillId="0" borderId="0" xfId="13" applyNumberFormat="1"/>
    <xf numFmtId="0" fontId="2" fillId="0" borderId="0" xfId="4" applyAlignment="1">
      <alignment horizontal="center" wrapText="1"/>
    </xf>
    <xf numFmtId="0" fontId="2" fillId="0" borderId="7" xfId="4" applyBorder="1" applyAlignment="1">
      <alignment horizontal="center" wrapText="1"/>
    </xf>
    <xf numFmtId="0" fontId="2" fillId="0" borderId="8" xfId="4" applyBorder="1" applyAlignment="1">
      <alignment horizontal="center" wrapText="1"/>
    </xf>
    <xf numFmtId="0" fontId="2" fillId="0" borderId="12" xfId="4" applyBorder="1" applyAlignment="1">
      <alignment horizontal="center" wrapText="1"/>
    </xf>
    <xf numFmtId="175" fontId="2" fillId="0" borderId="4" xfId="13" applyNumberFormat="1" applyBorder="1"/>
    <xf numFmtId="175" fontId="2" fillId="0" borderId="5" xfId="13" applyNumberFormat="1" applyBorder="1"/>
    <xf numFmtId="175" fontId="2" fillId="0" borderId="0" xfId="13" applyNumberFormat="1" applyBorder="1"/>
    <xf numFmtId="0" fontId="2" fillId="0" borderId="0" xfId="4" applyAlignment="1"/>
    <xf numFmtId="172" fontId="2" fillId="0" borderId="5" xfId="13" applyNumberFormat="1" applyBorder="1"/>
    <xf numFmtId="175" fontId="2" fillId="0" borderId="6" xfId="13" applyNumberFormat="1" applyBorder="1"/>
    <xf numFmtId="175" fontId="2" fillId="0" borderId="10" xfId="13" applyNumberFormat="1" applyBorder="1"/>
    <xf numFmtId="175" fontId="2" fillId="0" borderId="9" xfId="13" applyNumberFormat="1" applyBorder="1"/>
    <xf numFmtId="0" fontId="2" fillId="0" borderId="0" xfId="4" applyFont="1" applyAlignment="1">
      <alignment horizontal="center" wrapText="1"/>
    </xf>
    <xf numFmtId="175" fontId="2" fillId="0" borderId="0" xfId="13" applyNumberFormat="1" applyAlignment="1">
      <alignment horizontal="center" wrapText="1"/>
    </xf>
    <xf numFmtId="172" fontId="2" fillId="0" borderId="0" xfId="1" applyNumberFormat="1"/>
    <xf numFmtId="17" fontId="2" fillId="0" borderId="0" xfId="0" applyNumberFormat="1" applyFont="1" applyAlignment="1">
      <alignment horizontal="left"/>
    </xf>
    <xf numFmtId="0" fontId="0" fillId="5" borderId="0" xfId="0" applyFont="1" applyFill="1"/>
    <xf numFmtId="171" fontId="0" fillId="5" borderId="0" xfId="0" applyNumberFormat="1" applyFill="1" applyAlignment="1">
      <alignment horizontal="center"/>
    </xf>
    <xf numFmtId="43" fontId="0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horizontal="center"/>
    </xf>
    <xf numFmtId="0" fontId="2" fillId="0" borderId="0" xfId="1" applyNumberFormat="1" applyFont="1" applyAlignment="1">
      <alignment horizontal="center"/>
    </xf>
    <xf numFmtId="0" fontId="0" fillId="0" borderId="0" xfId="0" applyNumberFormat="1" applyAlignment="1">
      <alignment horizontal="center"/>
    </xf>
    <xf numFmtId="175" fontId="2" fillId="0" borderId="0" xfId="1" applyNumberFormat="1" applyFont="1" applyFill="1"/>
    <xf numFmtId="3" fontId="2" fillId="0" borderId="0" xfId="0" applyNumberFormat="1" applyFont="1" applyFill="1" applyAlignment="1">
      <alignment horizontal="right" wrapText="1"/>
    </xf>
    <xf numFmtId="3" fontId="24" fillId="3" borderId="0" xfId="0" applyNumberFormat="1" applyFont="1" applyFill="1" applyAlignment="1">
      <alignment horizontal="center"/>
    </xf>
    <xf numFmtId="0" fontId="0" fillId="6" borderId="0" xfId="0" applyFill="1" applyBorder="1" applyAlignment="1"/>
    <xf numFmtId="0" fontId="10" fillId="6" borderId="0" xfId="0" applyFont="1" applyFill="1" applyBorder="1" applyAlignment="1"/>
    <xf numFmtId="175" fontId="2" fillId="0" borderId="0" xfId="1" applyNumberFormat="1"/>
    <xf numFmtId="172" fontId="2" fillId="0" borderId="0" xfId="13" applyNumberFormat="1" applyBorder="1"/>
    <xf numFmtId="171" fontId="2" fillId="0" borderId="0" xfId="0" applyNumberFormat="1" applyFont="1" applyFill="1" applyAlignment="1">
      <alignment horizontal="center"/>
    </xf>
    <xf numFmtId="171" fontId="2" fillId="5" borderId="0" xfId="0" applyNumberFormat="1" applyFont="1" applyFill="1" applyAlignment="1">
      <alignment horizontal="center"/>
    </xf>
    <xf numFmtId="3" fontId="4" fillId="0" borderId="0" xfId="0" applyNumberFormat="1" applyFont="1" applyFill="1" applyAlignment="1">
      <alignment horizontal="center"/>
    </xf>
    <xf numFmtId="3" fontId="2" fillId="0" borderId="0" xfId="0" quotePrefix="1" applyNumberFormat="1" applyFont="1" applyFill="1" applyAlignment="1">
      <alignment horizontal="center" wrapText="1"/>
    </xf>
    <xf numFmtId="10" fontId="23" fillId="0" borderId="0" xfId="0" applyNumberFormat="1" applyFont="1" applyAlignment="1">
      <alignment horizontal="center"/>
    </xf>
    <xf numFmtId="166" fontId="0" fillId="0" borderId="0" xfId="2" applyNumberFormat="1" applyFont="1" applyAlignment="1">
      <alignment horizontal="center"/>
    </xf>
    <xf numFmtId="0" fontId="5" fillId="0" borderId="0" xfId="0" applyFont="1" applyFill="1" applyAlignment="1">
      <alignment horizontal="center"/>
    </xf>
    <xf numFmtId="3" fontId="5" fillId="0" borderId="0" xfId="0" applyNumberFormat="1" applyFont="1" applyAlignment="1">
      <alignment horizontal="center"/>
    </xf>
    <xf numFmtId="169" fontId="2" fillId="0" borderId="0" xfId="0" applyNumberFormat="1" applyFont="1" applyFill="1" applyAlignment="1">
      <alignment horizontal="center"/>
    </xf>
    <xf numFmtId="172" fontId="5" fillId="0" borderId="1" xfId="1" applyNumberFormat="1" applyFont="1" applyFill="1" applyBorder="1" applyAlignment="1">
      <alignment horizontal="center" vertical="center" wrapText="1"/>
    </xf>
    <xf numFmtId="3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wrapText="1"/>
    </xf>
    <xf numFmtId="0" fontId="5" fillId="0" borderId="0" xfId="0" applyFont="1" applyFill="1"/>
    <xf numFmtId="0" fontId="5" fillId="0" borderId="0" xfId="4" applyFont="1" applyAlignment="1"/>
    <xf numFmtId="3" fontId="2" fillId="0" borderId="1" xfId="0" applyNumberFormat="1" applyFon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3" fontId="5" fillId="0" borderId="0" xfId="0" applyNumberFormat="1" applyFont="1" applyAlignment="1">
      <alignment horizontal="center"/>
    </xf>
    <xf numFmtId="3" fontId="2" fillId="0" borderId="0" xfId="0" applyNumberFormat="1" applyFont="1" applyAlignment="1">
      <alignment horizontal="center" wrapText="1"/>
    </xf>
    <xf numFmtId="0" fontId="2" fillId="0" borderId="0" xfId="4" applyAlignment="1">
      <alignment horizontal="center" wrapText="1"/>
    </xf>
    <xf numFmtId="0" fontId="2" fillId="0" borderId="0" xfId="4" applyAlignment="1">
      <alignment horizontal="center"/>
    </xf>
  </cellXfs>
  <cellStyles count="16">
    <cellStyle name="Comma" xfId="1" builtinId="3"/>
    <cellStyle name="Comma 2" xfId="5"/>
    <cellStyle name="Comma 3" xfId="6"/>
    <cellStyle name="Comma_CDM monthly amounts 2" xfId="13"/>
    <cellStyle name="Comma_Horizon 2011 Load Forecast Model  June 25, 2010" xfId="11"/>
    <cellStyle name="Comma0" xfId="7"/>
    <cellStyle name="Currency" xfId="12" builtinId="4"/>
    <cellStyle name="Currency0" xfId="8"/>
    <cellStyle name="Date" xfId="9"/>
    <cellStyle name="Fixed" xfId="10"/>
    <cellStyle name="Normal" xfId="0" builtinId="0"/>
    <cellStyle name="Normal 2" xfId="4"/>
    <cellStyle name="Normal 2 2 2 2 2" xfId="14"/>
    <cellStyle name="Percent" xfId="2" builtinId="5"/>
    <cellStyle name="Percent 12" xfId="15"/>
    <cellStyle name="Style 23" xfId="3"/>
  </cellStyles>
  <dxfs count="0"/>
  <tableStyles count="0" defaultTableStyle="TableStyleMedium2" defaultPivotStyle="PivotStyleLight16"/>
  <colors>
    <mruColors>
      <color rgb="FFFF00FF"/>
      <color rgb="FFCCFFCC"/>
      <color rgb="FFFF99CC"/>
      <color rgb="FFFF0000"/>
      <color rgb="FF00FF00"/>
      <color rgb="FF808000"/>
      <color rgb="FFFFFFCC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dg\Desktop\Dummy%20Fil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CCalhoun\Local%20Settings\Temporary%20Internet%20Files\Content.Outlook\EIW673TU\Documents%20and%20Settings\dferraro\Local%20Settings\Temporary%20Internet%20Files\OLKB\Dummy%20Fil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LDC%20FTY%20-%20LF\CostAllocatio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ummy File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ummy File"/>
    </sheetNames>
    <sheetDataSet>
      <sheetData sheetId="0" refreshError="1"/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ClassRevenues"/>
      <sheetName val="ExistingRatesDetails"/>
      <sheetName val="ExistingRatesSummary"/>
      <sheetName val="LoadForecastDetails"/>
      <sheetName val="LoadForecastSummary"/>
      <sheetName val="Refs"/>
    </sheetNames>
    <sheetDataSet>
      <sheetData sheetId="0" refreshError="1">
        <row r="8">
          <cell r="C8" t="str">
            <v>C:\Documents and Settings\jcochrane.ERA-INC\My Documents\2008EDR\FTYv1.3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2">
          <cell r="B2" t="str">
            <v>Horizon_Utilities_Corporation_Detailed_CA_model_Run2.xls</v>
          </cell>
        </row>
        <row r="3">
          <cell r="B3" t="str">
            <v>'[Horizon_Utilities_Corporation_Detailed_CA_model_Run2.xls]I2 LDC class'!$C:$G</v>
          </cell>
        </row>
        <row r="4">
          <cell r="B4" t="str">
            <v>'[Horizon_Utilities_Corporation_Detailed_CA_model_Run2.xls]O1 Revenue to cost|RR'!$D$17:$W$17</v>
          </cell>
        </row>
        <row r="5">
          <cell r="B5" t="str">
            <v>Revenue Requirement (includes NI)</v>
          </cell>
        </row>
        <row r="6">
          <cell r="B6">
            <v>92033309.222477198</v>
          </cell>
        </row>
        <row r="7">
          <cell r="B7" t="str">
            <v>'[Horizon_Utilities_Corporation_Detailed_CA_model_Run2.xls]O1 Revenue to cost|RR'!$B:$W</v>
          </cell>
        </row>
        <row r="8">
          <cell r="B8">
            <v>498976676.05552793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58"/>
  <sheetViews>
    <sheetView tabSelected="1" zoomScale="90" zoomScaleNormal="9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T2" sqref="T2"/>
    </sheetView>
  </sheetViews>
  <sheetFormatPr defaultRowHeight="12.75"/>
  <cols>
    <col min="1" max="1" width="34.28515625" customWidth="1"/>
    <col min="2" max="9" width="13.5703125" style="1" customWidth="1"/>
    <col min="10" max="11" width="13.5703125" style="110" customWidth="1"/>
    <col min="12" max="12" width="13.5703125" customWidth="1"/>
    <col min="13" max="13" width="13.5703125" style="28" customWidth="1"/>
    <col min="14" max="18" width="13.5703125" style="132" customWidth="1"/>
    <col min="19" max="20" width="14.42578125" style="132" bestFit="1" customWidth="1"/>
    <col min="21" max="21" width="12" bestFit="1" customWidth="1"/>
    <col min="23" max="23" width="11.140625" bestFit="1" customWidth="1"/>
    <col min="24" max="24" width="12.85546875" bestFit="1" customWidth="1"/>
    <col min="25" max="25" width="14" bestFit="1" customWidth="1"/>
    <col min="26" max="27" width="12.85546875" bestFit="1" customWidth="1"/>
  </cols>
  <sheetData>
    <row r="1" spans="1:24" ht="15.75">
      <c r="A1" s="39" t="s">
        <v>165</v>
      </c>
    </row>
    <row r="3" spans="1:24" ht="25.5">
      <c r="B3" s="41" t="s">
        <v>50</v>
      </c>
      <c r="C3" s="41" t="s">
        <v>51</v>
      </c>
      <c r="D3" s="41" t="s">
        <v>52</v>
      </c>
      <c r="E3" s="41" t="s">
        <v>53</v>
      </c>
      <c r="F3" s="41" t="s">
        <v>54</v>
      </c>
      <c r="G3" s="41" t="s">
        <v>73</v>
      </c>
      <c r="H3" s="41" t="s">
        <v>76</v>
      </c>
      <c r="I3" s="41" t="s">
        <v>74</v>
      </c>
      <c r="J3" s="41" t="s">
        <v>75</v>
      </c>
      <c r="K3" s="41" t="s">
        <v>77</v>
      </c>
      <c r="L3" s="41" t="s">
        <v>98</v>
      </c>
      <c r="M3" s="41" t="s">
        <v>99</v>
      </c>
      <c r="N3" s="41" t="s">
        <v>112</v>
      </c>
      <c r="O3" s="41" t="s">
        <v>113</v>
      </c>
      <c r="P3" s="41" t="s">
        <v>114</v>
      </c>
      <c r="Q3" s="41" t="s">
        <v>115</v>
      </c>
      <c r="R3" s="41" t="s">
        <v>116</v>
      </c>
      <c r="S3" s="171" t="s">
        <v>117</v>
      </c>
      <c r="T3" s="171" t="s">
        <v>118</v>
      </c>
    </row>
    <row r="4" spans="1:24">
      <c r="A4" s="17" t="s">
        <v>58</v>
      </c>
      <c r="B4" s="26">
        <f t="array" ref="B4:R4">TRANSPOSE('Purchased Power Model'!G324:G340)</f>
        <v>1269973823.9361501</v>
      </c>
      <c r="C4" s="6">
        <v>1294310409.8232</v>
      </c>
      <c r="D4" s="26">
        <v>1358556812.9958501</v>
      </c>
      <c r="E4" s="26">
        <v>1372533120.3491502</v>
      </c>
      <c r="F4" s="26">
        <v>1423569039</v>
      </c>
      <c r="G4" s="26">
        <v>1421429683</v>
      </c>
      <c r="H4" s="26">
        <v>1411764680.4000001</v>
      </c>
      <c r="I4" s="26">
        <v>1479129865.4622219</v>
      </c>
      <c r="J4" s="26">
        <v>1488841980.79</v>
      </c>
      <c r="K4" s="26">
        <v>1499089218.14588</v>
      </c>
      <c r="L4" s="6">
        <v>1499180241.3507881</v>
      </c>
      <c r="M4" s="24">
        <v>1489942245.1447198</v>
      </c>
      <c r="N4" s="120">
        <v>1485911224.8694601</v>
      </c>
      <c r="O4" s="120">
        <v>1494900180.9573333</v>
      </c>
      <c r="P4" s="120">
        <v>1454405278.97843</v>
      </c>
      <c r="Q4" s="120">
        <v>1518504308.5151181</v>
      </c>
      <c r="R4" s="120">
        <v>1483499736.2105448</v>
      </c>
      <c r="S4" s="120"/>
      <c r="T4" s="120"/>
      <c r="U4" s="28"/>
      <c r="V4" s="28"/>
      <c r="W4" s="28"/>
      <c r="X4" s="28"/>
    </row>
    <row r="5" spans="1:24">
      <c r="A5" s="17" t="s">
        <v>59</v>
      </c>
      <c r="B5" s="26">
        <f t="array" ref="B5:T5">TRANSPOSE('Purchased Power Model'!O324:O342)</f>
        <v>1269647330.304209</v>
      </c>
      <c r="C5" s="26">
        <v>1309934926.8045564</v>
      </c>
      <c r="D5" s="26">
        <v>1382738343.9530218</v>
      </c>
      <c r="E5" s="26">
        <v>1376587498.7546074</v>
      </c>
      <c r="F5" s="26">
        <v>1403612103.1215837</v>
      </c>
      <c r="G5" s="26">
        <v>1415940928.0522981</v>
      </c>
      <c r="H5" s="26">
        <v>1417829607.4532056</v>
      </c>
      <c r="I5" s="26">
        <v>1459251936.1642647</v>
      </c>
      <c r="J5" s="26">
        <v>1477371327.4041255</v>
      </c>
      <c r="K5" s="26">
        <v>1487980478.6985331</v>
      </c>
      <c r="L5" s="6">
        <v>1499189177.40167</v>
      </c>
      <c r="M5" s="24">
        <v>1495163736.2230701</v>
      </c>
      <c r="N5" s="120">
        <v>1497170187.5310473</v>
      </c>
      <c r="O5" s="120">
        <v>1511872715.1311004</v>
      </c>
      <c r="P5" s="120">
        <v>1476990377.0329261</v>
      </c>
      <c r="Q5" s="120">
        <v>1501723626.6727302</v>
      </c>
      <c r="R5" s="120">
        <v>1474774778.776154</v>
      </c>
      <c r="S5" s="120">
        <v>1481145610.687959</v>
      </c>
      <c r="T5" s="120">
        <v>1482761311.6562459</v>
      </c>
      <c r="U5" s="132"/>
      <c r="V5" s="28"/>
      <c r="W5" s="28"/>
      <c r="X5" s="28"/>
    </row>
    <row r="6" spans="1:24">
      <c r="A6" s="17" t="s">
        <v>9</v>
      </c>
      <c r="B6" s="40">
        <f t="shared" ref="B6:L6" si="0">(B5-B4)/B4</f>
        <v>-2.5708689879067547E-4</v>
      </c>
      <c r="C6" s="40">
        <f t="shared" si="0"/>
        <v>1.207169227935875E-2</v>
      </c>
      <c r="D6" s="40">
        <f t="shared" si="0"/>
        <v>1.7799425630089967E-2</v>
      </c>
      <c r="E6" s="40">
        <f t="shared" si="0"/>
        <v>2.9539384845051245E-3</v>
      </c>
      <c r="F6" s="40">
        <f t="shared" si="0"/>
        <v>-1.4018944871430503E-2</v>
      </c>
      <c r="G6" s="40">
        <f t="shared" si="0"/>
        <v>-3.8614326219202299E-3</v>
      </c>
      <c r="H6" s="40">
        <f t="shared" si="0"/>
        <v>4.2959900735631759E-3</v>
      </c>
      <c r="I6" s="40">
        <f t="shared" si="0"/>
        <v>-1.3438934445249276E-2</v>
      </c>
      <c r="J6" s="40">
        <f t="shared" si="0"/>
        <v>-7.7044129154579749E-3</v>
      </c>
      <c r="K6" s="40">
        <f t="shared" si="0"/>
        <v>-7.4103257583871887E-3</v>
      </c>
      <c r="L6" s="40">
        <f t="shared" si="0"/>
        <v>5.9606247703819119E-6</v>
      </c>
      <c r="M6" s="67">
        <f>(M5-M4)/M4</f>
        <v>3.5044922683181829E-3</v>
      </c>
      <c r="N6" s="172">
        <f t="shared" ref="N6:R6" si="1">(N5-N4)/N4</f>
        <v>7.5771435555151406E-3</v>
      </c>
      <c r="O6" s="172">
        <f t="shared" si="1"/>
        <v>1.1353623733524392E-2</v>
      </c>
      <c r="P6" s="172">
        <f t="shared" si="1"/>
        <v>1.552875142914756E-2</v>
      </c>
      <c r="Q6" s="172">
        <f t="shared" si="1"/>
        <v>-1.1050796331817485E-2</v>
      </c>
      <c r="R6" s="172">
        <f t="shared" si="1"/>
        <v>-5.8813339978595718E-3</v>
      </c>
      <c r="S6" s="172"/>
      <c r="T6" s="172"/>
      <c r="U6" s="28"/>
      <c r="V6" s="28"/>
      <c r="W6" s="28"/>
      <c r="X6" s="28"/>
    </row>
    <row r="7" spans="1:24">
      <c r="A7" s="17"/>
      <c r="B7" s="37"/>
      <c r="C7" s="37"/>
      <c r="D7" s="37"/>
      <c r="E7" s="37"/>
      <c r="F7" s="37"/>
      <c r="G7" s="37"/>
      <c r="H7" s="37"/>
      <c r="I7" s="37"/>
      <c r="J7" s="37"/>
      <c r="K7" s="37"/>
      <c r="L7" s="1"/>
      <c r="M7" s="20"/>
      <c r="N7" s="129"/>
      <c r="O7" s="129"/>
      <c r="P7" s="129"/>
      <c r="Q7" s="129"/>
      <c r="R7" s="129"/>
      <c r="S7" s="129"/>
      <c r="T7" s="129"/>
      <c r="U7" s="28"/>
      <c r="V7" s="28"/>
      <c r="W7" s="28"/>
      <c r="X7" s="28"/>
    </row>
    <row r="8" spans="1:24">
      <c r="A8" s="17" t="s">
        <v>78</v>
      </c>
      <c r="B8" s="26">
        <f t="array" ref="B8:T8">TRANSPOSE('Rate Class Energy Model'!G12:G30)</f>
        <v>1216900996.0565405</v>
      </c>
      <c r="C8" s="26">
        <v>1249737839.5310242</v>
      </c>
      <c r="D8" s="26">
        <v>1304584908.3560057</v>
      </c>
      <c r="E8" s="26">
        <v>1326077776.3556862</v>
      </c>
      <c r="F8" s="26">
        <v>1367527466.4748852</v>
      </c>
      <c r="G8" s="26">
        <v>1370617487.6535487</v>
      </c>
      <c r="H8" s="26">
        <v>1360402643.8210773</v>
      </c>
      <c r="I8" s="26">
        <v>1425614249.190577</v>
      </c>
      <c r="J8" s="26">
        <v>1437226190.9883945</v>
      </c>
      <c r="K8" s="26">
        <v>1450973841.3553348</v>
      </c>
      <c r="L8" s="6">
        <v>1448566259.3279991</v>
      </c>
      <c r="M8" s="24">
        <v>1447248320.4453387</v>
      </c>
      <c r="N8" s="120">
        <v>1441031602.9491651</v>
      </c>
      <c r="O8" s="120">
        <v>1444462268.378233</v>
      </c>
      <c r="P8" s="120">
        <v>1409167204.644876</v>
      </c>
      <c r="Q8" s="120">
        <v>1467265688.8070495</v>
      </c>
      <c r="R8" s="120">
        <v>1438045051.8183432</v>
      </c>
      <c r="S8" s="120">
        <v>1430063907.5450876</v>
      </c>
      <c r="T8" s="120">
        <v>1431623886.2692995</v>
      </c>
      <c r="U8" s="28"/>
      <c r="V8" s="28"/>
      <c r="W8" s="28"/>
      <c r="X8" s="28"/>
    </row>
    <row r="9" spans="1:24">
      <c r="A9" s="17"/>
      <c r="B9" s="37"/>
      <c r="C9" s="37"/>
      <c r="D9" s="37"/>
      <c r="E9" s="37"/>
      <c r="F9" s="37"/>
      <c r="G9" s="37"/>
      <c r="H9" s="37"/>
      <c r="I9" s="37"/>
      <c r="J9" s="37"/>
      <c r="K9" s="37"/>
      <c r="L9" s="1"/>
      <c r="M9" s="68"/>
      <c r="N9" s="173"/>
      <c r="O9" s="173"/>
      <c r="P9" s="173"/>
      <c r="Q9" s="173"/>
      <c r="R9" s="173"/>
      <c r="S9" s="129"/>
      <c r="T9" s="129"/>
    </row>
    <row r="10" spans="1:24" ht="15.75">
      <c r="A10" s="39" t="s">
        <v>60</v>
      </c>
      <c r="L10" s="1"/>
      <c r="M10" s="20"/>
      <c r="N10" s="129"/>
      <c r="O10" s="129"/>
      <c r="P10" s="129"/>
      <c r="Q10" s="129"/>
      <c r="R10" s="129"/>
      <c r="S10" s="129"/>
      <c r="T10" s="129"/>
    </row>
    <row r="11" spans="1:24">
      <c r="A11" s="38" t="str">
        <f>'Rate Class Energy Model'!H2</f>
        <v xml:space="preserve">Residential </v>
      </c>
      <c r="L11" s="1"/>
      <c r="M11" s="20"/>
      <c r="N11" s="129"/>
      <c r="O11" s="129"/>
      <c r="P11" s="129"/>
      <c r="Q11" s="129"/>
      <c r="R11" s="129"/>
      <c r="S11" s="129"/>
      <c r="T11" s="129"/>
    </row>
    <row r="12" spans="1:24">
      <c r="A12" t="s">
        <v>47</v>
      </c>
      <c r="B12" s="6">
        <f t="array" ref="B12:T12">TRANSPOSE('Rate Class Customer Model'!B5:B23)</f>
        <v>39235.5</v>
      </c>
      <c r="C12" s="6">
        <v>40531</v>
      </c>
      <c r="D12" s="6">
        <v>41768.5</v>
      </c>
      <c r="E12" s="6">
        <v>42667.5</v>
      </c>
      <c r="F12" s="6">
        <v>43381.5</v>
      </c>
      <c r="G12" s="6">
        <v>44171.5</v>
      </c>
      <c r="H12" s="6">
        <v>44853</v>
      </c>
      <c r="I12" s="6">
        <v>45488</v>
      </c>
      <c r="J12" s="6">
        <v>46194</v>
      </c>
      <c r="K12" s="6">
        <v>46876.5</v>
      </c>
      <c r="L12" s="6">
        <v>47602</v>
      </c>
      <c r="M12" s="24">
        <v>48190.5</v>
      </c>
      <c r="N12" s="120">
        <v>48750</v>
      </c>
      <c r="O12" s="120">
        <v>49431</v>
      </c>
      <c r="P12" s="120">
        <v>50115</v>
      </c>
      <c r="Q12" s="120">
        <v>50664</v>
      </c>
      <c r="R12" s="120">
        <v>51040.5</v>
      </c>
      <c r="S12" s="120">
        <v>51382.980682891895</v>
      </c>
      <c r="T12" s="120">
        <v>51718.030870468057</v>
      </c>
      <c r="U12" s="50"/>
    </row>
    <row r="13" spans="1:24">
      <c r="A13" t="s">
        <v>48</v>
      </c>
      <c r="B13" s="6">
        <f t="array" ref="B13:R13">TRANSPOSE('Rate Class Energy Model'!H12:H28)</f>
        <v>381172837.66807127</v>
      </c>
      <c r="C13" s="6">
        <v>385085949.09113443</v>
      </c>
      <c r="D13" s="6">
        <v>408053980.68531799</v>
      </c>
      <c r="E13" s="6">
        <v>391947394.97747368</v>
      </c>
      <c r="F13" s="6">
        <v>405071611.60313827</v>
      </c>
      <c r="G13" s="6">
        <v>405533476.47927278</v>
      </c>
      <c r="H13" s="6">
        <v>397106489.36571515</v>
      </c>
      <c r="I13" s="6">
        <v>413251128.70022863</v>
      </c>
      <c r="J13" s="6">
        <v>408768579.48301852</v>
      </c>
      <c r="K13" s="6">
        <v>409922519.07816052</v>
      </c>
      <c r="L13" s="48">
        <v>409442944.51723653</v>
      </c>
      <c r="M13" s="24">
        <v>410104641.97000003</v>
      </c>
      <c r="N13" s="120">
        <v>404728026.47000003</v>
      </c>
      <c r="O13" s="120">
        <v>404436333.48000002</v>
      </c>
      <c r="P13" s="120">
        <v>396801470.26067001</v>
      </c>
      <c r="Q13" s="120">
        <v>413689290.93846411</v>
      </c>
      <c r="R13" s="120">
        <v>406423263.28629249</v>
      </c>
      <c r="S13" s="120">
        <f>'Rate Class Energy Model'!H88</f>
        <v>399456598.48546529</v>
      </c>
      <c r="T13" s="120">
        <f>'Rate Class Energy Model'!H89</f>
        <v>395056933.99144065</v>
      </c>
      <c r="U13" s="50"/>
    </row>
    <row r="14" spans="1:24">
      <c r="L14" s="48"/>
      <c r="M14" s="20"/>
      <c r="N14" s="129"/>
      <c r="O14" s="129"/>
      <c r="P14" s="129"/>
      <c r="Q14" s="129"/>
      <c r="R14" s="129"/>
      <c r="S14" s="129"/>
      <c r="T14" s="129"/>
    </row>
    <row r="15" spans="1:24">
      <c r="A15" s="38" t="str">
        <f>'Rate Class Energy Model'!I2</f>
        <v>General Service &lt; 50 kW</v>
      </c>
      <c r="B15" s="164"/>
      <c r="C15" s="164"/>
      <c r="D15" s="164"/>
      <c r="E15" s="164"/>
      <c r="F15" s="164"/>
      <c r="G15" s="164"/>
      <c r="H15" s="164"/>
      <c r="I15" s="164"/>
      <c r="J15" s="164"/>
      <c r="K15" s="164"/>
      <c r="L15" s="170"/>
      <c r="M15" s="161"/>
      <c r="N15" s="129"/>
      <c r="O15" s="129"/>
      <c r="P15" s="129"/>
      <c r="Q15" s="129"/>
      <c r="R15" s="129"/>
      <c r="S15" s="129"/>
      <c r="T15" s="129"/>
    </row>
    <row r="16" spans="1:24">
      <c r="A16" t="s">
        <v>47</v>
      </c>
      <c r="B16" s="6">
        <f t="array" ref="B16:T16">TRANSPOSE('Rate Class Customer Model'!C5:C23)</f>
        <v>4966.5</v>
      </c>
      <c r="C16" s="6">
        <v>5001</v>
      </c>
      <c r="D16" s="6">
        <v>5061.5</v>
      </c>
      <c r="E16" s="6">
        <v>5119</v>
      </c>
      <c r="F16" s="6">
        <v>5151</v>
      </c>
      <c r="G16" s="6">
        <v>5183.5</v>
      </c>
      <c r="H16" s="6">
        <v>5252.5</v>
      </c>
      <c r="I16" s="6">
        <v>5342.5</v>
      </c>
      <c r="J16" s="6">
        <v>5401.5</v>
      </c>
      <c r="K16" s="6">
        <v>5453.5</v>
      </c>
      <c r="L16" s="6">
        <v>5503</v>
      </c>
      <c r="M16" s="24">
        <v>5546.5</v>
      </c>
      <c r="N16" s="120">
        <v>5622.5</v>
      </c>
      <c r="O16" s="120">
        <v>5699.5</v>
      </c>
      <c r="P16" s="120">
        <v>5782</v>
      </c>
      <c r="Q16" s="120">
        <v>5837.5</v>
      </c>
      <c r="R16" s="120">
        <v>5866.5</v>
      </c>
      <c r="S16" s="120">
        <v>5924.2486678616242</v>
      </c>
      <c r="T16" s="120">
        <v>5989.0990166802058</v>
      </c>
      <c r="U16" s="50"/>
    </row>
    <row r="17" spans="1:27">
      <c r="A17" t="s">
        <v>48</v>
      </c>
      <c r="B17" s="6">
        <f t="array" ref="B17:R17">TRANSPOSE('Rate Class Energy Model'!I12:I28)</f>
        <v>178733408.91393787</v>
      </c>
      <c r="C17" s="6">
        <v>181654717.71144453</v>
      </c>
      <c r="D17" s="6">
        <v>187375741.76912484</v>
      </c>
      <c r="E17" s="6">
        <v>189284333.47635177</v>
      </c>
      <c r="F17" s="6">
        <v>192047824.57591051</v>
      </c>
      <c r="G17" s="6">
        <v>185031934.17948633</v>
      </c>
      <c r="H17" s="6">
        <v>179794279.15883675</v>
      </c>
      <c r="I17" s="6">
        <v>185040277.853742</v>
      </c>
      <c r="J17" s="6">
        <v>187070265.18729451</v>
      </c>
      <c r="K17" s="6">
        <v>190189481.93352211</v>
      </c>
      <c r="L17" s="6">
        <v>194737948.70414755</v>
      </c>
      <c r="M17" s="24">
        <v>197096101.55000001</v>
      </c>
      <c r="N17" s="120">
        <v>196078596.03999996</v>
      </c>
      <c r="O17" s="120">
        <v>193116425.72</v>
      </c>
      <c r="P17" s="120">
        <v>189981988.00681001</v>
      </c>
      <c r="Q17" s="120">
        <v>197978623.11967275</v>
      </c>
      <c r="R17" s="120">
        <v>198022374.59018135</v>
      </c>
      <c r="S17" s="120">
        <f>'Rate Class Energy Model'!I88</f>
        <v>196886107.90536895</v>
      </c>
      <c r="T17" s="120">
        <f>'Rate Class Energy Model'!I89</f>
        <v>195573806.9160651</v>
      </c>
      <c r="U17" s="50"/>
    </row>
    <row r="18" spans="1:27">
      <c r="L18" s="1"/>
      <c r="M18" s="20"/>
      <c r="N18" s="129"/>
      <c r="O18" s="129"/>
      <c r="P18" s="129"/>
      <c r="Q18" s="129"/>
      <c r="R18" s="129"/>
      <c r="S18" s="129"/>
      <c r="T18" s="129"/>
    </row>
    <row r="19" spans="1:27">
      <c r="A19" s="38" t="str">
        <f>'Rate Class Energy Model'!J2</f>
        <v>General Service &gt; 50 to 4999 kW</v>
      </c>
      <c r="L19" s="1"/>
      <c r="M19" s="20"/>
      <c r="N19" s="129"/>
      <c r="O19" s="129"/>
      <c r="P19" s="129"/>
      <c r="Q19" s="129"/>
      <c r="R19" s="129"/>
      <c r="S19" s="129"/>
      <c r="T19" s="129"/>
    </row>
    <row r="20" spans="1:27">
      <c r="A20" t="s">
        <v>47</v>
      </c>
      <c r="B20" s="6">
        <f t="array" ref="B20:T20">TRANSPOSE('Rate Class Customer Model'!D5:D23)</f>
        <v>646</v>
      </c>
      <c r="C20" s="6">
        <v>631.5</v>
      </c>
      <c r="D20" s="6">
        <v>622.5</v>
      </c>
      <c r="E20" s="6">
        <v>621.5</v>
      </c>
      <c r="F20" s="6">
        <v>627</v>
      </c>
      <c r="G20" s="6">
        <v>647</v>
      </c>
      <c r="H20" s="6">
        <v>662.5</v>
      </c>
      <c r="I20" s="6">
        <v>663</v>
      </c>
      <c r="J20" s="6">
        <v>666</v>
      </c>
      <c r="K20" s="6">
        <v>667</v>
      </c>
      <c r="L20" s="6">
        <v>668</v>
      </c>
      <c r="M20" s="24">
        <v>681</v>
      </c>
      <c r="N20" s="120">
        <v>696.5</v>
      </c>
      <c r="O20" s="120">
        <v>715</v>
      </c>
      <c r="P20" s="120">
        <v>735</v>
      </c>
      <c r="Q20" s="120">
        <v>750.5</v>
      </c>
      <c r="R20" s="120">
        <v>752</v>
      </c>
      <c r="S20" s="120">
        <v>752.27005985853282</v>
      </c>
      <c r="T20" s="120">
        <v>771.04149588725591</v>
      </c>
      <c r="U20" s="50">
        <f>+T20+T30</f>
        <v>774.04149588725591</v>
      </c>
    </row>
    <row r="21" spans="1:27">
      <c r="A21" t="s">
        <v>48</v>
      </c>
      <c r="B21" s="6">
        <f t="array" ref="B21:R21">TRANSPOSE('Rate Class Energy Model'!J12:J28)</f>
        <v>581134405.32007647</v>
      </c>
      <c r="C21" s="6">
        <v>606602562.82914591</v>
      </c>
      <c r="D21" s="6">
        <v>627713059.1572262</v>
      </c>
      <c r="E21" s="6">
        <v>660327537.80390346</v>
      </c>
      <c r="F21" s="6">
        <v>682785512.34885848</v>
      </c>
      <c r="G21" s="6">
        <v>693615296.4854753</v>
      </c>
      <c r="H21" s="6">
        <v>697125703.11720777</v>
      </c>
      <c r="I21" s="6">
        <v>734775050.79018271</v>
      </c>
      <c r="J21" s="6">
        <v>725123828.05401099</v>
      </c>
      <c r="K21" s="6">
        <v>716491036.71370065</v>
      </c>
      <c r="L21" s="6">
        <v>705737127.583372</v>
      </c>
      <c r="M21" s="24">
        <v>699842687.668589</v>
      </c>
      <c r="N21" s="120">
        <v>696649002.41791606</v>
      </c>
      <c r="O21" s="120">
        <v>701389229.38600504</v>
      </c>
      <c r="P21" s="120">
        <v>678663685.704072</v>
      </c>
      <c r="Q21" s="120">
        <v>706516405.718624</v>
      </c>
      <c r="R21" s="120">
        <v>683561941.53615892</v>
      </c>
      <c r="S21" s="120">
        <f>'Rate Class Energy Model'!J88</f>
        <v>679022050.84233797</v>
      </c>
      <c r="T21" s="120">
        <f>'Rate Class Energy Model'!J89</f>
        <v>687924695.51628542</v>
      </c>
      <c r="U21" s="50">
        <f>+T21+T31</f>
        <v>697140722.96452165</v>
      </c>
    </row>
    <row r="22" spans="1:27">
      <c r="A22" t="s">
        <v>49</v>
      </c>
      <c r="B22" s="6">
        <f t="array" ref="B22:T22">TRANSPOSE('Rate Class Load Model'!B5:B23)</f>
        <v>1578391.22</v>
      </c>
      <c r="C22" s="6">
        <v>1578376.8800000001</v>
      </c>
      <c r="D22" s="6">
        <v>1609886.5499999998</v>
      </c>
      <c r="E22" s="6">
        <v>1625473.94</v>
      </c>
      <c r="F22" s="6">
        <v>1650920.52526434</v>
      </c>
      <c r="G22" s="6">
        <v>1665645.4876041899</v>
      </c>
      <c r="H22" s="6">
        <v>1682115.0064068299</v>
      </c>
      <c r="I22" s="6">
        <v>1762264.4908548973</v>
      </c>
      <c r="J22" s="6">
        <v>1775934.1105933774</v>
      </c>
      <c r="K22" s="6">
        <v>1801338.9912232601</v>
      </c>
      <c r="L22" s="6">
        <v>1766194.57204795</v>
      </c>
      <c r="M22" s="24">
        <v>1726654.3667194999</v>
      </c>
      <c r="N22" s="120">
        <v>1734984</v>
      </c>
      <c r="O22" s="120">
        <v>1796640.9</v>
      </c>
      <c r="P22" s="120">
        <v>1747019.4349100001</v>
      </c>
      <c r="Q22" s="120">
        <v>1795199.37548704</v>
      </c>
      <c r="R22" s="120">
        <v>1752761.4941998699</v>
      </c>
      <c r="S22" s="120">
        <v>1719145.2678783264</v>
      </c>
      <c r="T22" s="120">
        <v>1741684.9474716957</v>
      </c>
      <c r="U22" s="50">
        <f>+T22+T32</f>
        <v>1764635.9604947586</v>
      </c>
    </row>
    <row r="23" spans="1:27">
      <c r="L23" s="1"/>
      <c r="M23" s="20"/>
      <c r="N23" s="129"/>
      <c r="O23" s="129"/>
      <c r="P23" s="129"/>
      <c r="Q23" s="129"/>
      <c r="R23" s="129"/>
      <c r="S23" s="129"/>
      <c r="T23" s="129"/>
    </row>
    <row r="24" spans="1:27">
      <c r="A24" s="38" t="str">
        <f>'Rate Class Energy Model'!K2</f>
        <v>Large User</v>
      </c>
      <c r="L24" s="1"/>
      <c r="M24" s="20"/>
      <c r="N24" s="129"/>
      <c r="O24" s="129"/>
      <c r="P24" s="129"/>
      <c r="Q24" s="129"/>
      <c r="R24" s="129"/>
      <c r="S24" s="129"/>
      <c r="T24" s="129"/>
    </row>
    <row r="25" spans="1:27">
      <c r="A25" t="s">
        <v>47</v>
      </c>
      <c r="B25" s="6">
        <f t="array" ref="B25:T25">TRANSPOSE('Rate Class Customer Model'!E5:E23)</f>
        <v>1</v>
      </c>
      <c r="C25" s="6">
        <v>1</v>
      </c>
      <c r="D25" s="6">
        <v>1</v>
      </c>
      <c r="E25" s="6">
        <v>1</v>
      </c>
      <c r="F25" s="6">
        <v>1</v>
      </c>
      <c r="G25" s="6">
        <v>1</v>
      </c>
      <c r="H25" s="6">
        <v>1</v>
      </c>
      <c r="I25" s="6">
        <v>1</v>
      </c>
      <c r="J25" s="6">
        <v>1</v>
      </c>
      <c r="K25" s="6">
        <v>1</v>
      </c>
      <c r="L25" s="6">
        <v>1</v>
      </c>
      <c r="M25" s="24">
        <v>1</v>
      </c>
      <c r="N25" s="120">
        <v>1</v>
      </c>
      <c r="O25" s="120">
        <v>1</v>
      </c>
      <c r="P25" s="120">
        <v>1</v>
      </c>
      <c r="Q25" s="120">
        <v>1</v>
      </c>
      <c r="R25" s="120">
        <v>1</v>
      </c>
      <c r="S25" s="120">
        <v>1</v>
      </c>
      <c r="T25" s="120">
        <v>1</v>
      </c>
      <c r="U25" s="50"/>
      <c r="AA25" s="108"/>
    </row>
    <row r="26" spans="1:27">
      <c r="A26" t="s">
        <v>48</v>
      </c>
      <c r="B26" s="6">
        <f t="array" ref="B26:R26">TRANSPOSE('Rate Class Energy Model'!K12:K28)</f>
        <v>65433585.883026376</v>
      </c>
      <c r="C26" s="6">
        <v>66067057.488522306</v>
      </c>
      <c r="D26" s="6">
        <v>70553959.956197128</v>
      </c>
      <c r="E26" s="6">
        <v>73668917.559980094</v>
      </c>
      <c r="F26" s="6">
        <v>77115460.578236669</v>
      </c>
      <c r="G26" s="6">
        <v>76733607.732911587</v>
      </c>
      <c r="H26" s="6">
        <v>76507951.361122951</v>
      </c>
      <c r="I26" s="6">
        <v>82593009.154977307</v>
      </c>
      <c r="J26" s="6">
        <v>84249636.77408801</v>
      </c>
      <c r="K26" s="6">
        <v>86740766.777832463</v>
      </c>
      <c r="L26" s="6">
        <v>90202678.814972758</v>
      </c>
      <c r="M26" s="24">
        <v>91205251.099502489</v>
      </c>
      <c r="N26" s="120">
        <v>92984875.477611929</v>
      </c>
      <c r="O26" s="120">
        <v>95179111.572139308</v>
      </c>
      <c r="P26" s="120">
        <v>95093183.776119411</v>
      </c>
      <c r="Q26" s="120">
        <v>98366841.697951272</v>
      </c>
      <c r="R26" s="120">
        <v>96183865.579993218</v>
      </c>
      <c r="S26" s="120">
        <f>'Rate Class Energy Model'!K88</f>
        <v>97396630.704771414</v>
      </c>
      <c r="T26" s="120">
        <f>'Rate Class Energy Model'!K89</f>
        <v>95699867.258138403</v>
      </c>
      <c r="U26" s="50"/>
      <c r="AA26" s="108"/>
    </row>
    <row r="27" spans="1:27">
      <c r="A27" t="s">
        <v>49</v>
      </c>
      <c r="B27" s="6">
        <f t="array" ref="B27:T27">TRANSPOSE('Rate Class Load Model'!C5:C23)</f>
        <v>120390.91</v>
      </c>
      <c r="C27" s="6">
        <v>136143.48000000001</v>
      </c>
      <c r="D27" s="6">
        <v>138634.15</v>
      </c>
      <c r="E27" s="6">
        <v>144512.38</v>
      </c>
      <c r="F27" s="6">
        <v>147257.86545956359</v>
      </c>
      <c r="G27" s="6">
        <v>145766.05751103099</v>
      </c>
      <c r="H27" s="6">
        <v>144355.31891495423</v>
      </c>
      <c r="I27" s="6">
        <v>155986.1286054042</v>
      </c>
      <c r="J27" s="6">
        <v>160630.4092067632</v>
      </c>
      <c r="K27" s="6">
        <v>165061.06945578445</v>
      </c>
      <c r="L27" s="6">
        <v>168360.64399864853</v>
      </c>
      <c r="M27" s="24">
        <v>166648.90999999997</v>
      </c>
      <c r="N27" s="120">
        <v>170150.59999999998</v>
      </c>
      <c r="O27" s="120">
        <v>178218.15000000002</v>
      </c>
      <c r="P27" s="120">
        <v>177858.1936</v>
      </c>
      <c r="Q27" s="120">
        <v>173375.9088</v>
      </c>
      <c r="R27" s="120">
        <v>169281.44640010002</v>
      </c>
      <c r="S27" s="120">
        <v>172288.32087892957</v>
      </c>
      <c r="T27" s="120">
        <v>169286.85642339554</v>
      </c>
      <c r="U27" s="50"/>
    </row>
    <row r="28" spans="1:27">
      <c r="L28" s="1"/>
      <c r="M28" s="20"/>
      <c r="N28" s="129"/>
      <c r="O28" s="129"/>
      <c r="P28" s="129"/>
      <c r="Q28" s="129"/>
      <c r="R28" s="129"/>
      <c r="S28" s="129"/>
      <c r="T28" s="129"/>
    </row>
    <row r="29" spans="1:27">
      <c r="A29" s="38" t="str">
        <f>'Rate Class Energy Model'!L2</f>
        <v>Direct Market Participant</v>
      </c>
      <c r="B29" s="70"/>
      <c r="C29" s="70"/>
      <c r="D29" s="70"/>
      <c r="E29" s="70"/>
      <c r="F29" s="70"/>
      <c r="G29" s="70"/>
      <c r="H29" s="70"/>
      <c r="I29" s="70"/>
      <c r="L29" s="70"/>
      <c r="M29" s="20"/>
      <c r="N29" s="129"/>
      <c r="O29" s="129"/>
      <c r="P29" s="129"/>
      <c r="Q29" s="129"/>
      <c r="R29" s="129"/>
      <c r="S29" s="129"/>
      <c r="T29" s="129"/>
    </row>
    <row r="30" spans="1:27">
      <c r="A30" t="s">
        <v>47</v>
      </c>
      <c r="B30" s="24">
        <f t="array" ref="B30:T30">TRANSPOSE('Rate Class Customer Model'!F5:F23)</f>
        <v>0</v>
      </c>
      <c r="C30" s="24">
        <v>0</v>
      </c>
      <c r="D30" s="24">
        <v>0</v>
      </c>
      <c r="E30" s="24">
        <v>0</v>
      </c>
      <c r="F30" s="24">
        <v>0</v>
      </c>
      <c r="G30" s="24">
        <v>0</v>
      </c>
      <c r="H30" s="24">
        <v>0</v>
      </c>
      <c r="I30" s="24">
        <v>0</v>
      </c>
      <c r="J30" s="24">
        <v>0</v>
      </c>
      <c r="K30" s="24">
        <v>2</v>
      </c>
      <c r="L30" s="24">
        <v>2</v>
      </c>
      <c r="M30" s="24">
        <v>2</v>
      </c>
      <c r="N30" s="120">
        <v>2</v>
      </c>
      <c r="O30" s="120">
        <v>2</v>
      </c>
      <c r="P30" s="120">
        <v>2</v>
      </c>
      <c r="Q30" s="120">
        <v>2.5</v>
      </c>
      <c r="R30" s="120">
        <v>3</v>
      </c>
      <c r="S30" s="120">
        <v>3</v>
      </c>
      <c r="T30" s="120">
        <v>3</v>
      </c>
      <c r="U30" s="50"/>
    </row>
    <row r="31" spans="1:27">
      <c r="A31" t="s">
        <v>48</v>
      </c>
      <c r="B31" s="24">
        <f t="array" ref="B31:R31">TRANSPOSE('Rate Class Energy Model'!L12:L28)</f>
        <v>0</v>
      </c>
      <c r="C31" s="24">
        <v>0</v>
      </c>
      <c r="D31" s="24">
        <v>0</v>
      </c>
      <c r="E31" s="24">
        <v>0</v>
      </c>
      <c r="F31" s="24">
        <v>0</v>
      </c>
      <c r="G31" s="24">
        <v>0</v>
      </c>
      <c r="H31" s="24">
        <v>0</v>
      </c>
      <c r="I31" s="24">
        <v>0</v>
      </c>
      <c r="J31" s="24">
        <v>0</v>
      </c>
      <c r="K31" s="24">
        <v>3552539</v>
      </c>
      <c r="L31" s="24">
        <v>7664745</v>
      </c>
      <c r="M31" s="24">
        <v>7004823</v>
      </c>
      <c r="N31" s="120">
        <v>6790407</v>
      </c>
      <c r="O31" s="120">
        <v>6445968.4499999993</v>
      </c>
      <c r="P31" s="120">
        <v>6231611.0999999996</v>
      </c>
      <c r="Q31" s="120">
        <v>8585533.4200000018</v>
      </c>
      <c r="R31" s="120">
        <v>8606063.6499999985</v>
      </c>
      <c r="S31" s="120">
        <f>'Rate Class Energy Model'!L88</f>
        <v>9216027.4482361786</v>
      </c>
      <c r="T31" s="120">
        <f>'Rate Class Energy Model'!L89</f>
        <v>9216027.4482361786</v>
      </c>
      <c r="U31" s="50"/>
    </row>
    <row r="32" spans="1:27">
      <c r="A32" t="s">
        <v>49</v>
      </c>
      <c r="B32" s="24">
        <f t="array" ref="B32:T32">TRANSPOSE('Rate Class Load Model'!D5:D23)</f>
        <v>0</v>
      </c>
      <c r="C32" s="24">
        <v>0</v>
      </c>
      <c r="D32" s="24">
        <v>0</v>
      </c>
      <c r="E32" s="24">
        <v>0</v>
      </c>
      <c r="F32" s="24">
        <v>0</v>
      </c>
      <c r="G32" s="24">
        <v>0</v>
      </c>
      <c r="H32" s="24">
        <v>0</v>
      </c>
      <c r="I32" s="24">
        <v>0</v>
      </c>
      <c r="J32" s="24">
        <v>0</v>
      </c>
      <c r="K32" s="24">
        <v>5848.15</v>
      </c>
      <c r="L32" s="24">
        <v>13337.56</v>
      </c>
      <c r="M32" s="24">
        <v>12738.060000000001</v>
      </c>
      <c r="N32" s="120">
        <v>12034.579999999998</v>
      </c>
      <c r="O32" s="120">
        <v>12126.05</v>
      </c>
      <c r="P32" s="120">
        <v>11765.203000000001</v>
      </c>
      <c r="Q32" s="120">
        <v>25176.652000000002</v>
      </c>
      <c r="R32" s="120">
        <v>18269.653000000002</v>
      </c>
      <c r="S32" s="120">
        <v>22951.013023062791</v>
      </c>
      <c r="T32" s="120">
        <v>22951.013023062791</v>
      </c>
      <c r="U32" s="50"/>
    </row>
    <row r="33" spans="1:26">
      <c r="B33" s="70"/>
      <c r="C33" s="70"/>
      <c r="D33" s="70"/>
      <c r="E33" s="70"/>
      <c r="F33" s="70"/>
      <c r="G33" s="70"/>
      <c r="H33" s="70"/>
      <c r="I33" s="70"/>
      <c r="L33" s="70"/>
      <c r="M33" s="20"/>
      <c r="N33" s="129"/>
      <c r="O33" s="129"/>
      <c r="P33" s="129"/>
      <c r="Q33" s="129"/>
      <c r="R33" s="129"/>
      <c r="S33" s="129"/>
      <c r="T33" s="129"/>
    </row>
    <row r="34" spans="1:26">
      <c r="A34" s="125" t="str">
        <f>'Rate Class Energy Model'!M2</f>
        <v>Street Lights</v>
      </c>
      <c r="L34" s="1"/>
      <c r="M34" s="20"/>
      <c r="N34" s="129"/>
      <c r="O34" s="129"/>
      <c r="P34" s="129"/>
      <c r="Q34" s="129"/>
      <c r="R34" s="129"/>
      <c r="S34" s="129"/>
      <c r="T34" s="129"/>
    </row>
    <row r="35" spans="1:26">
      <c r="A35" t="s">
        <v>55</v>
      </c>
      <c r="B35" s="6">
        <f t="array" ref="B35:T35">TRANSPOSE('Rate Class Customer Model'!G5:G23)</f>
        <v>12291.5</v>
      </c>
      <c r="C35" s="6">
        <v>12568</v>
      </c>
      <c r="D35" s="6">
        <v>12934.5</v>
      </c>
      <c r="E35" s="6">
        <v>13176.5</v>
      </c>
      <c r="F35" s="6">
        <v>13357.5</v>
      </c>
      <c r="G35" s="6">
        <v>13458.5</v>
      </c>
      <c r="H35" s="6">
        <v>13548</v>
      </c>
      <c r="I35" s="6">
        <v>13638.5</v>
      </c>
      <c r="J35" s="6">
        <v>13677.5</v>
      </c>
      <c r="K35" s="6">
        <v>13735.5</v>
      </c>
      <c r="L35" s="6">
        <v>13840.5</v>
      </c>
      <c r="M35" s="24">
        <v>13852.5</v>
      </c>
      <c r="N35" s="120">
        <v>13824</v>
      </c>
      <c r="O35" s="120">
        <v>13863.5</v>
      </c>
      <c r="P35" s="120">
        <v>14174.5</v>
      </c>
      <c r="Q35" s="120">
        <v>14545</v>
      </c>
      <c r="R35" s="120">
        <v>14693.5</v>
      </c>
      <c r="S35" s="120">
        <v>14847.37979561582</v>
      </c>
      <c r="T35" s="120">
        <v>15004.971317561896</v>
      </c>
      <c r="U35" s="50"/>
    </row>
    <row r="36" spans="1:26">
      <c r="A36" t="s">
        <v>48</v>
      </c>
      <c r="B36" s="6">
        <f t="array" ref="B36:R36">TRANSPOSE('Rate Class Energy Model'!M12:M28)</f>
        <v>7223381.2999999998</v>
      </c>
      <c r="C36" s="6">
        <v>7105156.64981349</v>
      </c>
      <c r="D36" s="6">
        <v>7702552.7881396497</v>
      </c>
      <c r="E36" s="6">
        <v>7713287.53797697</v>
      </c>
      <c r="F36" s="6">
        <v>7734113.3687412096</v>
      </c>
      <c r="G36" s="6">
        <v>7925792.7764028003</v>
      </c>
      <c r="H36" s="6">
        <v>7921733.8181949798</v>
      </c>
      <c r="I36" s="6">
        <v>7954314.8250846202</v>
      </c>
      <c r="J36" s="6">
        <v>7939684.2810265999</v>
      </c>
      <c r="K36" s="6">
        <v>9744477</v>
      </c>
      <c r="L36" s="6">
        <v>7696318.6435817797</v>
      </c>
      <c r="M36" s="24">
        <v>7720856.5263360236</v>
      </c>
      <c r="N36" s="120">
        <v>7608120.2710495964</v>
      </c>
      <c r="O36" s="120">
        <v>7638393.9926951174</v>
      </c>
      <c r="P36" s="120">
        <v>5530664.9507881589</v>
      </c>
      <c r="Q36" s="120">
        <v>3498478.6549680098</v>
      </c>
      <c r="R36" s="120">
        <v>3499974.1182055282</v>
      </c>
      <c r="S36" s="120">
        <f>'Rate Class Energy Model'!M88</f>
        <v>3312567.3542689346</v>
      </c>
      <c r="T36" s="120">
        <f>'Rate Class Energy Model'!M89</f>
        <v>3347727.2638350842</v>
      </c>
      <c r="U36" s="50"/>
    </row>
    <row r="37" spans="1:26">
      <c r="A37" t="s">
        <v>49</v>
      </c>
      <c r="B37" s="6">
        <f t="array" ref="B37:T37">TRANSPOSE('Rate Class Load Model'!E5:E23)</f>
        <v>20125.75</v>
      </c>
      <c r="C37" s="6">
        <v>20541.026000000002</v>
      </c>
      <c r="D37" s="6">
        <v>21197.885999999999</v>
      </c>
      <c r="E37" s="6">
        <v>21492.79</v>
      </c>
      <c r="F37" s="6">
        <v>21702.994999999999</v>
      </c>
      <c r="G37" s="6">
        <v>21921.075000000001</v>
      </c>
      <c r="H37" s="6">
        <v>22078.296999999999</v>
      </c>
      <c r="I37" s="6">
        <v>22211.699000000001</v>
      </c>
      <c r="J37" s="6">
        <v>22236.633999999998</v>
      </c>
      <c r="K37" s="6">
        <v>21334.085999999999</v>
      </c>
      <c r="L37" s="6">
        <v>21461.001000000004</v>
      </c>
      <c r="M37" s="24">
        <v>21568.221999999994</v>
      </c>
      <c r="N37" s="120">
        <v>21206.239999999994</v>
      </c>
      <c r="O37" s="120">
        <v>21345.936000000002</v>
      </c>
      <c r="P37" s="120">
        <v>15684.612999999998</v>
      </c>
      <c r="Q37" s="120">
        <v>9803.7398699999994</v>
      </c>
      <c r="R37" s="120">
        <v>9890.8847100000003</v>
      </c>
      <c r="S37" s="120">
        <v>9204.4550831272427</v>
      </c>
      <c r="T37" s="120">
        <v>9302.1520576238909</v>
      </c>
      <c r="U37" s="50"/>
    </row>
    <row r="38" spans="1:26">
      <c r="L38" s="1"/>
      <c r="M38" s="20"/>
      <c r="N38" s="129"/>
      <c r="O38" s="129"/>
      <c r="P38" s="129"/>
      <c r="Q38" s="129"/>
      <c r="R38" s="129"/>
      <c r="S38" s="129"/>
      <c r="T38" s="129"/>
    </row>
    <row r="39" spans="1:26">
      <c r="A39" s="38" t="str">
        <f>'Rate Class Energy Model'!N2</f>
        <v xml:space="preserve">Unmetered Loads </v>
      </c>
      <c r="L39" s="1"/>
      <c r="M39" s="20"/>
      <c r="N39" s="129"/>
      <c r="O39" s="129"/>
      <c r="P39" s="129"/>
      <c r="Q39" s="129"/>
      <c r="R39" s="129"/>
      <c r="S39" s="129"/>
      <c r="T39" s="129"/>
    </row>
    <row r="40" spans="1:26">
      <c r="A40" t="s">
        <v>55</v>
      </c>
      <c r="B40" s="6">
        <f t="array" ref="B40:T40">TRANSPOSE('Rate Class Customer Model'!H5:H23)</f>
        <v>458.5</v>
      </c>
      <c r="C40" s="6">
        <v>490</v>
      </c>
      <c r="D40" s="6">
        <v>490.5</v>
      </c>
      <c r="E40" s="6">
        <v>530</v>
      </c>
      <c r="F40" s="6">
        <v>553.5</v>
      </c>
      <c r="G40" s="6">
        <v>533.5</v>
      </c>
      <c r="H40" s="6">
        <v>534</v>
      </c>
      <c r="I40" s="6">
        <v>536.5</v>
      </c>
      <c r="J40" s="6">
        <v>499</v>
      </c>
      <c r="K40" s="6">
        <v>471.5</v>
      </c>
      <c r="L40" s="6">
        <v>496</v>
      </c>
      <c r="M40" s="24">
        <v>519</v>
      </c>
      <c r="N40" s="120">
        <v>529.5</v>
      </c>
      <c r="O40" s="120">
        <v>535.5</v>
      </c>
      <c r="P40" s="120">
        <v>550</v>
      </c>
      <c r="Q40" s="120">
        <v>542.5</v>
      </c>
      <c r="R40" s="120">
        <v>529.5</v>
      </c>
      <c r="S40" s="120">
        <v>534.81880079604389</v>
      </c>
      <c r="T40" s="120">
        <v>540.486273207409</v>
      </c>
      <c r="U40" s="50"/>
    </row>
    <row r="41" spans="1:26">
      <c r="A41" t="s">
        <v>48</v>
      </c>
      <c r="B41" s="6">
        <f t="array" ref="B41:R41">TRANSPOSE('Rate Class Energy Model'!N12:N28)</f>
        <v>3203376.9714285713</v>
      </c>
      <c r="C41" s="6">
        <v>3222395.7609637091</v>
      </c>
      <c r="D41" s="6">
        <v>3185614</v>
      </c>
      <c r="E41" s="6">
        <v>3136305</v>
      </c>
      <c r="F41" s="6">
        <v>2772944</v>
      </c>
      <c r="G41" s="6">
        <v>1777380</v>
      </c>
      <c r="H41" s="6">
        <v>1946487</v>
      </c>
      <c r="I41" s="6">
        <v>2000467.8663616404</v>
      </c>
      <c r="J41" s="6">
        <v>2043853.1914563591</v>
      </c>
      <c r="K41" s="6">
        <v>2250008.2896429896</v>
      </c>
      <c r="L41" s="6">
        <v>2352595.6525390111</v>
      </c>
      <c r="M41" s="24">
        <v>2544974</v>
      </c>
      <c r="N41" s="120">
        <v>2649180</v>
      </c>
      <c r="O41" s="120">
        <v>2729041</v>
      </c>
      <c r="P41" s="120">
        <v>2679469.7439999999</v>
      </c>
      <c r="Q41" s="120">
        <v>2629283.8172274092</v>
      </c>
      <c r="R41" s="120">
        <v>2771071.01088</v>
      </c>
      <c r="S41" s="120">
        <f>'Rate Class Energy Model'!N88</f>
        <v>2916210.6123742708</v>
      </c>
      <c r="T41" s="120">
        <f>'Rate Class Energy Model'!N89</f>
        <v>2947113.6830343921</v>
      </c>
      <c r="U41" s="50"/>
    </row>
    <row r="42" spans="1:26">
      <c r="B42" s="6"/>
      <c r="C42" s="6"/>
      <c r="D42" s="6"/>
      <c r="E42" s="6"/>
      <c r="F42" s="6"/>
      <c r="G42" s="6"/>
      <c r="H42" s="6"/>
      <c r="I42" s="6"/>
      <c r="J42" s="6"/>
      <c r="K42" s="6"/>
      <c r="L42" s="1"/>
      <c r="M42" s="20"/>
      <c r="N42" s="129"/>
      <c r="O42" s="129"/>
      <c r="P42" s="129"/>
      <c r="Q42" s="129"/>
      <c r="R42" s="129"/>
      <c r="S42" s="129"/>
      <c r="T42" s="129"/>
      <c r="U42" s="50"/>
    </row>
    <row r="43" spans="1:26">
      <c r="A43" s="38" t="s">
        <v>65</v>
      </c>
      <c r="L43" s="1"/>
      <c r="M43" s="20"/>
      <c r="N43" s="129"/>
      <c r="O43" s="129"/>
      <c r="P43" s="129"/>
      <c r="Q43" s="129"/>
      <c r="R43" s="129"/>
      <c r="S43" s="129"/>
      <c r="T43" s="129"/>
    </row>
    <row r="44" spans="1:26">
      <c r="A44" t="s">
        <v>47</v>
      </c>
      <c r="B44" s="6">
        <f t="array" ref="B44:T44">TRANSPOSE('Rate Class Customer Model'!I5:I23)</f>
        <v>0</v>
      </c>
      <c r="C44" s="6">
        <v>0</v>
      </c>
      <c r="D44" s="6">
        <v>0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1</v>
      </c>
      <c r="K44" s="6">
        <v>1</v>
      </c>
      <c r="L44" s="62">
        <v>1</v>
      </c>
      <c r="M44" s="69">
        <v>1</v>
      </c>
      <c r="N44" s="174">
        <v>1</v>
      </c>
      <c r="O44" s="174">
        <v>1</v>
      </c>
      <c r="P44" s="174">
        <v>1</v>
      </c>
      <c r="Q44" s="174">
        <v>1</v>
      </c>
      <c r="R44" s="174">
        <v>1</v>
      </c>
      <c r="S44" s="120">
        <v>1</v>
      </c>
      <c r="T44" s="120">
        <v>1</v>
      </c>
      <c r="U44" s="50"/>
      <c r="X44" s="108"/>
      <c r="Y44" s="108"/>
      <c r="Z44" s="108"/>
    </row>
    <row r="45" spans="1:26">
      <c r="A45" t="s">
        <v>48</v>
      </c>
      <c r="B45" s="6">
        <f t="array" ref="B45:R45">TRANSPOSE('Rate Class Energy Model'!O12:O28)</f>
        <v>0</v>
      </c>
      <c r="C45" s="6">
        <v>0</v>
      </c>
      <c r="D45" s="6">
        <v>0</v>
      </c>
      <c r="E45" s="6">
        <v>0</v>
      </c>
      <c r="F45" s="6">
        <v>0</v>
      </c>
      <c r="G45" s="6">
        <v>0</v>
      </c>
      <c r="H45" s="6">
        <v>0</v>
      </c>
      <c r="I45" s="6">
        <v>0</v>
      </c>
      <c r="J45" s="6">
        <v>22030344.017499771</v>
      </c>
      <c r="K45" s="6">
        <v>32083012.562475972</v>
      </c>
      <c r="L45" s="24">
        <v>30731900.412149169</v>
      </c>
      <c r="M45" s="24">
        <v>31728984.630911194</v>
      </c>
      <c r="N45" s="120">
        <v>33543395.272587463</v>
      </c>
      <c r="O45" s="120">
        <v>33527764.777393315</v>
      </c>
      <c r="P45" s="120">
        <v>34185131.102416404</v>
      </c>
      <c r="Q45" s="120">
        <v>36001231.440141872</v>
      </c>
      <c r="R45" s="120">
        <v>38976498.046631292</v>
      </c>
      <c r="S45" s="120">
        <f>'Rate Class Energy Model'!O88</f>
        <v>41857714.1922644</v>
      </c>
      <c r="T45" s="120">
        <f>'Rate Class Energy Model'!O89</f>
        <v>41857714.1922644</v>
      </c>
      <c r="U45" s="50"/>
      <c r="X45" s="108"/>
      <c r="Z45" s="108"/>
    </row>
    <row r="46" spans="1:26">
      <c r="A46" t="s">
        <v>49</v>
      </c>
      <c r="B46" s="6">
        <f t="array" ref="B46:T46">TRANSPOSE('Rate Class Load Model'!F5:F23)</f>
        <v>0</v>
      </c>
      <c r="C46" s="6">
        <v>0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39512.080000000002</v>
      </c>
      <c r="K46" s="6">
        <v>71506.52</v>
      </c>
      <c r="L46" s="24">
        <v>71173.789999999994</v>
      </c>
      <c r="M46" s="24">
        <v>72406.850000000006</v>
      </c>
      <c r="N46" s="120">
        <v>75403.429999999978</v>
      </c>
      <c r="O46" s="120">
        <v>78347.76999999999</v>
      </c>
      <c r="P46" s="120">
        <v>80787.810000000012</v>
      </c>
      <c r="Q46" s="120">
        <v>85275.301890000002</v>
      </c>
      <c r="R46" s="120">
        <v>89358.433560001009</v>
      </c>
      <c r="S46" s="120">
        <v>103033.33238010788</v>
      </c>
      <c r="T46" s="120">
        <v>103033.33238010788</v>
      </c>
      <c r="U46" s="50"/>
    </row>
    <row r="47" spans="1:26">
      <c r="L47" s="20"/>
      <c r="M47" s="20"/>
      <c r="N47" s="129"/>
      <c r="O47" s="129"/>
      <c r="P47" s="129"/>
      <c r="Q47" s="129"/>
      <c r="R47" s="129"/>
      <c r="S47" s="129"/>
      <c r="T47" s="129"/>
    </row>
    <row r="48" spans="1:26">
      <c r="A48" s="38" t="s">
        <v>10</v>
      </c>
      <c r="L48" s="20"/>
      <c r="M48" s="20"/>
      <c r="N48" s="129"/>
      <c r="O48" s="129"/>
      <c r="P48" s="129"/>
      <c r="Q48" s="129"/>
      <c r="R48" s="129"/>
      <c r="S48" s="129"/>
      <c r="T48" s="129"/>
    </row>
    <row r="49" spans="1:20">
      <c r="A49" t="s">
        <v>57</v>
      </c>
      <c r="B49" s="24">
        <f>B12+B16+B20+B25+B35+B40+B44+B30</f>
        <v>57599</v>
      </c>
      <c r="C49" s="24">
        <f t="shared" ref="C49:S49" si="2">C12+C16+C20+C25+C35+C40+C44+C30</f>
        <v>59222.5</v>
      </c>
      <c r="D49" s="24">
        <f t="shared" si="2"/>
        <v>60878.5</v>
      </c>
      <c r="E49" s="24">
        <f t="shared" si="2"/>
        <v>62115.5</v>
      </c>
      <c r="F49" s="24">
        <f t="shared" si="2"/>
        <v>63071.5</v>
      </c>
      <c r="G49" s="24">
        <f t="shared" si="2"/>
        <v>63995</v>
      </c>
      <c r="H49" s="24">
        <f t="shared" si="2"/>
        <v>64851</v>
      </c>
      <c r="I49" s="24">
        <f t="shared" si="2"/>
        <v>65669.5</v>
      </c>
      <c r="J49" s="24">
        <f t="shared" si="2"/>
        <v>66440</v>
      </c>
      <c r="K49" s="24">
        <f t="shared" si="2"/>
        <v>67208</v>
      </c>
      <c r="L49" s="24">
        <f t="shared" si="2"/>
        <v>68113.5</v>
      </c>
      <c r="M49" s="24">
        <f t="shared" si="2"/>
        <v>68793.5</v>
      </c>
      <c r="N49" s="120">
        <f t="shared" si="2"/>
        <v>69426.5</v>
      </c>
      <c r="O49" s="120">
        <f t="shared" si="2"/>
        <v>70248.5</v>
      </c>
      <c r="P49" s="120">
        <f t="shared" si="2"/>
        <v>71360.5</v>
      </c>
      <c r="Q49" s="120">
        <f t="shared" si="2"/>
        <v>72344</v>
      </c>
      <c r="R49" s="120">
        <f t="shared" si="2"/>
        <v>72887</v>
      </c>
      <c r="S49" s="120">
        <f t="shared" si="2"/>
        <v>73446.698007023922</v>
      </c>
      <c r="T49" s="120">
        <f>T12+T16+T20+T25+T35+T40+T44+T30</f>
        <v>74028.628973804822</v>
      </c>
    </row>
    <row r="50" spans="1:20">
      <c r="A50" t="s">
        <v>48</v>
      </c>
      <c r="B50" s="24">
        <f t="shared" ref="B50:T50" si="3">B13+B17+B21+B26+B36+B41+B45+B31</f>
        <v>1216900996.0565405</v>
      </c>
      <c r="C50" s="24">
        <f t="shared" si="3"/>
        <v>1249737839.5310242</v>
      </c>
      <c r="D50" s="24">
        <f t="shared" si="3"/>
        <v>1304584908.3560057</v>
      </c>
      <c r="E50" s="24">
        <f t="shared" si="3"/>
        <v>1326077776.3556862</v>
      </c>
      <c r="F50" s="24">
        <f t="shared" si="3"/>
        <v>1367527466.4748852</v>
      </c>
      <c r="G50" s="24">
        <f t="shared" si="3"/>
        <v>1370617487.6535487</v>
      </c>
      <c r="H50" s="24">
        <f t="shared" si="3"/>
        <v>1360402643.8210773</v>
      </c>
      <c r="I50" s="24">
        <f t="shared" si="3"/>
        <v>1425614249.190577</v>
      </c>
      <c r="J50" s="24">
        <f t="shared" si="3"/>
        <v>1437226190.9883945</v>
      </c>
      <c r="K50" s="24">
        <f t="shared" si="3"/>
        <v>1450973841.3553348</v>
      </c>
      <c r="L50" s="24">
        <f t="shared" si="3"/>
        <v>1448566259.3279991</v>
      </c>
      <c r="M50" s="24">
        <f t="shared" si="3"/>
        <v>1447248320.4453387</v>
      </c>
      <c r="N50" s="120">
        <f t="shared" si="3"/>
        <v>1441031602.9491651</v>
      </c>
      <c r="O50" s="120">
        <f t="shared" si="3"/>
        <v>1444462268.378233</v>
      </c>
      <c r="P50" s="120">
        <f t="shared" si="3"/>
        <v>1409167204.644876</v>
      </c>
      <c r="Q50" s="120">
        <f t="shared" si="3"/>
        <v>1467265688.8070495</v>
      </c>
      <c r="R50" s="120">
        <f t="shared" si="3"/>
        <v>1438045051.8183432</v>
      </c>
      <c r="S50" s="120">
        <f>S13+S17+S21+S26+S36+S41+S45+S31</f>
        <v>1430063907.5450876</v>
      </c>
      <c r="T50" s="120">
        <f t="shared" si="3"/>
        <v>1431623886.2692997</v>
      </c>
    </row>
    <row r="51" spans="1:20">
      <c r="A51" t="s">
        <v>56</v>
      </c>
      <c r="B51" s="24">
        <f t="shared" ref="B51:T51" si="4">B22+B27+B37+B46+B32</f>
        <v>1718907.88</v>
      </c>
      <c r="C51" s="24">
        <f t="shared" si="4"/>
        <v>1735061.3860000002</v>
      </c>
      <c r="D51" s="24">
        <f t="shared" si="4"/>
        <v>1769718.5859999997</v>
      </c>
      <c r="E51" s="24">
        <f t="shared" si="4"/>
        <v>1791479.1099999999</v>
      </c>
      <c r="F51" s="24">
        <f t="shared" si="4"/>
        <v>1819881.3857239038</v>
      </c>
      <c r="G51" s="24">
        <f t="shared" si="4"/>
        <v>1833332.6201152208</v>
      </c>
      <c r="H51" s="24">
        <f t="shared" si="4"/>
        <v>1848548.6223217843</v>
      </c>
      <c r="I51" s="24">
        <f t="shared" si="4"/>
        <v>1940462.3184603015</v>
      </c>
      <c r="J51" s="24">
        <f t="shared" si="4"/>
        <v>1998313.2338001407</v>
      </c>
      <c r="K51" s="24">
        <f t="shared" si="4"/>
        <v>2065088.8166790444</v>
      </c>
      <c r="L51" s="24">
        <f t="shared" si="4"/>
        <v>2040527.5670465985</v>
      </c>
      <c r="M51" s="24">
        <f t="shared" si="4"/>
        <v>2000016.4087195001</v>
      </c>
      <c r="N51" s="120">
        <f t="shared" si="4"/>
        <v>2013778.85</v>
      </c>
      <c r="O51" s="120">
        <f t="shared" si="4"/>
        <v>2086678.8059999999</v>
      </c>
      <c r="P51" s="120">
        <f t="shared" si="4"/>
        <v>2033115.2545100001</v>
      </c>
      <c r="Q51" s="120">
        <f t="shared" si="4"/>
        <v>2088830.9780470401</v>
      </c>
      <c r="R51" s="120">
        <f t="shared" si="4"/>
        <v>2039561.9118699708</v>
      </c>
      <c r="S51" s="120">
        <f t="shared" si="4"/>
        <v>2026622.3892435539</v>
      </c>
      <c r="T51" s="120">
        <f t="shared" si="4"/>
        <v>2046258.3013558858</v>
      </c>
    </row>
    <row r="52" spans="1:20">
      <c r="B52" s="6"/>
      <c r="C52" s="6"/>
      <c r="D52" s="6"/>
      <c r="E52" s="6"/>
      <c r="F52" s="6"/>
      <c r="G52" s="6"/>
      <c r="I52" s="6"/>
      <c r="J52" s="6"/>
      <c r="K52" s="6"/>
      <c r="L52" s="69"/>
      <c r="M52" s="20"/>
      <c r="N52" s="129"/>
      <c r="O52" s="129"/>
      <c r="P52" s="129"/>
      <c r="Q52" s="129"/>
      <c r="R52" s="129"/>
      <c r="S52" s="129"/>
      <c r="T52" s="129"/>
    </row>
    <row r="53" spans="1:20">
      <c r="B53" s="6">
        <f t="array" ref="B53:T53">TRANSPOSE('Rate Class Customer Model'!K5:K23)</f>
        <v>57599</v>
      </c>
      <c r="C53" s="6">
        <v>59222.5</v>
      </c>
      <c r="D53" s="6">
        <v>60878.5</v>
      </c>
      <c r="E53" s="6">
        <v>62115.5</v>
      </c>
      <c r="F53" s="6">
        <v>63071.5</v>
      </c>
      <c r="G53" s="6">
        <v>63995</v>
      </c>
      <c r="H53" s="6">
        <v>64851</v>
      </c>
      <c r="I53" s="6">
        <v>65669.5</v>
      </c>
      <c r="J53" s="6">
        <v>66440</v>
      </c>
      <c r="K53" s="6">
        <v>67208</v>
      </c>
      <c r="L53" s="24">
        <v>68113.5</v>
      </c>
      <c r="M53" s="24">
        <v>68793.5</v>
      </c>
      <c r="N53" s="120">
        <v>69426.5</v>
      </c>
      <c r="O53" s="120">
        <v>70248.5</v>
      </c>
      <c r="P53" s="120">
        <v>71360.5</v>
      </c>
      <c r="Q53" s="120">
        <v>72344</v>
      </c>
      <c r="R53" s="120">
        <v>72887</v>
      </c>
      <c r="S53" s="120">
        <v>73446.698007023922</v>
      </c>
      <c r="T53" s="120">
        <v>74028.628973804822</v>
      </c>
    </row>
    <row r="54" spans="1:20">
      <c r="B54" s="6">
        <f t="array" ref="B54:T54">TRANSPOSE('Rate Class Energy Model'!G12:G30)</f>
        <v>1216900996.0565405</v>
      </c>
      <c r="C54" s="6">
        <v>1249737839.5310242</v>
      </c>
      <c r="D54" s="6">
        <v>1304584908.3560057</v>
      </c>
      <c r="E54" s="6">
        <v>1326077776.3556862</v>
      </c>
      <c r="F54" s="6">
        <v>1367527466.4748852</v>
      </c>
      <c r="G54" s="6">
        <v>1370617487.6535487</v>
      </c>
      <c r="H54" s="6">
        <v>1360402643.8210773</v>
      </c>
      <c r="I54" s="6">
        <v>1425614249.190577</v>
      </c>
      <c r="J54" s="6">
        <v>1437226190.9883945</v>
      </c>
      <c r="K54" s="6">
        <v>1450973841.3553348</v>
      </c>
      <c r="L54" s="24">
        <v>1448566259.3279991</v>
      </c>
      <c r="M54" s="24">
        <v>1447248320.4453387</v>
      </c>
      <c r="N54" s="120">
        <v>1441031602.9491651</v>
      </c>
      <c r="O54" s="120">
        <v>1444462268.378233</v>
      </c>
      <c r="P54" s="120">
        <v>1409167204.644876</v>
      </c>
      <c r="Q54" s="120">
        <v>1467265688.8070495</v>
      </c>
      <c r="R54" s="120">
        <v>1438045051.8183432</v>
      </c>
      <c r="S54" s="120">
        <v>1430063907.5450876</v>
      </c>
      <c r="T54" s="120">
        <v>1431623886.2692995</v>
      </c>
    </row>
    <row r="55" spans="1:20">
      <c r="B55" s="6">
        <f t="array" ref="B55:T55">TRANSPOSE('Rate Class Load Model'!G5:G23)</f>
        <v>1718907.88</v>
      </c>
      <c r="C55" s="6">
        <v>1735061.3860000002</v>
      </c>
      <c r="D55" s="6">
        <v>1769718.5859999997</v>
      </c>
      <c r="E55" s="6">
        <v>1791479.1099999999</v>
      </c>
      <c r="F55" s="6">
        <v>1819881.3857239038</v>
      </c>
      <c r="G55" s="6">
        <v>1833332.6201152208</v>
      </c>
      <c r="H55" s="6">
        <v>1848548.6223217843</v>
      </c>
      <c r="I55" s="6">
        <v>1940462.3184603015</v>
      </c>
      <c r="J55" s="6">
        <v>1998313.2338001407</v>
      </c>
      <c r="K55" s="6">
        <v>2065088.8166790444</v>
      </c>
      <c r="L55" s="24">
        <v>2040527.5670465985</v>
      </c>
      <c r="M55" s="24">
        <v>2000016.4087195001</v>
      </c>
      <c r="N55" s="120">
        <v>2013778.85</v>
      </c>
      <c r="O55" s="120">
        <v>2086678.8059999999</v>
      </c>
      <c r="P55" s="120">
        <v>2033115.2545100001</v>
      </c>
      <c r="Q55" s="120">
        <v>2088830.9780470401</v>
      </c>
      <c r="R55" s="120">
        <v>2039561.9118699708</v>
      </c>
      <c r="S55" s="120">
        <v>2026622.3892435539</v>
      </c>
      <c r="T55" s="120">
        <v>2046258.3013558858</v>
      </c>
    </row>
    <row r="56" spans="1:20">
      <c r="L56" s="28"/>
    </row>
    <row r="58" spans="1:20">
      <c r="T58" s="169">
        <f>+T50-T31</f>
        <v>1422407858.8210635</v>
      </c>
    </row>
  </sheetData>
  <phoneticPr fontId="0" type="noConversion"/>
  <pageMargins left="0.38" right="0.75" top="0.73" bottom="0.74" header="0.5" footer="0.5"/>
  <pageSetup scale="42" orientation="landscape" verticalDpi="300" r:id="rId1"/>
  <headerFooter alignWithMargins="0">
    <oddFooter>&amp;L&amp;Z&amp;F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B376"/>
  <sheetViews>
    <sheetView zoomScale="86" zoomScaleNormal="86" workbookViewId="0">
      <pane xSplit="1" ySplit="1" topLeftCell="B3" activePane="bottomRight" state="frozen"/>
      <selection activeCell="M35" sqref="M35"/>
      <selection pane="topRight" activeCell="M35" sqref="M35"/>
      <selection pane="bottomLeft" activeCell="M35" sqref="M35"/>
      <selection pane="bottomRight"/>
    </sheetView>
  </sheetViews>
  <sheetFormatPr defaultRowHeight="12.75"/>
  <cols>
    <col min="1" max="1" width="11.85546875" style="65" customWidth="1"/>
    <col min="2" max="2" width="14.140625" style="90" customWidth="1"/>
    <col min="3" max="3" width="14.140625" style="101" customWidth="1"/>
    <col min="4" max="4" width="11.85546875" style="90" customWidth="1"/>
    <col min="5" max="5" width="11.85546875" style="101" customWidth="1"/>
    <col min="6" max="6" width="11.85546875" style="90" customWidth="1"/>
    <col min="7" max="7" width="18" style="128" customWidth="1"/>
    <col min="8" max="8" width="11.7109375" style="1" customWidth="1"/>
    <col min="9" max="9" width="13.42578125" style="1" customWidth="1"/>
    <col min="10" max="10" width="10.140625" style="1" customWidth="1"/>
    <col min="11" max="11" width="12.42578125" style="1" customWidth="1"/>
    <col min="12" max="12" width="14.85546875" style="20" customWidth="1"/>
    <col min="13" max="13" width="14.85546875" style="196" customWidth="1"/>
    <col min="14" max="14" width="11.85546875" style="101" customWidth="1"/>
    <col min="15" max="15" width="15.5703125" style="126" bestFit="1" customWidth="1"/>
    <col min="16" max="16" width="16" style="1" customWidth="1"/>
    <col min="17" max="18" width="8.42578125" style="1" customWidth="1"/>
    <col min="19" max="19" width="14.5703125" style="1" customWidth="1"/>
    <col min="20" max="20" width="15.5703125" bestFit="1" customWidth="1"/>
    <col min="21" max="21" width="48.7109375" bestFit="1" customWidth="1"/>
    <col min="22" max="30" width="18.85546875" customWidth="1"/>
    <col min="31" max="31" width="23" bestFit="1" customWidth="1"/>
    <col min="34" max="34" width="40.7109375" bestFit="1" customWidth="1"/>
    <col min="35" max="35" width="42.85546875" bestFit="1" customWidth="1"/>
  </cols>
  <sheetData>
    <row r="1" spans="1:29" s="114" customFormat="1" ht="88.5" customHeight="1">
      <c r="A1" s="194" t="s">
        <v>81</v>
      </c>
      <c r="B1" s="273" t="s">
        <v>147</v>
      </c>
      <c r="C1" s="273" t="s">
        <v>104</v>
      </c>
      <c r="D1" s="273" t="s">
        <v>103</v>
      </c>
      <c r="E1" s="273" t="s">
        <v>71</v>
      </c>
      <c r="F1" s="273" t="s">
        <v>105</v>
      </c>
      <c r="G1" s="274" t="s">
        <v>110</v>
      </c>
      <c r="H1" s="275" t="s">
        <v>4</v>
      </c>
      <c r="I1" s="275" t="s">
        <v>5</v>
      </c>
      <c r="J1" s="275" t="s">
        <v>6</v>
      </c>
      <c r="K1" s="275" t="s">
        <v>19</v>
      </c>
      <c r="L1" s="275" t="s">
        <v>108</v>
      </c>
      <c r="M1" s="273" t="s">
        <v>143</v>
      </c>
      <c r="N1" s="273" t="s">
        <v>120</v>
      </c>
      <c r="O1" s="275" t="s">
        <v>11</v>
      </c>
      <c r="P1" s="275" t="s">
        <v>12</v>
      </c>
      <c r="Q1" s="275" t="s">
        <v>13</v>
      </c>
      <c r="R1" s="275" t="s">
        <v>69</v>
      </c>
      <c r="U1" s="277" t="s">
        <v>20</v>
      </c>
      <c r="V1" s="28"/>
      <c r="W1" s="28"/>
      <c r="X1" s="28"/>
      <c r="Y1" s="28"/>
      <c r="Z1" s="28"/>
      <c r="AA1" s="28"/>
      <c r="AB1" s="28"/>
      <c r="AC1" s="28"/>
    </row>
    <row r="2" spans="1:29" s="28" customFormat="1" ht="13.5" thickBot="1">
      <c r="A2" s="250">
        <v>35095</v>
      </c>
      <c r="B2" s="112">
        <v>104439190</v>
      </c>
      <c r="C2" s="111"/>
      <c r="D2" s="111"/>
      <c r="E2" s="111"/>
      <c r="F2" s="112">
        <v>484330.66087686166</v>
      </c>
      <c r="G2" s="127">
        <f>+B2-C2+D2+E2-F2</f>
        <v>103954859.33912314</v>
      </c>
      <c r="H2" s="113">
        <v>789.4</v>
      </c>
      <c r="I2" s="113">
        <v>0</v>
      </c>
      <c r="J2" s="10">
        <v>31</v>
      </c>
      <c r="K2" s="16">
        <v>0</v>
      </c>
      <c r="L2" s="119">
        <v>352</v>
      </c>
      <c r="M2" s="195">
        <v>36996.75</v>
      </c>
      <c r="N2" s="112">
        <v>0</v>
      </c>
      <c r="O2" s="127">
        <f t="shared" ref="O2:O65" si="0">$V$17+$V$18*H2+$V$19*I2+$V$20*J2+$V$21*K2+$V$22*L2+$V$23*M2+$V$24*N2</f>
        <v>98902810.09913595</v>
      </c>
      <c r="P2" s="127">
        <f t="shared" ref="P2:P65" si="1">O2-G2</f>
        <v>-5052049.2399871945</v>
      </c>
      <c r="Q2" s="216">
        <f t="shared" ref="Q2:Q65" si="2">P2/G2</f>
        <v>-4.8598490461194521E-2</v>
      </c>
      <c r="R2" s="176">
        <f>ABS(Q2)</f>
        <v>4.8598490461194521E-2</v>
      </c>
      <c r="T2"/>
      <c r="U2"/>
      <c r="V2"/>
      <c r="W2"/>
      <c r="X2"/>
      <c r="Y2"/>
      <c r="Z2"/>
      <c r="AA2"/>
      <c r="AB2"/>
      <c r="AC2"/>
    </row>
    <row r="3" spans="1:29" s="28" customFormat="1">
      <c r="A3" s="250">
        <v>35124</v>
      </c>
      <c r="B3" s="112">
        <v>97116320</v>
      </c>
      <c r="C3" s="111"/>
      <c r="D3" s="111"/>
      <c r="E3" s="111"/>
      <c r="F3" s="112">
        <v>450371.27775051468</v>
      </c>
      <c r="G3" s="127">
        <f t="shared" ref="G3:G65" si="3">+B3-C3+D3+E3-F3</f>
        <v>96665948.722249478</v>
      </c>
      <c r="H3" s="113">
        <v>712.6</v>
      </c>
      <c r="I3" s="113">
        <v>0</v>
      </c>
      <c r="J3" s="10">
        <v>29</v>
      </c>
      <c r="K3" s="16">
        <v>0</v>
      </c>
      <c r="L3" s="119">
        <v>336</v>
      </c>
      <c r="M3" s="195">
        <v>37048.5</v>
      </c>
      <c r="N3" s="112">
        <v>0</v>
      </c>
      <c r="O3" s="127">
        <f t="shared" si="0"/>
        <v>91444444.635113657</v>
      </c>
      <c r="P3" s="127">
        <f t="shared" si="1"/>
        <v>-5221504.0871358216</v>
      </c>
      <c r="Q3" s="216">
        <f t="shared" si="2"/>
        <v>-5.4015960699240459E-2</v>
      </c>
      <c r="R3" s="176">
        <f t="shared" ref="R3:R66" si="4">ABS(Q3)</f>
        <v>5.4015960699240459E-2</v>
      </c>
      <c r="T3"/>
      <c r="U3" s="32" t="s">
        <v>21</v>
      </c>
      <c r="V3" s="32"/>
      <c r="W3"/>
      <c r="X3"/>
      <c r="Y3"/>
      <c r="Z3"/>
      <c r="AA3"/>
      <c r="AB3"/>
      <c r="AC3"/>
    </row>
    <row r="4" spans="1:29" s="28" customFormat="1">
      <c r="A4" s="250">
        <v>35155</v>
      </c>
      <c r="B4" s="112">
        <v>93206737</v>
      </c>
      <c r="C4" s="111"/>
      <c r="D4" s="111"/>
      <c r="E4" s="111"/>
      <c r="F4" s="112">
        <v>432240.814289979</v>
      </c>
      <c r="G4" s="127">
        <f t="shared" si="3"/>
        <v>92774496.185710028</v>
      </c>
      <c r="H4" s="113">
        <v>670.4</v>
      </c>
      <c r="I4" s="113">
        <v>0</v>
      </c>
      <c r="J4" s="10">
        <v>31</v>
      </c>
      <c r="K4" s="16">
        <v>1</v>
      </c>
      <c r="L4" s="119">
        <v>336</v>
      </c>
      <c r="M4" s="195">
        <v>37100.25</v>
      </c>
      <c r="N4" s="112">
        <v>0</v>
      </c>
      <c r="O4" s="127">
        <f t="shared" si="0"/>
        <v>92615432.443295971</v>
      </c>
      <c r="P4" s="127">
        <f t="shared" si="1"/>
        <v>-159063.74241405725</v>
      </c>
      <c r="Q4" s="216">
        <f t="shared" si="2"/>
        <v>-1.7145201424285147E-3</v>
      </c>
      <c r="R4" s="176">
        <f t="shared" si="4"/>
        <v>1.7145201424285147E-3</v>
      </c>
      <c r="T4"/>
      <c r="U4" s="29" t="s">
        <v>22</v>
      </c>
      <c r="V4" s="29">
        <v>0.97822038546054124</v>
      </c>
      <c r="W4"/>
      <c r="X4"/>
      <c r="Y4"/>
      <c r="Z4"/>
      <c r="AA4"/>
      <c r="AB4"/>
      <c r="AC4"/>
    </row>
    <row r="5" spans="1:29" s="28" customFormat="1">
      <c r="A5" s="250">
        <v>35185</v>
      </c>
      <c r="B5" s="112">
        <v>84435799</v>
      </c>
      <c r="C5" s="111"/>
      <c r="D5" s="111"/>
      <c r="E5" s="111"/>
      <c r="F5" s="112">
        <v>391566.10015202011</v>
      </c>
      <c r="G5" s="127">
        <f t="shared" si="3"/>
        <v>84044232.899847984</v>
      </c>
      <c r="H5" s="113">
        <v>421.9</v>
      </c>
      <c r="I5" s="113">
        <v>0</v>
      </c>
      <c r="J5" s="10">
        <v>30</v>
      </c>
      <c r="K5" s="16">
        <v>1</v>
      </c>
      <c r="L5" s="119">
        <v>336</v>
      </c>
      <c r="M5" s="195">
        <v>37152</v>
      </c>
      <c r="N5" s="112">
        <v>0</v>
      </c>
      <c r="O5" s="127">
        <f t="shared" si="0"/>
        <v>83578975.634894252</v>
      </c>
      <c r="P5" s="127">
        <f t="shared" si="1"/>
        <v>-465257.26495373249</v>
      </c>
      <c r="Q5" s="216">
        <f t="shared" si="2"/>
        <v>-5.5358618777347898E-3</v>
      </c>
      <c r="R5" s="176">
        <f t="shared" si="4"/>
        <v>5.5358618777347898E-3</v>
      </c>
      <c r="T5"/>
      <c r="U5" s="29" t="s">
        <v>23</v>
      </c>
      <c r="V5" s="29">
        <v>0.95691512253056998</v>
      </c>
      <c r="W5"/>
      <c r="X5"/>
      <c r="Y5"/>
      <c r="Z5"/>
      <c r="AA5"/>
      <c r="AB5"/>
      <c r="AC5"/>
    </row>
    <row r="6" spans="1:29" s="28" customFormat="1">
      <c r="A6" s="250">
        <v>35216</v>
      </c>
      <c r="B6" s="112">
        <v>79585420</v>
      </c>
      <c r="C6" s="111"/>
      <c r="D6" s="111"/>
      <c r="E6" s="111"/>
      <c r="F6" s="112">
        <v>369072.75003533257</v>
      </c>
      <c r="G6" s="127">
        <f t="shared" si="3"/>
        <v>79216347.249964669</v>
      </c>
      <c r="H6" s="113">
        <v>216.1</v>
      </c>
      <c r="I6" s="113">
        <v>10</v>
      </c>
      <c r="J6" s="10">
        <v>31</v>
      </c>
      <c r="K6" s="16">
        <v>1</v>
      </c>
      <c r="L6" s="119">
        <v>352</v>
      </c>
      <c r="M6" s="195">
        <v>37203.75</v>
      </c>
      <c r="N6" s="112">
        <v>0</v>
      </c>
      <c r="O6" s="127">
        <f t="shared" si="0"/>
        <v>83363988.287245303</v>
      </c>
      <c r="P6" s="127">
        <f t="shared" si="1"/>
        <v>4147641.037280634</v>
      </c>
      <c r="Q6" s="216">
        <f t="shared" si="2"/>
        <v>5.2358397998242517E-2</v>
      </c>
      <c r="R6" s="176">
        <f t="shared" si="4"/>
        <v>5.2358397998242517E-2</v>
      </c>
      <c r="T6"/>
      <c r="U6" s="29" t="s">
        <v>24</v>
      </c>
      <c r="V6" s="29">
        <v>0.95583800059383428</v>
      </c>
      <c r="W6"/>
      <c r="X6"/>
      <c r="Y6"/>
      <c r="Z6"/>
      <c r="AA6"/>
      <c r="AB6"/>
      <c r="AC6"/>
    </row>
    <row r="7" spans="1:29" s="28" customFormat="1">
      <c r="A7" s="250">
        <v>35246</v>
      </c>
      <c r="B7" s="112">
        <v>80505911</v>
      </c>
      <c r="C7" s="111"/>
      <c r="D7" s="111"/>
      <c r="E7" s="111"/>
      <c r="F7" s="112">
        <v>373341.47343658836</v>
      </c>
      <c r="G7" s="127">
        <f t="shared" si="3"/>
        <v>80132569.526563406</v>
      </c>
      <c r="H7" s="113">
        <v>29.4</v>
      </c>
      <c r="I7" s="113">
        <v>38.6</v>
      </c>
      <c r="J7" s="10">
        <v>30</v>
      </c>
      <c r="K7" s="16">
        <v>0</v>
      </c>
      <c r="L7" s="119">
        <v>320</v>
      </c>
      <c r="M7" s="195">
        <v>37255.5</v>
      </c>
      <c r="N7" s="112">
        <v>0</v>
      </c>
      <c r="O7" s="127">
        <f t="shared" si="0"/>
        <v>82593052.081074804</v>
      </c>
      <c r="P7" s="127">
        <f t="shared" si="1"/>
        <v>2460482.5545113981</v>
      </c>
      <c r="Q7" s="216">
        <f t="shared" si="2"/>
        <v>3.0705149841672864E-2</v>
      </c>
      <c r="R7" s="176">
        <f t="shared" si="4"/>
        <v>3.0705149841672864E-2</v>
      </c>
      <c r="T7"/>
      <c r="U7" s="29" t="s">
        <v>25</v>
      </c>
      <c r="V7" s="29">
        <v>3051688.4671137044</v>
      </c>
      <c r="W7"/>
      <c r="X7"/>
      <c r="Y7"/>
      <c r="Z7"/>
      <c r="AA7"/>
      <c r="AB7"/>
      <c r="AC7"/>
    </row>
    <row r="8" spans="1:29" s="28" customFormat="1" ht="13.5" thickBot="1">
      <c r="A8" s="250">
        <v>35277</v>
      </c>
      <c r="B8" s="112">
        <v>82378016</v>
      </c>
      <c r="C8" s="111"/>
      <c r="D8" s="111"/>
      <c r="E8" s="111"/>
      <c r="F8" s="112">
        <v>382023.251338934</v>
      </c>
      <c r="G8" s="127">
        <f t="shared" si="3"/>
        <v>81995992.748661071</v>
      </c>
      <c r="H8" s="113">
        <v>18.899999999999999</v>
      </c>
      <c r="I8" s="113">
        <v>41.9</v>
      </c>
      <c r="J8" s="10">
        <v>31</v>
      </c>
      <c r="K8" s="16">
        <v>0</v>
      </c>
      <c r="L8" s="119">
        <v>352</v>
      </c>
      <c r="M8" s="195">
        <v>37307.25</v>
      </c>
      <c r="N8" s="112">
        <v>0</v>
      </c>
      <c r="O8" s="127">
        <f t="shared" si="0"/>
        <v>87341148.660576776</v>
      </c>
      <c r="P8" s="127">
        <f t="shared" si="1"/>
        <v>5345155.9119157046</v>
      </c>
      <c r="Q8" s="216">
        <f t="shared" si="2"/>
        <v>6.5188013861847985E-2</v>
      </c>
      <c r="R8" s="176">
        <f t="shared" si="4"/>
        <v>6.5188013861847985E-2</v>
      </c>
      <c r="T8"/>
      <c r="U8" s="30" t="s">
        <v>26</v>
      </c>
      <c r="V8" s="30">
        <v>288</v>
      </c>
      <c r="W8"/>
      <c r="X8"/>
      <c r="Y8"/>
      <c r="Z8"/>
      <c r="AA8"/>
      <c r="AB8"/>
      <c r="AC8"/>
    </row>
    <row r="9" spans="1:29" s="28" customFormat="1">
      <c r="A9" s="250">
        <v>35308</v>
      </c>
      <c r="B9" s="112">
        <v>86219874</v>
      </c>
      <c r="C9" s="111"/>
      <c r="D9" s="111"/>
      <c r="E9" s="111"/>
      <c r="F9" s="112">
        <v>399839.64405640966</v>
      </c>
      <c r="G9" s="127">
        <f t="shared" si="3"/>
        <v>85820034.35594359</v>
      </c>
      <c r="H9" s="113">
        <v>6.2</v>
      </c>
      <c r="I9" s="113">
        <v>55.2</v>
      </c>
      <c r="J9" s="10">
        <v>31</v>
      </c>
      <c r="K9" s="16">
        <v>0</v>
      </c>
      <c r="L9" s="119">
        <v>336</v>
      </c>
      <c r="M9" s="195">
        <v>37359</v>
      </c>
      <c r="N9" s="112">
        <v>0</v>
      </c>
      <c r="O9" s="127">
        <f t="shared" si="0"/>
        <v>89044258.013658404</v>
      </c>
      <c r="P9" s="127">
        <f t="shared" si="1"/>
        <v>3224223.6577148139</v>
      </c>
      <c r="Q9" s="216">
        <f t="shared" si="2"/>
        <v>3.756959178485246E-2</v>
      </c>
      <c r="R9" s="176">
        <f t="shared" si="4"/>
        <v>3.756959178485246E-2</v>
      </c>
      <c r="T9"/>
      <c r="U9"/>
      <c r="V9"/>
      <c r="W9"/>
      <c r="X9"/>
      <c r="Y9"/>
      <c r="Z9"/>
      <c r="AA9"/>
      <c r="AB9"/>
      <c r="AC9"/>
    </row>
    <row r="10" spans="1:29" s="28" customFormat="1" ht="13.5" thickBot="1">
      <c r="A10" s="250">
        <v>35338</v>
      </c>
      <c r="B10" s="112">
        <v>81006662</v>
      </c>
      <c r="C10" s="111"/>
      <c r="D10" s="111"/>
      <c r="E10" s="111"/>
      <c r="F10" s="112">
        <v>375663.67703434464</v>
      </c>
      <c r="G10" s="127">
        <f t="shared" si="3"/>
        <v>80630998.322965652</v>
      </c>
      <c r="H10" s="113">
        <v>102.2</v>
      </c>
      <c r="I10" s="113">
        <v>12.6</v>
      </c>
      <c r="J10" s="10">
        <v>30</v>
      </c>
      <c r="K10" s="16">
        <v>1</v>
      </c>
      <c r="L10" s="119">
        <v>320</v>
      </c>
      <c r="M10" s="195">
        <v>37410.75</v>
      </c>
      <c r="N10" s="112">
        <v>0</v>
      </c>
      <c r="O10" s="127">
        <f t="shared" si="0"/>
        <v>77087117.307414144</v>
      </c>
      <c r="P10" s="127">
        <f t="shared" si="1"/>
        <v>-3543881.0155515075</v>
      </c>
      <c r="Q10" s="216">
        <f t="shared" si="2"/>
        <v>-4.3951843450537119E-2</v>
      </c>
      <c r="R10" s="176">
        <f t="shared" si="4"/>
        <v>4.3951843450537119E-2</v>
      </c>
      <c r="T10"/>
      <c r="U10" t="s">
        <v>27</v>
      </c>
      <c r="V10"/>
      <c r="W10"/>
      <c r="X10"/>
      <c r="Y10"/>
      <c r="Z10"/>
      <c r="AA10"/>
      <c r="AB10"/>
      <c r="AC10"/>
    </row>
    <row r="11" spans="1:29" s="28" customFormat="1">
      <c r="A11" s="250">
        <v>35369</v>
      </c>
      <c r="B11" s="112">
        <v>84736264</v>
      </c>
      <c r="C11" s="111"/>
      <c r="D11" s="111"/>
      <c r="E11" s="111"/>
      <c r="F11" s="112">
        <v>392959.48908983514</v>
      </c>
      <c r="G11" s="127">
        <f t="shared" si="3"/>
        <v>84343304.510910168</v>
      </c>
      <c r="H11" s="113">
        <v>301.39999999999998</v>
      </c>
      <c r="I11" s="113">
        <v>0</v>
      </c>
      <c r="J11" s="10">
        <v>31</v>
      </c>
      <c r="K11" s="16">
        <v>1</v>
      </c>
      <c r="L11" s="119">
        <v>352</v>
      </c>
      <c r="M11" s="195">
        <v>37462.5</v>
      </c>
      <c r="N11" s="112">
        <v>0</v>
      </c>
      <c r="O11" s="127">
        <f t="shared" si="0"/>
        <v>84213307.401349962</v>
      </c>
      <c r="P11" s="127">
        <f t="shared" si="1"/>
        <v>-129997.10956020653</v>
      </c>
      <c r="Q11" s="216">
        <f t="shared" si="2"/>
        <v>-1.5412854679341008E-3</v>
      </c>
      <c r="R11" s="176">
        <f t="shared" si="4"/>
        <v>1.5412854679341008E-3</v>
      </c>
      <c r="T11"/>
      <c r="U11" s="31"/>
      <c r="V11" s="31" t="s">
        <v>31</v>
      </c>
      <c r="W11" s="31" t="s">
        <v>32</v>
      </c>
      <c r="X11" s="31" t="s">
        <v>33</v>
      </c>
      <c r="Y11" s="31" t="s">
        <v>34</v>
      </c>
      <c r="Z11" s="31" t="s">
        <v>35</v>
      </c>
      <c r="AA11"/>
      <c r="AB11"/>
      <c r="AC11"/>
    </row>
    <row r="12" spans="1:29" s="28" customFormat="1">
      <c r="A12" s="250">
        <v>35399</v>
      </c>
      <c r="B12" s="112">
        <v>91599265</v>
      </c>
      <c r="C12" s="111"/>
      <c r="D12" s="111"/>
      <c r="E12" s="111"/>
      <c r="F12" s="112">
        <v>424786.25651237607</v>
      </c>
      <c r="G12" s="127">
        <f t="shared" si="3"/>
        <v>91174478.743487626</v>
      </c>
      <c r="H12" s="113">
        <v>548.1</v>
      </c>
      <c r="I12" s="113">
        <v>0</v>
      </c>
      <c r="J12" s="10">
        <v>30</v>
      </c>
      <c r="K12" s="16">
        <v>1</v>
      </c>
      <c r="L12" s="119">
        <v>320</v>
      </c>
      <c r="M12" s="195">
        <v>37514.25</v>
      </c>
      <c r="N12" s="112">
        <v>0</v>
      </c>
      <c r="O12" s="127">
        <f t="shared" si="0"/>
        <v>87036783.600362539</v>
      </c>
      <c r="P12" s="127">
        <f t="shared" si="1"/>
        <v>-4137695.143125087</v>
      </c>
      <c r="Q12" s="216">
        <f t="shared" si="2"/>
        <v>-4.5382163958032309E-2</v>
      </c>
      <c r="R12" s="176">
        <f t="shared" si="4"/>
        <v>4.5382163958032309E-2</v>
      </c>
      <c r="T12"/>
      <c r="U12" s="29" t="s">
        <v>28</v>
      </c>
      <c r="V12" s="29">
        <v>7</v>
      </c>
      <c r="W12" s="29">
        <v>5.791445582186296E+16</v>
      </c>
      <c r="X12" s="29">
        <v>8273493688837566</v>
      </c>
      <c r="Y12" s="29">
        <v>888.39999436881703</v>
      </c>
      <c r="Z12" s="29">
        <v>4.123164089001263E-187</v>
      </c>
      <c r="AA12"/>
      <c r="AB12"/>
      <c r="AC12"/>
    </row>
    <row r="13" spans="1:29" s="28" customFormat="1">
      <c r="A13" s="250">
        <v>35430</v>
      </c>
      <c r="B13" s="112">
        <v>94268053</v>
      </c>
      <c r="C13" s="111"/>
      <c r="D13" s="111"/>
      <c r="E13" s="111"/>
      <c r="F13" s="112">
        <v>437162.60542680405</v>
      </c>
      <c r="G13" s="127">
        <f t="shared" si="3"/>
        <v>93830890.394573197</v>
      </c>
      <c r="H13" s="113">
        <v>596.5</v>
      </c>
      <c r="I13" s="113">
        <v>0</v>
      </c>
      <c r="J13" s="10">
        <v>31</v>
      </c>
      <c r="K13" s="16">
        <v>0</v>
      </c>
      <c r="L13" s="119">
        <v>320</v>
      </c>
      <c r="M13" s="195">
        <v>37566</v>
      </c>
      <c r="N13" s="112">
        <v>0</v>
      </c>
      <c r="O13" s="127">
        <f t="shared" si="0"/>
        <v>93003282.299171329</v>
      </c>
      <c r="P13" s="127">
        <f t="shared" si="1"/>
        <v>-827608.09540186822</v>
      </c>
      <c r="Q13" s="216">
        <f t="shared" si="2"/>
        <v>-8.820209335344149E-3</v>
      </c>
      <c r="R13" s="176">
        <f t="shared" si="4"/>
        <v>8.820209335344149E-3</v>
      </c>
      <c r="T13"/>
      <c r="U13" s="29" t="s">
        <v>29</v>
      </c>
      <c r="V13" s="29">
        <v>280</v>
      </c>
      <c r="W13" s="29">
        <v>2607584700088141.5</v>
      </c>
      <c r="X13" s="29">
        <v>9312802500314.791</v>
      </c>
      <c r="Y13" s="29"/>
      <c r="Z13" s="29"/>
      <c r="AA13"/>
      <c r="AB13"/>
      <c r="AC13"/>
    </row>
    <row r="14" spans="1:29" s="28" customFormat="1" ht="13.5" thickBot="1">
      <c r="A14" s="250">
        <v>35461</v>
      </c>
      <c r="B14" s="112">
        <v>105017710.30000001</v>
      </c>
      <c r="C14" s="111"/>
      <c r="D14" s="111"/>
      <c r="E14" s="111"/>
      <c r="F14" s="112">
        <v>453612.74805196561</v>
      </c>
      <c r="G14" s="127">
        <f t="shared" si="3"/>
        <v>104564097.55194804</v>
      </c>
      <c r="H14" s="113">
        <v>777.9</v>
      </c>
      <c r="I14" s="113">
        <v>0</v>
      </c>
      <c r="J14" s="113">
        <v>31</v>
      </c>
      <c r="K14" s="113">
        <v>0</v>
      </c>
      <c r="L14" s="119">
        <v>352</v>
      </c>
      <c r="M14" s="195">
        <v>37652.916666666664</v>
      </c>
      <c r="N14" s="112">
        <v>0</v>
      </c>
      <c r="O14" s="127">
        <f t="shared" si="0"/>
        <v>100238833.315431</v>
      </c>
      <c r="P14" s="127">
        <f t="shared" si="1"/>
        <v>-4325264.2365170419</v>
      </c>
      <c r="Q14" s="216">
        <f t="shared" si="2"/>
        <v>-4.1364716358482663E-2</v>
      </c>
      <c r="R14" s="176">
        <f t="shared" si="4"/>
        <v>4.1364716358482663E-2</v>
      </c>
      <c r="T14"/>
      <c r="U14" s="30" t="s">
        <v>10</v>
      </c>
      <c r="V14" s="30">
        <v>287</v>
      </c>
      <c r="W14" s="30">
        <v>6.0522040521951104E+16</v>
      </c>
      <c r="X14" s="30"/>
      <c r="Y14" s="30"/>
      <c r="Z14" s="30"/>
      <c r="AA14"/>
      <c r="AB14"/>
      <c r="AC14"/>
    </row>
    <row r="15" spans="1:29" s="28" customFormat="1" ht="13.5" thickBot="1">
      <c r="A15" s="250">
        <v>35489</v>
      </c>
      <c r="B15" s="112">
        <v>91033887.199999988</v>
      </c>
      <c r="C15" s="111"/>
      <c r="D15" s="111"/>
      <c r="E15" s="111"/>
      <c r="F15" s="112">
        <v>393211.12239717768</v>
      </c>
      <c r="G15" s="127">
        <f t="shared" si="3"/>
        <v>90640676.077602804</v>
      </c>
      <c r="H15" s="113">
        <v>615</v>
      </c>
      <c r="I15" s="113">
        <v>0</v>
      </c>
      <c r="J15" s="113">
        <v>28</v>
      </c>
      <c r="K15" s="113">
        <v>0</v>
      </c>
      <c r="L15" s="119">
        <v>320</v>
      </c>
      <c r="M15" s="195">
        <v>37739.833333333328</v>
      </c>
      <c r="N15" s="112">
        <v>0</v>
      </c>
      <c r="O15" s="127">
        <f t="shared" si="0"/>
        <v>87255165.449283332</v>
      </c>
      <c r="P15" s="127">
        <f t="shared" si="1"/>
        <v>-3385510.6283194721</v>
      </c>
      <c r="Q15" s="216">
        <f t="shared" si="2"/>
        <v>-3.7350897795829958E-2</v>
      </c>
      <c r="R15" s="176">
        <f t="shared" si="4"/>
        <v>3.7350897795829958E-2</v>
      </c>
      <c r="T15"/>
      <c r="U15"/>
      <c r="V15"/>
      <c r="W15"/>
      <c r="X15"/>
      <c r="Y15"/>
      <c r="Z15"/>
      <c r="AA15"/>
      <c r="AB15"/>
      <c r="AC15"/>
    </row>
    <row r="16" spans="1:29" s="28" customFormat="1">
      <c r="A16" s="250">
        <v>35520</v>
      </c>
      <c r="B16" s="112">
        <v>95075285.900000006</v>
      </c>
      <c r="C16" s="111"/>
      <c r="D16" s="111"/>
      <c r="E16" s="111"/>
      <c r="F16" s="112">
        <v>410667.51108670188</v>
      </c>
      <c r="G16" s="127">
        <f t="shared" si="3"/>
        <v>94664618.388913304</v>
      </c>
      <c r="H16" s="113">
        <v>619.1</v>
      </c>
      <c r="I16" s="113">
        <v>0</v>
      </c>
      <c r="J16" s="113">
        <v>31</v>
      </c>
      <c r="K16" s="113">
        <v>1</v>
      </c>
      <c r="L16" s="119">
        <v>304</v>
      </c>
      <c r="M16" s="195">
        <v>37826.75</v>
      </c>
      <c r="N16" s="112">
        <v>0</v>
      </c>
      <c r="O16" s="127">
        <f t="shared" si="0"/>
        <v>91063373.429882392</v>
      </c>
      <c r="P16" s="127">
        <f t="shared" si="1"/>
        <v>-3601244.9590309113</v>
      </c>
      <c r="Q16" s="216">
        <f t="shared" si="2"/>
        <v>-3.8042143097601851E-2</v>
      </c>
      <c r="R16" s="176">
        <f t="shared" si="4"/>
        <v>3.8042143097601851E-2</v>
      </c>
      <c r="T16"/>
      <c r="U16" s="31"/>
      <c r="V16" s="31" t="s">
        <v>36</v>
      </c>
      <c r="W16" s="31" t="s">
        <v>25</v>
      </c>
      <c r="X16" s="31" t="s">
        <v>37</v>
      </c>
      <c r="Y16" s="31" t="s">
        <v>38</v>
      </c>
      <c r="Z16" s="31" t="s">
        <v>39</v>
      </c>
      <c r="AA16" s="31" t="s">
        <v>40</v>
      </c>
      <c r="AB16" s="31" t="s">
        <v>101</v>
      </c>
      <c r="AC16" s="31" t="s">
        <v>102</v>
      </c>
    </row>
    <row r="17" spans="1:30" s="28" customFormat="1">
      <c r="A17" s="250">
        <v>35550</v>
      </c>
      <c r="B17" s="112">
        <v>85363046.900000006</v>
      </c>
      <c r="C17" s="111"/>
      <c r="D17" s="111"/>
      <c r="E17" s="111"/>
      <c r="F17" s="112">
        <v>368716.53529469325</v>
      </c>
      <c r="G17" s="127">
        <f t="shared" si="3"/>
        <v>84994330.364705309</v>
      </c>
      <c r="H17" s="113">
        <v>391.9</v>
      </c>
      <c r="I17" s="113">
        <v>0</v>
      </c>
      <c r="J17" s="113">
        <v>30</v>
      </c>
      <c r="K17" s="113">
        <v>1</v>
      </c>
      <c r="L17" s="119">
        <v>352</v>
      </c>
      <c r="M17" s="195">
        <v>37913.666666666657</v>
      </c>
      <c r="N17" s="112">
        <v>0</v>
      </c>
      <c r="O17" s="127">
        <f t="shared" si="0"/>
        <v>85642934.276712894</v>
      </c>
      <c r="P17" s="127">
        <f t="shared" si="1"/>
        <v>648603.91200758517</v>
      </c>
      <c r="Q17" s="216">
        <f t="shared" si="2"/>
        <v>7.631143268315271E-3</v>
      </c>
      <c r="R17" s="176">
        <f t="shared" si="4"/>
        <v>7.631143268315271E-3</v>
      </c>
      <c r="T17"/>
      <c r="U17" s="29" t="s">
        <v>30</v>
      </c>
      <c r="V17" s="29">
        <v>-107313498.60741758</v>
      </c>
      <c r="W17" s="29">
        <v>7344255.7875067191</v>
      </c>
      <c r="X17" s="29">
        <v>-14.611895570136337</v>
      </c>
      <c r="Y17" s="29">
        <v>2.5056248855023778E-36</v>
      </c>
      <c r="Z17" s="29">
        <v>-121770464.15615894</v>
      </c>
      <c r="AA17" s="29">
        <v>-92856533.058676228</v>
      </c>
      <c r="AB17" s="29">
        <v>-121770464.15615894</v>
      </c>
      <c r="AC17" s="29">
        <v>-92856533.058676228</v>
      </c>
    </row>
    <row r="18" spans="1:30" s="28" customFormat="1">
      <c r="A18" s="250">
        <v>35581</v>
      </c>
      <c r="B18" s="112">
        <v>81823269.700000003</v>
      </c>
      <c r="C18" s="111"/>
      <c r="D18" s="111"/>
      <c r="E18" s="111"/>
      <c r="F18" s="112">
        <v>353426.84693073272</v>
      </c>
      <c r="G18" s="127">
        <f t="shared" si="3"/>
        <v>81469842.853069276</v>
      </c>
      <c r="H18" s="113">
        <v>289</v>
      </c>
      <c r="I18" s="113">
        <v>0</v>
      </c>
      <c r="J18" s="113">
        <v>31</v>
      </c>
      <c r="K18" s="113">
        <v>1</v>
      </c>
      <c r="L18" s="119">
        <v>336</v>
      </c>
      <c r="M18" s="195">
        <v>38000.583333333321</v>
      </c>
      <c r="N18" s="112">
        <v>0</v>
      </c>
      <c r="O18" s="127">
        <f t="shared" si="0"/>
        <v>84248393.893470734</v>
      </c>
      <c r="P18" s="127">
        <f t="shared" si="1"/>
        <v>2778551.0404014587</v>
      </c>
      <c r="Q18" s="216">
        <f t="shared" si="2"/>
        <v>3.4105270651037967E-2</v>
      </c>
      <c r="R18" s="176">
        <f t="shared" si="4"/>
        <v>3.4105270651037967E-2</v>
      </c>
      <c r="T18"/>
      <c r="U18" s="29" t="s">
        <v>4</v>
      </c>
      <c r="V18" s="29">
        <v>27898.337325431603</v>
      </c>
      <c r="W18" s="29">
        <v>1073.5632736190098</v>
      </c>
      <c r="X18" s="29">
        <v>25.986672617241815</v>
      </c>
      <c r="Y18" s="29">
        <v>1.3638232412641605E-76</v>
      </c>
      <c r="Z18" s="29">
        <v>25785.057544584943</v>
      </c>
      <c r="AA18" s="29">
        <v>30011.617106278263</v>
      </c>
      <c r="AB18" s="29">
        <v>25785.057544584943</v>
      </c>
      <c r="AC18" s="29">
        <v>30011.617106278263</v>
      </c>
    </row>
    <row r="19" spans="1:30" s="28" customFormat="1">
      <c r="A19" s="250">
        <v>35611</v>
      </c>
      <c r="B19" s="112">
        <v>85276288.799999997</v>
      </c>
      <c r="C19" s="111"/>
      <c r="D19" s="111"/>
      <c r="E19" s="111"/>
      <c r="F19" s="112">
        <v>368341.79297699896</v>
      </c>
      <c r="G19" s="127">
        <f t="shared" si="3"/>
        <v>84907947.007022992</v>
      </c>
      <c r="H19" s="113">
        <v>30.4</v>
      </c>
      <c r="I19" s="113">
        <v>50.4</v>
      </c>
      <c r="J19" s="113">
        <v>30</v>
      </c>
      <c r="K19" s="113">
        <v>0</v>
      </c>
      <c r="L19" s="119">
        <v>336</v>
      </c>
      <c r="M19" s="195">
        <v>38087.5</v>
      </c>
      <c r="N19" s="112">
        <v>0</v>
      </c>
      <c r="O19" s="127">
        <f t="shared" si="0"/>
        <v>88276298.204918802</v>
      </c>
      <c r="P19" s="127">
        <f t="shared" si="1"/>
        <v>3368351.19789581</v>
      </c>
      <c r="Q19" s="216">
        <f t="shared" si="2"/>
        <v>3.9670623500262035E-2</v>
      </c>
      <c r="R19" s="176">
        <f t="shared" si="4"/>
        <v>3.9670623500262035E-2</v>
      </c>
      <c r="T19"/>
      <c r="U19" s="29" t="s">
        <v>5</v>
      </c>
      <c r="V19" s="29">
        <v>218376.59262321849</v>
      </c>
      <c r="W19" s="29">
        <v>10743.27812829816</v>
      </c>
      <c r="X19" s="29">
        <v>20.326811799464366</v>
      </c>
      <c r="Y19" s="29">
        <v>4.7101387508588716E-57</v>
      </c>
      <c r="Z19" s="29">
        <v>197228.74507063747</v>
      </c>
      <c r="AA19" s="29">
        <v>239524.44017579951</v>
      </c>
      <c r="AB19" s="29">
        <v>197228.74507063747</v>
      </c>
      <c r="AC19" s="29">
        <v>239524.44017579951</v>
      </c>
    </row>
    <row r="20" spans="1:30" s="28" customFormat="1">
      <c r="A20" s="250">
        <v>35642</v>
      </c>
      <c r="B20" s="112">
        <v>88667230.400000006</v>
      </c>
      <c r="C20" s="111"/>
      <c r="D20" s="111"/>
      <c r="E20" s="111"/>
      <c r="F20" s="112">
        <v>382988.60191299353</v>
      </c>
      <c r="G20" s="127">
        <f t="shared" si="3"/>
        <v>88284241.798087016</v>
      </c>
      <c r="H20" s="113">
        <v>22.1</v>
      </c>
      <c r="I20" s="113">
        <v>59.8</v>
      </c>
      <c r="J20" s="113">
        <v>31</v>
      </c>
      <c r="K20" s="113">
        <v>0</v>
      </c>
      <c r="L20" s="119">
        <v>352</v>
      </c>
      <c r="M20" s="195">
        <v>38174.41666666665</v>
      </c>
      <c r="N20" s="112">
        <v>0</v>
      </c>
      <c r="O20" s="127">
        <f t="shared" si="0"/>
        <v>93529004.139460057</v>
      </c>
      <c r="P20" s="127">
        <f t="shared" si="1"/>
        <v>5244762.3413730413</v>
      </c>
      <c r="Q20" s="216">
        <f t="shared" si="2"/>
        <v>5.9407684027781807E-2</v>
      </c>
      <c r="R20" s="176">
        <f t="shared" si="4"/>
        <v>5.9407684027781807E-2</v>
      </c>
      <c r="T20"/>
      <c r="U20" s="29" t="s">
        <v>6</v>
      </c>
      <c r="V20" s="29">
        <v>2234391.3563274737</v>
      </c>
      <c r="W20" s="29">
        <v>245225.5955649525</v>
      </c>
      <c r="X20" s="29">
        <v>9.1115747978096113</v>
      </c>
      <c r="Y20" s="29">
        <v>1.6032863693653034E-17</v>
      </c>
      <c r="Z20" s="29">
        <v>1751671.5152262344</v>
      </c>
      <c r="AA20" s="29">
        <v>2717111.1974287131</v>
      </c>
      <c r="AB20" s="29">
        <v>1751671.5152262344</v>
      </c>
      <c r="AC20" s="29">
        <v>2717111.1974287131</v>
      </c>
    </row>
    <row r="21" spans="1:30" s="28" customFormat="1">
      <c r="A21" s="250">
        <v>35673</v>
      </c>
      <c r="B21" s="112">
        <v>82986439.5</v>
      </c>
      <c r="C21" s="111"/>
      <c r="D21" s="111"/>
      <c r="E21" s="111"/>
      <c r="F21" s="112">
        <v>358451.03425991553</v>
      </c>
      <c r="G21" s="127">
        <f t="shared" si="3"/>
        <v>82627988.465740085</v>
      </c>
      <c r="H21" s="113">
        <v>49.4</v>
      </c>
      <c r="I21" s="113">
        <v>21.9</v>
      </c>
      <c r="J21" s="113">
        <v>31</v>
      </c>
      <c r="K21" s="113">
        <v>0</v>
      </c>
      <c r="L21" s="119">
        <v>320</v>
      </c>
      <c r="M21" s="195">
        <v>38261.333333333314</v>
      </c>
      <c r="N21" s="112">
        <v>0</v>
      </c>
      <c r="O21" s="127">
        <f t="shared" si="0"/>
        <v>84278301.241171926</v>
      </c>
      <c r="P21" s="127">
        <f t="shared" si="1"/>
        <v>1650312.7754318416</v>
      </c>
      <c r="Q21" s="216">
        <f t="shared" si="2"/>
        <v>1.9972805898767682E-2</v>
      </c>
      <c r="R21" s="176">
        <f t="shared" si="4"/>
        <v>1.9972805898767682E-2</v>
      </c>
      <c r="T21"/>
      <c r="U21" s="29" t="s">
        <v>19</v>
      </c>
      <c r="V21" s="29">
        <v>-2251156.4426349164</v>
      </c>
      <c r="W21" s="29">
        <v>464000.16884852771</v>
      </c>
      <c r="X21" s="29">
        <v>-4.8516284988029899</v>
      </c>
      <c r="Y21" s="29">
        <v>2.0357109997154574E-6</v>
      </c>
      <c r="Z21" s="29">
        <v>-3164528.014886573</v>
      </c>
      <c r="AA21" s="29">
        <v>-1337784.8703832601</v>
      </c>
      <c r="AB21" s="29">
        <v>-3164528.014886573</v>
      </c>
      <c r="AC21" s="29">
        <v>-1337784.8703832601</v>
      </c>
    </row>
    <row r="22" spans="1:30" s="28" customFormat="1">
      <c r="A22" s="250">
        <v>35703</v>
      </c>
      <c r="B22" s="112">
        <v>82339214.099999994</v>
      </c>
      <c r="C22" s="111"/>
      <c r="D22" s="111"/>
      <c r="E22" s="111"/>
      <c r="F22" s="112">
        <v>355655.4134882919</v>
      </c>
      <c r="G22" s="127">
        <f t="shared" si="3"/>
        <v>81983558.686511695</v>
      </c>
      <c r="H22" s="113">
        <v>115.2</v>
      </c>
      <c r="I22" s="113">
        <v>5.4</v>
      </c>
      <c r="J22" s="113">
        <v>30</v>
      </c>
      <c r="K22" s="113">
        <v>1</v>
      </c>
      <c r="L22" s="119">
        <v>336</v>
      </c>
      <c r="M22" s="195">
        <v>38348.25</v>
      </c>
      <c r="N22" s="112">
        <v>0</v>
      </c>
      <c r="O22" s="127">
        <f t="shared" si="0"/>
        <v>79222381.067296565</v>
      </c>
      <c r="P22" s="127">
        <f t="shared" si="1"/>
        <v>-2761177.6192151308</v>
      </c>
      <c r="Q22" s="216">
        <f t="shared" si="2"/>
        <v>-3.3679650694028875E-2</v>
      </c>
      <c r="R22" s="176">
        <f t="shared" si="4"/>
        <v>3.3679650694028875E-2</v>
      </c>
      <c r="T22"/>
      <c r="U22" s="29" t="s">
        <v>108</v>
      </c>
      <c r="V22" s="29">
        <v>61103.863629356536</v>
      </c>
      <c r="W22" s="29">
        <v>11898.994385129519</v>
      </c>
      <c r="X22" s="29">
        <v>5.1352124096906557</v>
      </c>
      <c r="Y22" s="29">
        <v>5.2851757691654652E-7</v>
      </c>
      <c r="Z22" s="29">
        <v>37681.020407703982</v>
      </c>
      <c r="AA22" s="29">
        <v>84526.70685100909</v>
      </c>
      <c r="AB22" s="29">
        <v>37681.020407703982</v>
      </c>
      <c r="AC22" s="29">
        <v>84526.70685100909</v>
      </c>
    </row>
    <row r="23" spans="1:30" s="28" customFormat="1">
      <c r="A23" s="250">
        <v>35734</v>
      </c>
      <c r="B23" s="112">
        <v>87421435.5</v>
      </c>
      <c r="C23" s="111"/>
      <c r="D23" s="111"/>
      <c r="E23" s="111"/>
      <c r="F23" s="112">
        <v>377607.52431680716</v>
      </c>
      <c r="G23" s="127">
        <f t="shared" si="3"/>
        <v>87043827.975683197</v>
      </c>
      <c r="H23" s="113">
        <v>288.89999999999998</v>
      </c>
      <c r="I23" s="113">
        <v>1.6</v>
      </c>
      <c r="J23" s="113">
        <v>31</v>
      </c>
      <c r="K23" s="113">
        <v>1</v>
      </c>
      <c r="L23" s="119">
        <v>352</v>
      </c>
      <c r="M23" s="195">
        <v>38435.166666666642</v>
      </c>
      <c r="N23" s="112">
        <v>0</v>
      </c>
      <c r="O23" s="127">
        <f t="shared" si="0"/>
        <v>86670013.372439891</v>
      </c>
      <c r="P23" s="127">
        <f t="shared" si="1"/>
        <v>-373814.60324330628</v>
      </c>
      <c r="Q23" s="216">
        <f t="shared" si="2"/>
        <v>-4.2945561096846083E-3</v>
      </c>
      <c r="R23" s="176">
        <f t="shared" si="4"/>
        <v>4.2945561096846083E-3</v>
      </c>
      <c r="T23"/>
      <c r="U23" s="29" t="s">
        <v>143</v>
      </c>
      <c r="V23" s="29">
        <v>2525.0506917005587</v>
      </c>
      <c r="W23" s="29">
        <v>45.929538651552008</v>
      </c>
      <c r="X23" s="29">
        <v>54.976617789633174</v>
      </c>
      <c r="Y23" s="29">
        <v>4.5974227522403478E-152</v>
      </c>
      <c r="Z23" s="29">
        <v>2434.6396579393704</v>
      </c>
      <c r="AA23" s="29">
        <v>2615.4617254617469</v>
      </c>
      <c r="AB23" s="29">
        <v>2434.6396579393704</v>
      </c>
      <c r="AC23" s="29">
        <v>2615.4617254617469</v>
      </c>
    </row>
    <row r="24" spans="1:30" s="28" customFormat="1" ht="13.5" thickBot="1">
      <c r="A24" s="250">
        <v>35764</v>
      </c>
      <c r="B24" s="112">
        <v>91084451</v>
      </c>
      <c r="C24" s="111"/>
      <c r="D24" s="111"/>
      <c r="E24" s="111"/>
      <c r="F24" s="112">
        <v>393429.52731387632</v>
      </c>
      <c r="G24" s="127">
        <f t="shared" si="3"/>
        <v>90691021.472686127</v>
      </c>
      <c r="H24" s="113">
        <v>471.4</v>
      </c>
      <c r="I24" s="113">
        <v>0</v>
      </c>
      <c r="J24" s="113">
        <v>30</v>
      </c>
      <c r="K24" s="113">
        <v>1</v>
      </c>
      <c r="L24" s="119">
        <v>304</v>
      </c>
      <c r="M24" s="195">
        <v>38522.083333333307</v>
      </c>
      <c r="N24" s="112">
        <v>0</v>
      </c>
      <c r="O24" s="127">
        <f t="shared" si="0"/>
        <v>86464149.56488438</v>
      </c>
      <c r="P24" s="127">
        <f t="shared" si="1"/>
        <v>-4226871.9078017473</v>
      </c>
      <c r="Q24" s="216">
        <f t="shared" si="2"/>
        <v>-4.660739110844369E-2</v>
      </c>
      <c r="R24" s="176">
        <f t="shared" si="4"/>
        <v>4.660739110844369E-2</v>
      </c>
      <c r="T24"/>
      <c r="U24" s="30" t="s">
        <v>120</v>
      </c>
      <c r="V24" s="30">
        <v>-1.8958262840071725</v>
      </c>
      <c r="W24" s="30">
        <v>0.11459360071231864</v>
      </c>
      <c r="X24" s="30">
        <v>-16.543910586827156</v>
      </c>
      <c r="Y24" s="30">
        <v>2.3604507418889064E-43</v>
      </c>
      <c r="Z24" s="30">
        <v>-2.1214006356552151</v>
      </c>
      <c r="AA24" s="30">
        <v>-1.6702519323591296</v>
      </c>
      <c r="AB24" s="30">
        <v>-2.1214006356552151</v>
      </c>
      <c r="AC24" s="30">
        <v>-1.6702519323591296</v>
      </c>
    </row>
    <row r="25" spans="1:30" s="28" customFormat="1">
      <c r="A25" s="250">
        <v>35795</v>
      </c>
      <c r="B25" s="112">
        <v>95971206</v>
      </c>
      <c r="C25" s="111"/>
      <c r="D25" s="111"/>
      <c r="E25" s="111"/>
      <c r="F25" s="112">
        <v>414537.3419698457</v>
      </c>
      <c r="G25" s="127">
        <f t="shared" si="3"/>
        <v>95556668.658030152</v>
      </c>
      <c r="H25" s="113">
        <v>630.70000000000005</v>
      </c>
      <c r="I25" s="113">
        <v>0</v>
      </c>
      <c r="J25" s="113">
        <v>31</v>
      </c>
      <c r="K25" s="113">
        <v>0</v>
      </c>
      <c r="L25" s="119">
        <v>336</v>
      </c>
      <c r="M25" s="195">
        <v>38609</v>
      </c>
      <c r="N25" s="112">
        <v>0</v>
      </c>
      <c r="O25" s="127">
        <f t="shared" si="0"/>
        <v>97568695.125214487</v>
      </c>
      <c r="P25" s="127">
        <f t="shared" si="1"/>
        <v>2012026.467184335</v>
      </c>
      <c r="Q25" s="216">
        <f t="shared" si="2"/>
        <v>2.1055845661434675E-2</v>
      </c>
      <c r="R25" s="176">
        <f t="shared" si="4"/>
        <v>2.1055845661434675E-2</v>
      </c>
      <c r="U25"/>
      <c r="V25"/>
      <c r="W25"/>
      <c r="X25"/>
      <c r="Y25"/>
      <c r="Z25"/>
      <c r="AA25"/>
      <c r="AB25"/>
      <c r="AC25"/>
    </row>
    <row r="26" spans="1:30">
      <c r="A26" s="250">
        <v>35826</v>
      </c>
      <c r="B26" s="90">
        <v>99755427.200000003</v>
      </c>
      <c r="F26" s="159">
        <v>369728.33435103059</v>
      </c>
      <c r="G26" s="127">
        <f t="shared" si="3"/>
        <v>99385698.86564897</v>
      </c>
      <c r="H26" s="1">
        <v>652.79999999999995</v>
      </c>
      <c r="I26" s="1">
        <v>0</v>
      </c>
      <c r="J26" s="10">
        <v>31</v>
      </c>
      <c r="K26" s="10">
        <v>0</v>
      </c>
      <c r="L26" s="119">
        <v>336.28800000000001</v>
      </c>
      <c r="M26" s="195">
        <v>38688.916666666664</v>
      </c>
      <c r="N26" s="112">
        <v>0</v>
      </c>
      <c r="O26" s="127">
        <f t="shared" si="0"/>
        <v>98404639.92727682</v>
      </c>
      <c r="P26" s="127">
        <f t="shared" si="1"/>
        <v>-981058.93837215006</v>
      </c>
      <c r="Q26" s="216">
        <f t="shared" si="2"/>
        <v>-9.8712284520769914E-3</v>
      </c>
      <c r="R26" s="176">
        <f t="shared" si="4"/>
        <v>9.8712284520769914E-3</v>
      </c>
      <c r="S26" s="13"/>
    </row>
    <row r="27" spans="1:30">
      <c r="A27" s="250">
        <f>EOMONTH(A26,1)</f>
        <v>35854</v>
      </c>
      <c r="B27" s="90">
        <v>88298732.200000003</v>
      </c>
      <c r="F27" s="159">
        <v>327265.83503231901</v>
      </c>
      <c r="G27" s="127">
        <f t="shared" si="3"/>
        <v>87971466.364967689</v>
      </c>
      <c r="H27" s="1">
        <v>547.1</v>
      </c>
      <c r="I27" s="1">
        <v>0</v>
      </c>
      <c r="J27" s="113">
        <v>28</v>
      </c>
      <c r="K27" s="10">
        <v>0</v>
      </c>
      <c r="L27" s="119">
        <v>319.87200000000001</v>
      </c>
      <c r="M27" s="195">
        <v>38768.833333333328</v>
      </c>
      <c r="N27" s="112">
        <v>0</v>
      </c>
      <c r="O27" s="127">
        <f t="shared" si="0"/>
        <v>87951324.212101847</v>
      </c>
      <c r="P27" s="127">
        <f t="shared" si="1"/>
        <v>-20142.152865841985</v>
      </c>
      <c r="Q27" s="216">
        <f t="shared" si="2"/>
        <v>-2.289623408376317E-4</v>
      </c>
      <c r="R27" s="176">
        <f t="shared" si="4"/>
        <v>2.289623408376317E-4</v>
      </c>
      <c r="S27" s="13"/>
    </row>
    <row r="28" spans="1:30">
      <c r="A28" s="250">
        <f>EOMONTH(A27,1)</f>
        <v>35885</v>
      </c>
      <c r="B28" s="90">
        <v>96142108.799999997</v>
      </c>
      <c r="F28" s="159">
        <v>356336.1186991093</v>
      </c>
      <c r="G28" s="127">
        <f t="shared" si="3"/>
        <v>95785772.681300893</v>
      </c>
      <c r="H28" s="1">
        <v>505.1</v>
      </c>
      <c r="I28" s="1">
        <v>0</v>
      </c>
      <c r="J28" s="10">
        <v>31</v>
      </c>
      <c r="K28" s="10">
        <v>1</v>
      </c>
      <c r="L28" s="119">
        <v>351.91199999999998</v>
      </c>
      <c r="M28" s="195">
        <v>38848.75</v>
      </c>
      <c r="N28" s="112">
        <v>0</v>
      </c>
      <c r="O28" s="127">
        <f t="shared" si="0"/>
        <v>93391173.095910877</v>
      </c>
      <c r="P28" s="127">
        <f t="shared" si="1"/>
        <v>-2394599.5853900164</v>
      </c>
      <c r="Q28" s="216">
        <f t="shared" si="2"/>
        <v>-2.4999533003271221E-2</v>
      </c>
      <c r="R28" s="176">
        <f t="shared" si="4"/>
        <v>2.4999533003271221E-2</v>
      </c>
      <c r="S28" s="13"/>
    </row>
    <row r="29" spans="1:30">
      <c r="A29" s="250">
        <f>EOMONTH(A28,1)</f>
        <v>35915</v>
      </c>
      <c r="B29" s="90">
        <v>82977188</v>
      </c>
      <c r="F29" s="159">
        <v>307542.33999583655</v>
      </c>
      <c r="G29" s="127">
        <f t="shared" si="3"/>
        <v>82669645.660004169</v>
      </c>
      <c r="H29" s="1">
        <v>312</v>
      </c>
      <c r="I29" s="1">
        <v>0</v>
      </c>
      <c r="J29" s="10">
        <v>30</v>
      </c>
      <c r="K29" s="10">
        <v>1</v>
      </c>
      <c r="L29" s="119">
        <v>336.24</v>
      </c>
      <c r="M29" s="195">
        <v>38928.666666666657</v>
      </c>
      <c r="N29" s="112">
        <v>0</v>
      </c>
      <c r="O29" s="127">
        <f t="shared" si="0"/>
        <v>85013786.685688347</v>
      </c>
      <c r="P29" s="127">
        <f t="shared" si="1"/>
        <v>2344141.0256841779</v>
      </c>
      <c r="Q29" s="216">
        <f t="shared" si="2"/>
        <v>2.8355522839966407E-2</v>
      </c>
      <c r="R29" s="176">
        <f t="shared" si="4"/>
        <v>2.8355522839966407E-2</v>
      </c>
      <c r="S29" s="13"/>
    </row>
    <row r="30" spans="1:30">
      <c r="A30" s="250">
        <f>EOMONTH(A29,1)</f>
        <v>35946</v>
      </c>
      <c r="B30" s="90">
        <v>85056522.800000012</v>
      </c>
      <c r="F30" s="159">
        <v>315249.07850361511</v>
      </c>
      <c r="G30" s="127">
        <f t="shared" si="3"/>
        <v>84741273.721496403</v>
      </c>
      <c r="H30" s="1">
        <v>77.099999999999994</v>
      </c>
      <c r="I30" s="1">
        <v>16.8</v>
      </c>
      <c r="J30" s="10">
        <v>31</v>
      </c>
      <c r="K30" s="10">
        <v>1</v>
      </c>
      <c r="L30" s="119">
        <v>319.92</v>
      </c>
      <c r="M30" s="195">
        <v>39008.583333333321</v>
      </c>
      <c r="N30" s="112">
        <v>0</v>
      </c>
      <c r="O30" s="127">
        <f t="shared" si="0"/>
        <v>83568163.940355957</v>
      </c>
      <c r="P30" s="127">
        <f t="shared" si="1"/>
        <v>-1173109.7811404467</v>
      </c>
      <c r="Q30" s="216">
        <f t="shared" si="2"/>
        <v>-1.3843428705071053E-2</v>
      </c>
      <c r="R30" s="176">
        <f t="shared" si="4"/>
        <v>1.3843428705071053E-2</v>
      </c>
      <c r="S30" s="13"/>
      <c r="U30" s="17" t="s">
        <v>174</v>
      </c>
    </row>
    <row r="31" spans="1:30" ht="13.5" thickBot="1">
      <c r="A31" s="250">
        <f t="shared" ref="A31:A94" si="5">EOMONTH(A30,1)</f>
        <v>35976</v>
      </c>
      <c r="B31" s="90">
        <v>90611662</v>
      </c>
      <c r="F31" s="159">
        <v>335838.35791581444</v>
      </c>
      <c r="G31" s="127">
        <f t="shared" si="3"/>
        <v>90275823.642084181</v>
      </c>
      <c r="H31" s="1">
        <v>66.7</v>
      </c>
      <c r="I31" s="1">
        <v>63.7</v>
      </c>
      <c r="J31" s="10">
        <v>30</v>
      </c>
      <c r="K31" s="10">
        <v>0</v>
      </c>
      <c r="L31" s="119">
        <v>352.08</v>
      </c>
      <c r="M31" s="195">
        <v>39088.5</v>
      </c>
      <c r="N31" s="112">
        <v>0</v>
      </c>
      <c r="O31" s="127">
        <f t="shared" si="0"/>
        <v>95703542.401273072</v>
      </c>
      <c r="P31" s="127">
        <f t="shared" si="1"/>
        <v>5427718.7591888905</v>
      </c>
      <c r="Q31" s="216">
        <f t="shared" si="2"/>
        <v>6.0123724605472696E-2</v>
      </c>
      <c r="R31" s="176">
        <f t="shared" si="4"/>
        <v>6.0123724605472696E-2</v>
      </c>
      <c r="S31" s="13"/>
    </row>
    <row r="32" spans="1:30" ht="38.25">
      <c r="A32" s="250">
        <f t="shared" si="5"/>
        <v>36007</v>
      </c>
      <c r="B32" s="90">
        <v>93536613.900000006</v>
      </c>
      <c r="F32" s="159">
        <v>346679.24772400211</v>
      </c>
      <c r="G32" s="127">
        <f t="shared" si="3"/>
        <v>93189934.652276009</v>
      </c>
      <c r="H32" s="1">
        <v>6.9</v>
      </c>
      <c r="I32" s="1">
        <v>64.8</v>
      </c>
      <c r="J32" s="10">
        <v>31</v>
      </c>
      <c r="K32" s="10">
        <v>0</v>
      </c>
      <c r="L32" s="119">
        <v>351.91199999999998</v>
      </c>
      <c r="M32" s="195">
        <v>39168.41666666665</v>
      </c>
      <c r="N32" s="112">
        <v>0</v>
      </c>
      <c r="O32" s="127">
        <f t="shared" si="0"/>
        <v>96701355.622780561</v>
      </c>
      <c r="P32" s="127">
        <f t="shared" si="1"/>
        <v>3511420.9705045521</v>
      </c>
      <c r="Q32" s="216">
        <f t="shared" si="2"/>
        <v>3.7680260036739834E-2</v>
      </c>
      <c r="R32" s="176">
        <f t="shared" si="4"/>
        <v>3.7680260036739834E-2</v>
      </c>
      <c r="S32" s="13"/>
      <c r="U32" s="31"/>
      <c r="V32" s="276" t="s">
        <v>4</v>
      </c>
      <c r="W32" s="276" t="s">
        <v>5</v>
      </c>
      <c r="X32" s="276" t="s">
        <v>6</v>
      </c>
      <c r="Y32" s="276" t="s">
        <v>19</v>
      </c>
      <c r="Z32" s="276" t="s">
        <v>108</v>
      </c>
      <c r="AA32" s="276" t="s">
        <v>143</v>
      </c>
      <c r="AB32" s="276" t="s">
        <v>120</v>
      </c>
      <c r="AC32" s="276" t="s">
        <v>107</v>
      </c>
      <c r="AD32" s="276" t="s">
        <v>142</v>
      </c>
    </row>
    <row r="33" spans="1:30">
      <c r="A33" s="250">
        <f t="shared" si="5"/>
        <v>36038</v>
      </c>
      <c r="B33" s="90">
        <v>94443253.400000006</v>
      </c>
      <c r="F33" s="159">
        <v>350039.56927843532</v>
      </c>
      <c r="G33" s="127">
        <f t="shared" si="3"/>
        <v>94093213.830721572</v>
      </c>
      <c r="H33" s="1">
        <v>12.1</v>
      </c>
      <c r="I33" s="1">
        <v>83.1</v>
      </c>
      <c r="J33" s="10">
        <v>31</v>
      </c>
      <c r="K33" s="10">
        <v>0</v>
      </c>
      <c r="L33" s="119">
        <v>319.92</v>
      </c>
      <c r="M33" s="195">
        <v>39248.333333333314</v>
      </c>
      <c r="N33" s="112">
        <v>0</v>
      </c>
      <c r="O33" s="127">
        <f t="shared" si="0"/>
        <v>99089677.451092392</v>
      </c>
      <c r="P33" s="127">
        <f t="shared" si="1"/>
        <v>4996463.6203708202</v>
      </c>
      <c r="Q33" s="216">
        <f t="shared" si="2"/>
        <v>5.3101211202751665E-2</v>
      </c>
      <c r="R33" s="176">
        <f t="shared" si="4"/>
        <v>5.3101211202751665E-2</v>
      </c>
      <c r="S33" s="13"/>
      <c r="U33" s="29" t="s">
        <v>4</v>
      </c>
      <c r="V33" s="29">
        <v>1</v>
      </c>
      <c r="W33" s="29"/>
      <c r="X33" s="29"/>
      <c r="Y33" s="29"/>
      <c r="Z33" s="29"/>
      <c r="AA33" s="29"/>
      <c r="AB33" s="29"/>
      <c r="AC33" s="29"/>
      <c r="AD33" s="29"/>
    </row>
    <row r="34" spans="1:30">
      <c r="A34" s="250">
        <f t="shared" si="5"/>
        <v>36068</v>
      </c>
      <c r="B34" s="90">
        <v>87162868.599999994</v>
      </c>
      <c r="F34" s="159">
        <v>323055.92917891633</v>
      </c>
      <c r="G34" s="127">
        <f t="shared" si="3"/>
        <v>86839812.670821071</v>
      </c>
      <c r="H34" s="1">
        <v>63</v>
      </c>
      <c r="I34" s="1">
        <v>26</v>
      </c>
      <c r="J34" s="10">
        <v>30</v>
      </c>
      <c r="K34" s="10">
        <v>1</v>
      </c>
      <c r="L34" s="119">
        <v>336.24</v>
      </c>
      <c r="M34" s="195">
        <v>39328.25</v>
      </c>
      <c r="N34" s="112">
        <v>0</v>
      </c>
      <c r="O34" s="127">
        <f t="shared" si="0"/>
        <v>84753860.272084922</v>
      </c>
      <c r="P34" s="127">
        <f t="shared" si="1"/>
        <v>-2085952.3987361491</v>
      </c>
      <c r="Q34" s="216">
        <f t="shared" si="2"/>
        <v>-2.4020692060256449E-2</v>
      </c>
      <c r="R34" s="176">
        <f t="shared" si="4"/>
        <v>2.4020692060256449E-2</v>
      </c>
      <c r="S34" s="13"/>
      <c r="U34" s="29" t="s">
        <v>5</v>
      </c>
      <c r="V34" s="29">
        <v>-0.68604670704045301</v>
      </c>
      <c r="W34" s="29">
        <v>1</v>
      </c>
      <c r="X34" s="29"/>
      <c r="Y34" s="29"/>
      <c r="Z34" s="29"/>
      <c r="AA34" s="29"/>
      <c r="AB34" s="29"/>
      <c r="AC34" s="29"/>
      <c r="AD34" s="29"/>
    </row>
    <row r="35" spans="1:30">
      <c r="A35" s="250">
        <f t="shared" si="5"/>
        <v>36099</v>
      </c>
      <c r="B35" s="90">
        <v>87958219</v>
      </c>
      <c r="F35" s="159">
        <v>326003.77459315991</v>
      </c>
      <c r="G35" s="127">
        <f t="shared" si="3"/>
        <v>87632215.22540684</v>
      </c>
      <c r="H35" s="1">
        <v>257.60000000000002</v>
      </c>
      <c r="I35" s="1">
        <v>0</v>
      </c>
      <c r="J35" s="10">
        <v>31</v>
      </c>
      <c r="K35" s="10">
        <v>1</v>
      </c>
      <c r="L35" s="119">
        <v>336.28800000000001</v>
      </c>
      <c r="M35" s="195">
        <v>39408.166666666642</v>
      </c>
      <c r="N35" s="112">
        <v>0</v>
      </c>
      <c r="O35" s="127">
        <f t="shared" si="0"/>
        <v>86944203.283636913</v>
      </c>
      <c r="P35" s="127">
        <f t="shared" si="1"/>
        <v>-688011.94176992774</v>
      </c>
      <c r="Q35" s="216">
        <f t="shared" si="2"/>
        <v>-7.8511303177744539E-3</v>
      </c>
      <c r="R35" s="176">
        <f t="shared" si="4"/>
        <v>7.8511303177744539E-3</v>
      </c>
      <c r="S35" s="13"/>
      <c r="U35" s="29" t="s">
        <v>6</v>
      </c>
      <c r="V35" s="29">
        <v>-0.1870107043798602</v>
      </c>
      <c r="W35" s="29">
        <v>0.19234134665681862</v>
      </c>
      <c r="X35" s="29">
        <v>1</v>
      </c>
      <c r="Y35" s="29"/>
      <c r="Z35" s="29"/>
      <c r="AA35" s="29"/>
      <c r="AB35" s="29"/>
      <c r="AC35" s="29"/>
      <c r="AD35" s="29"/>
    </row>
    <row r="36" spans="1:30">
      <c r="A36" s="250">
        <f t="shared" si="5"/>
        <v>36129</v>
      </c>
      <c r="B36" s="90">
        <v>91550898.200000003</v>
      </c>
      <c r="F36" s="159">
        <v>339319.49418614455</v>
      </c>
      <c r="G36" s="127">
        <f t="shared" si="3"/>
        <v>91211578.705813855</v>
      </c>
      <c r="H36" s="1">
        <v>440.1</v>
      </c>
      <c r="I36" s="1">
        <v>0</v>
      </c>
      <c r="J36" s="10">
        <v>30</v>
      </c>
      <c r="K36" s="10">
        <v>1</v>
      </c>
      <c r="L36" s="119">
        <v>336.24</v>
      </c>
      <c r="M36" s="195">
        <v>39488.083333333307</v>
      </c>
      <c r="N36" s="112">
        <v>0</v>
      </c>
      <c r="O36" s="127">
        <f t="shared" si="0"/>
        <v>90000119.138191581</v>
      </c>
      <c r="P36" s="127">
        <f t="shared" si="1"/>
        <v>-1211459.5676222742</v>
      </c>
      <c r="Q36" s="216">
        <f t="shared" si="2"/>
        <v>-1.3281861632168586E-2</v>
      </c>
      <c r="R36" s="176">
        <f t="shared" si="4"/>
        <v>1.3281861632168586E-2</v>
      </c>
      <c r="S36" s="13"/>
      <c r="U36" s="29" t="s">
        <v>19</v>
      </c>
      <c r="V36" s="29">
        <v>-5.7092038855901951E-2</v>
      </c>
      <c r="W36" s="29">
        <v>-0.40890697184947272</v>
      </c>
      <c r="X36" s="29">
        <v>7.677180228911562E-2</v>
      </c>
      <c r="Y36" s="29">
        <v>1</v>
      </c>
      <c r="Z36" s="29"/>
      <c r="AA36" s="29"/>
      <c r="AB36" s="29"/>
      <c r="AC36" s="29"/>
      <c r="AD36" s="29"/>
    </row>
    <row r="37" spans="1:30">
      <c r="A37" s="250">
        <f t="shared" si="5"/>
        <v>36160</v>
      </c>
      <c r="B37" s="90">
        <v>96499819.900000006</v>
      </c>
      <c r="F37" s="159">
        <v>357661.9205416168</v>
      </c>
      <c r="G37" s="127">
        <f t="shared" si="3"/>
        <v>96142157.979458392</v>
      </c>
      <c r="H37" s="1">
        <v>572.1</v>
      </c>
      <c r="I37" s="1">
        <v>0</v>
      </c>
      <c r="J37" s="10">
        <v>31</v>
      </c>
      <c r="K37" s="10">
        <v>0</v>
      </c>
      <c r="L37" s="119">
        <v>336.28800000000001</v>
      </c>
      <c r="M37" s="195">
        <v>39568</v>
      </c>
      <c r="N37" s="112">
        <v>0</v>
      </c>
      <c r="O37" s="127">
        <f t="shared" si="0"/>
        <v>98372974.084010273</v>
      </c>
      <c r="P37" s="127">
        <f t="shared" si="1"/>
        <v>2230816.1045518816</v>
      </c>
      <c r="Q37" s="216">
        <f t="shared" si="2"/>
        <v>2.3203308012167929E-2</v>
      </c>
      <c r="R37" s="176">
        <f t="shared" si="4"/>
        <v>2.3203308012167929E-2</v>
      </c>
      <c r="S37" s="13"/>
      <c r="U37" s="29" t="s">
        <v>108</v>
      </c>
      <c r="V37" s="29">
        <v>-0.15658775583346357</v>
      </c>
      <c r="W37" s="29">
        <v>0.10601552375018294</v>
      </c>
      <c r="X37" s="29">
        <v>0.38776145114912824</v>
      </c>
      <c r="Y37" s="29">
        <v>8.7142858269230419E-2</v>
      </c>
      <c r="Z37" s="29">
        <v>1</v>
      </c>
      <c r="AA37" s="29"/>
      <c r="AB37" s="29"/>
      <c r="AC37" s="29"/>
      <c r="AD37" s="29"/>
    </row>
    <row r="38" spans="1:30">
      <c r="A38" s="250">
        <f t="shared" si="5"/>
        <v>36191</v>
      </c>
      <c r="B38" s="90">
        <v>106347680.30000001</v>
      </c>
      <c r="F38" s="159">
        <v>391585.84111321339</v>
      </c>
      <c r="G38" s="127">
        <f t="shared" si="3"/>
        <v>105956094.4588868</v>
      </c>
      <c r="H38" s="1">
        <v>789.6</v>
      </c>
      <c r="I38" s="1">
        <v>0</v>
      </c>
      <c r="J38" s="113">
        <v>31</v>
      </c>
      <c r="K38" s="113">
        <v>0</v>
      </c>
      <c r="L38" s="119">
        <v>319.92</v>
      </c>
      <c r="M38" s="195">
        <v>39656.166666666664</v>
      </c>
      <c r="N38" s="112">
        <v>0</v>
      </c>
      <c r="O38" s="127">
        <f t="shared" si="0"/>
        <v>103663339.71505794</v>
      </c>
      <c r="P38" s="127">
        <f t="shared" si="1"/>
        <v>-2292754.7438288629</v>
      </c>
      <c r="Q38" s="216">
        <f t="shared" si="2"/>
        <v>-2.1638724563583268E-2</v>
      </c>
      <c r="R38" s="176">
        <f t="shared" si="4"/>
        <v>2.1638724563583268E-2</v>
      </c>
      <c r="S38" s="13"/>
      <c r="U38" s="29" t="s">
        <v>143</v>
      </c>
      <c r="V38" s="29">
        <v>-9.5638212096740369E-3</v>
      </c>
      <c r="W38" s="29">
        <v>1.703728214209136E-2</v>
      </c>
      <c r="X38" s="29">
        <v>4.3403245414006088E-3</v>
      </c>
      <c r="Y38" s="29">
        <v>6.3495574207497784E-3</v>
      </c>
      <c r="Z38" s="29">
        <v>-4.2998355900002734E-2</v>
      </c>
      <c r="AA38" s="29">
        <v>1</v>
      </c>
      <c r="AB38" s="29"/>
      <c r="AC38" s="29"/>
      <c r="AD38" s="29"/>
    </row>
    <row r="39" spans="1:30">
      <c r="A39" s="250">
        <f t="shared" si="5"/>
        <v>36219</v>
      </c>
      <c r="B39" s="90">
        <v>92242601.200000003</v>
      </c>
      <c r="F39" s="159">
        <v>339649.12516641611</v>
      </c>
      <c r="G39" s="127">
        <f t="shared" si="3"/>
        <v>91902952.074833587</v>
      </c>
      <c r="H39" s="1">
        <v>578.4</v>
      </c>
      <c r="I39" s="1">
        <v>0</v>
      </c>
      <c r="J39" s="113">
        <v>28</v>
      </c>
      <c r="K39" s="113">
        <v>0</v>
      </c>
      <c r="L39" s="119">
        <v>319.87200000000001</v>
      </c>
      <c r="M39" s="195">
        <v>39744.333333333328</v>
      </c>
      <c r="N39" s="112">
        <v>0</v>
      </c>
      <c r="O39" s="127">
        <f t="shared" si="0"/>
        <v>91287729.120141745</v>
      </c>
      <c r="P39" s="127">
        <f t="shared" si="1"/>
        <v>-615222.9546918422</v>
      </c>
      <c r="Q39" s="216">
        <f t="shared" si="2"/>
        <v>-6.6942676029697733E-3</v>
      </c>
      <c r="R39" s="176">
        <f t="shared" si="4"/>
        <v>6.6942676029697733E-3</v>
      </c>
      <c r="S39" s="13"/>
      <c r="U39" s="29" t="s">
        <v>120</v>
      </c>
      <c r="V39" s="29">
        <v>-1.1586830733050212E-2</v>
      </c>
      <c r="W39" s="29">
        <v>1.9700183341734054E-2</v>
      </c>
      <c r="X39" s="29">
        <v>6.5138380868926494E-3</v>
      </c>
      <c r="Y39" s="29">
        <v>6.8415463805209702E-3</v>
      </c>
      <c r="Z39" s="29">
        <v>-4.3122690777106155E-2</v>
      </c>
      <c r="AA39" s="260">
        <v>0.77419915971920517</v>
      </c>
      <c r="AB39" s="29">
        <v>1</v>
      </c>
      <c r="AC39" s="29"/>
      <c r="AD39" s="29"/>
    </row>
    <row r="40" spans="1:30">
      <c r="A40" s="250">
        <f t="shared" si="5"/>
        <v>36250</v>
      </c>
      <c r="B40" s="90">
        <v>99528298.800000012</v>
      </c>
      <c r="F40" s="159">
        <v>366476.00107705622</v>
      </c>
      <c r="G40" s="127">
        <f t="shared" si="3"/>
        <v>99161822.798922956</v>
      </c>
      <c r="H40" s="1">
        <v>592.5</v>
      </c>
      <c r="I40" s="1">
        <v>0</v>
      </c>
      <c r="J40" s="113">
        <v>31</v>
      </c>
      <c r="K40" s="113">
        <v>1</v>
      </c>
      <c r="L40" s="119">
        <v>368.28</v>
      </c>
      <c r="M40" s="195">
        <v>39832.5</v>
      </c>
      <c r="N40" s="112">
        <v>0</v>
      </c>
      <c r="O40" s="127">
        <f t="shared" si="0"/>
        <v>99313654.435999334</v>
      </c>
      <c r="P40" s="127">
        <f t="shared" si="1"/>
        <v>151831.63707637787</v>
      </c>
      <c r="Q40" s="216">
        <f t="shared" si="2"/>
        <v>1.5311501220006516E-3</v>
      </c>
      <c r="R40" s="176">
        <f t="shared" si="4"/>
        <v>1.5311501220006516E-3</v>
      </c>
      <c r="S40" s="13"/>
      <c r="U40" s="29" t="s">
        <v>107</v>
      </c>
      <c r="V40" s="29">
        <v>-2.8870316615419677E-2</v>
      </c>
      <c r="W40" s="29">
        <v>5.5136196701061492E-2</v>
      </c>
      <c r="X40" s="29">
        <v>2.143361160261463E-2</v>
      </c>
      <c r="Y40" s="29">
        <v>-1.806969690991482E-2</v>
      </c>
      <c r="Z40" s="29">
        <v>-3.7496763198750262E-2</v>
      </c>
      <c r="AA40" s="260">
        <v>0.98059429487240346</v>
      </c>
      <c r="AB40" s="260">
        <v>0.77813397070019696</v>
      </c>
      <c r="AC40" s="29">
        <v>1</v>
      </c>
      <c r="AD40" s="29"/>
    </row>
    <row r="41" spans="1:30" ht="13.5" thickBot="1">
      <c r="A41" s="250">
        <f t="shared" si="5"/>
        <v>36280</v>
      </c>
      <c r="B41" s="90">
        <v>85709380.400000006</v>
      </c>
      <c r="F41" s="159">
        <v>315592.96564390004</v>
      </c>
      <c r="G41" s="127">
        <f t="shared" si="3"/>
        <v>85393787.434356108</v>
      </c>
      <c r="H41" s="1">
        <v>332.6</v>
      </c>
      <c r="I41" s="1">
        <v>0</v>
      </c>
      <c r="J41" s="113">
        <v>30</v>
      </c>
      <c r="K41" s="113">
        <v>1</v>
      </c>
      <c r="L41" s="119">
        <v>336.24</v>
      </c>
      <c r="M41" s="195">
        <v>39920.666666666657</v>
      </c>
      <c r="N41" s="112">
        <v>0</v>
      </c>
      <c r="O41" s="127">
        <f t="shared" si="0"/>
        <v>88093342.720759183</v>
      </c>
      <c r="P41" s="127">
        <f t="shared" si="1"/>
        <v>2699555.2864030749</v>
      </c>
      <c r="Q41" s="216">
        <f t="shared" si="2"/>
        <v>3.161301738113298E-2</v>
      </c>
      <c r="R41" s="176">
        <f t="shared" si="4"/>
        <v>3.161301738113298E-2</v>
      </c>
      <c r="S41" s="13"/>
      <c r="U41" s="30" t="s">
        <v>142</v>
      </c>
      <c r="V41" s="30">
        <v>-0.22295450177298559</v>
      </c>
      <c r="W41" s="30">
        <v>0.1063294308946662</v>
      </c>
      <c r="X41" s="30">
        <v>2.6659521770567179E-3</v>
      </c>
      <c r="Y41" s="30">
        <v>4.7256544913892487E-2</v>
      </c>
      <c r="Z41" s="30">
        <v>-4.4319632944019201E-3</v>
      </c>
      <c r="AA41" s="30">
        <v>0.28546682482026831</v>
      </c>
      <c r="AB41" s="30">
        <v>1.769046535488589E-2</v>
      </c>
      <c r="AC41" s="30">
        <v>0.16184762349185969</v>
      </c>
      <c r="AD41" s="30">
        <v>1</v>
      </c>
    </row>
    <row r="42" spans="1:30">
      <c r="A42" s="250">
        <f t="shared" si="5"/>
        <v>36311</v>
      </c>
      <c r="B42" s="90">
        <v>85001059.299999997</v>
      </c>
      <c r="F42" s="159">
        <v>312984.83622406406</v>
      </c>
      <c r="G42" s="127">
        <f t="shared" si="3"/>
        <v>84688074.463775933</v>
      </c>
      <c r="H42" s="1">
        <v>126.7</v>
      </c>
      <c r="I42" s="1">
        <v>10.5</v>
      </c>
      <c r="J42" s="113">
        <v>31</v>
      </c>
      <c r="K42" s="113">
        <v>1</v>
      </c>
      <c r="L42" s="119">
        <v>319.92</v>
      </c>
      <c r="M42" s="195">
        <v>40008.833333333321</v>
      </c>
      <c r="N42" s="112">
        <v>0</v>
      </c>
      <c r="O42" s="127">
        <f t="shared" si="0"/>
        <v>86101830.892544568</v>
      </c>
      <c r="P42" s="127">
        <f t="shared" si="1"/>
        <v>1413756.4287686348</v>
      </c>
      <c r="Q42" s="216">
        <f t="shared" si="2"/>
        <v>1.6693689610021163E-2</v>
      </c>
      <c r="R42" s="176">
        <f t="shared" si="4"/>
        <v>1.6693689610021163E-2</v>
      </c>
      <c r="S42" s="13"/>
      <c r="U42" s="75"/>
      <c r="V42" s="75"/>
      <c r="W42" s="222"/>
      <c r="X42" s="75"/>
      <c r="Y42" s="75"/>
      <c r="Z42" s="75"/>
      <c r="AA42" s="75"/>
      <c r="AB42" s="75"/>
      <c r="AC42" s="75"/>
    </row>
    <row r="43" spans="1:30">
      <c r="A43" s="250">
        <f t="shared" si="5"/>
        <v>36341</v>
      </c>
      <c r="B43" s="90">
        <v>96876658</v>
      </c>
      <c r="F43" s="159">
        <v>356712.31850241974</v>
      </c>
      <c r="G43" s="127">
        <f t="shared" si="3"/>
        <v>96519945.681497574</v>
      </c>
      <c r="H43" s="1">
        <v>44.4</v>
      </c>
      <c r="I43" s="1">
        <v>76.5</v>
      </c>
      <c r="J43" s="113">
        <v>30</v>
      </c>
      <c r="K43" s="113">
        <v>0</v>
      </c>
      <c r="L43" s="119">
        <v>352.08</v>
      </c>
      <c r="M43" s="195">
        <v>40097</v>
      </c>
      <c r="N43" s="112">
        <v>0</v>
      </c>
      <c r="O43" s="127">
        <f t="shared" si="0"/>
        <v>100423143.48707314</v>
      </c>
      <c r="P43" s="127">
        <f t="shared" si="1"/>
        <v>3903197.8055755645</v>
      </c>
      <c r="Q43" s="216">
        <f t="shared" si="2"/>
        <v>4.043928721691966E-2</v>
      </c>
      <c r="R43" s="176">
        <f t="shared" si="4"/>
        <v>4.043928721691966E-2</v>
      </c>
      <c r="S43" s="13"/>
      <c r="U43" s="29"/>
      <c r="V43" s="261"/>
      <c r="W43" s="222" t="s">
        <v>148</v>
      </c>
      <c r="X43" s="166"/>
      <c r="Y43" s="166"/>
      <c r="Z43" s="166"/>
      <c r="AA43" s="166"/>
      <c r="AB43" s="166"/>
      <c r="AC43" s="166"/>
    </row>
    <row r="44" spans="1:30">
      <c r="A44" s="250">
        <f t="shared" si="5"/>
        <v>36372</v>
      </c>
      <c r="B44" s="90">
        <v>102363581.69999999</v>
      </c>
      <c r="F44" s="159">
        <v>376915.8774905185</v>
      </c>
      <c r="G44" s="127">
        <f t="shared" si="3"/>
        <v>101986665.82250947</v>
      </c>
      <c r="H44" s="1">
        <v>3.2</v>
      </c>
      <c r="I44" s="1">
        <v>138.9</v>
      </c>
      <c r="J44" s="113">
        <v>31</v>
      </c>
      <c r="K44" s="113">
        <v>0</v>
      </c>
      <c r="L44" s="119">
        <v>336.28800000000001</v>
      </c>
      <c r="M44" s="195">
        <v>40185.16666666665</v>
      </c>
      <c r="N44" s="112">
        <v>0</v>
      </c>
      <c r="O44" s="127">
        <f t="shared" si="0"/>
        <v>114392495.81349844</v>
      </c>
      <c r="P44" s="127">
        <f t="shared" si="1"/>
        <v>12405829.99098897</v>
      </c>
      <c r="Q44" s="216">
        <f t="shared" si="2"/>
        <v>0.12164168610609565</v>
      </c>
      <c r="R44" s="176">
        <f t="shared" si="4"/>
        <v>0.12164168610609565</v>
      </c>
      <c r="S44" s="13"/>
      <c r="U44" s="215"/>
      <c r="V44" s="166"/>
      <c r="W44" s="166"/>
      <c r="X44" s="166"/>
      <c r="Y44" s="166"/>
      <c r="Z44" s="166"/>
      <c r="AA44" s="166"/>
      <c r="AB44" s="166"/>
      <c r="AC44" s="166"/>
    </row>
    <row r="45" spans="1:30">
      <c r="A45" s="250">
        <f t="shared" si="5"/>
        <v>36403</v>
      </c>
      <c r="B45" s="90">
        <v>92128741.799999997</v>
      </c>
      <c r="F45" s="159">
        <v>339229.88020694099</v>
      </c>
      <c r="G45" s="127">
        <f t="shared" si="3"/>
        <v>91789511.919793054</v>
      </c>
      <c r="H45" s="1">
        <v>28.8</v>
      </c>
      <c r="I45" s="1">
        <v>30.9</v>
      </c>
      <c r="J45" s="113">
        <v>31</v>
      </c>
      <c r="K45" s="113">
        <v>0</v>
      </c>
      <c r="L45" s="119">
        <v>336.28800000000001</v>
      </c>
      <c r="M45" s="195">
        <v>40273.333333333314</v>
      </c>
      <c r="N45" s="112">
        <v>0</v>
      </c>
      <c r="O45" s="127">
        <f t="shared" si="0"/>
        <v>91744646.548373491</v>
      </c>
      <c r="P45" s="127">
        <f t="shared" si="1"/>
        <v>-44865.37141956389</v>
      </c>
      <c r="Q45" s="216">
        <f t="shared" si="2"/>
        <v>-4.8878537951882646E-4</v>
      </c>
      <c r="R45" s="176">
        <f t="shared" si="4"/>
        <v>4.8878537951882646E-4</v>
      </c>
      <c r="S45" s="13"/>
      <c r="U45" s="215"/>
      <c r="V45" s="166"/>
      <c r="W45" s="166"/>
      <c r="X45" s="166"/>
      <c r="Y45" s="166"/>
      <c r="Z45" s="166"/>
      <c r="AA45" s="166"/>
      <c r="AB45" s="166"/>
      <c r="AC45" s="166"/>
    </row>
    <row r="46" spans="1:30" ht="12.75" customHeight="1">
      <c r="A46" s="250">
        <f t="shared" si="5"/>
        <v>36433</v>
      </c>
      <c r="B46" s="90">
        <v>90659575.300000012</v>
      </c>
      <c r="F46" s="159">
        <v>333820.22013711196</v>
      </c>
      <c r="G46" s="127">
        <f t="shared" si="3"/>
        <v>90325755.079862893</v>
      </c>
      <c r="H46" s="1">
        <v>88.9</v>
      </c>
      <c r="I46" s="1">
        <v>27.7</v>
      </c>
      <c r="J46" s="113">
        <v>30</v>
      </c>
      <c r="K46" s="113">
        <v>1</v>
      </c>
      <c r="L46" s="119">
        <v>336.24</v>
      </c>
      <c r="M46" s="195">
        <v>40361.5</v>
      </c>
      <c r="N46" s="112">
        <v>0</v>
      </c>
      <c r="O46" s="127">
        <f t="shared" si="0"/>
        <v>88456676.043472677</v>
      </c>
      <c r="P46" s="127">
        <f t="shared" si="1"/>
        <v>-1869079.0363902152</v>
      </c>
      <c r="Q46" s="216">
        <f t="shared" si="2"/>
        <v>-2.0692647791736039E-2</v>
      </c>
      <c r="R46" s="176">
        <f t="shared" si="4"/>
        <v>2.0692647791736039E-2</v>
      </c>
      <c r="S46" s="13"/>
      <c r="U46" s="223"/>
      <c r="V46" s="166"/>
      <c r="W46" s="166"/>
      <c r="X46" s="166"/>
      <c r="Y46" s="166"/>
      <c r="Z46" s="166"/>
      <c r="AA46" s="166"/>
      <c r="AB46" s="166"/>
      <c r="AC46" s="166"/>
    </row>
    <row r="47" spans="1:30" ht="12.75" customHeight="1">
      <c r="A47" s="250">
        <f t="shared" si="5"/>
        <v>36464</v>
      </c>
      <c r="B47" s="90">
        <v>91210638</v>
      </c>
      <c r="F47" s="159">
        <v>335849.30389593856</v>
      </c>
      <c r="G47" s="127">
        <f t="shared" si="3"/>
        <v>90874788.696104065</v>
      </c>
      <c r="H47" s="1">
        <v>319</v>
      </c>
      <c r="I47" s="1">
        <v>0</v>
      </c>
      <c r="J47" s="113">
        <v>31</v>
      </c>
      <c r="K47" s="113">
        <v>1</v>
      </c>
      <c r="L47" s="119">
        <v>319.92</v>
      </c>
      <c r="M47" s="195">
        <v>40449.666666666642</v>
      </c>
      <c r="N47" s="112">
        <v>0</v>
      </c>
      <c r="O47" s="127">
        <f t="shared" si="0"/>
        <v>90286853.450939238</v>
      </c>
      <c r="P47" s="127">
        <f t="shared" si="1"/>
        <v>-587935.24516482651</v>
      </c>
      <c r="Q47" s="216">
        <f t="shared" si="2"/>
        <v>-6.4697288830123266E-3</v>
      </c>
      <c r="R47" s="176">
        <f t="shared" si="4"/>
        <v>6.4697288830123266E-3</v>
      </c>
      <c r="S47" s="13"/>
      <c r="U47" s="224"/>
      <c r="V47" s="224"/>
      <c r="W47" s="224"/>
      <c r="X47" s="224"/>
      <c r="Y47" s="224"/>
      <c r="Z47" s="224"/>
      <c r="AA47" s="224"/>
      <c r="AB47" s="224"/>
      <c r="AC47" s="224"/>
    </row>
    <row r="48" spans="1:30" ht="12.75" customHeight="1">
      <c r="A48" s="250">
        <f t="shared" si="5"/>
        <v>36494</v>
      </c>
      <c r="B48" s="90">
        <v>95821859.299999997</v>
      </c>
      <c r="F48" s="159">
        <v>352828.4139830221</v>
      </c>
      <c r="G48" s="127">
        <f t="shared" si="3"/>
        <v>95469030.88601698</v>
      </c>
      <c r="H48" s="1">
        <v>405.1</v>
      </c>
      <c r="I48" s="1">
        <v>0</v>
      </c>
      <c r="J48" s="113">
        <v>30</v>
      </c>
      <c r="K48" s="113">
        <v>1</v>
      </c>
      <c r="L48" s="119">
        <v>352.08</v>
      </c>
      <c r="M48" s="195">
        <v>40537.833333333307</v>
      </c>
      <c r="N48" s="112">
        <v>0</v>
      </c>
      <c r="O48" s="127">
        <f t="shared" si="0"/>
        <v>92642234.495303139</v>
      </c>
      <c r="P48" s="127">
        <f t="shared" si="1"/>
        <v>-2826796.3907138407</v>
      </c>
      <c r="Q48" s="216">
        <f t="shared" si="2"/>
        <v>-2.9609564111830446E-2</v>
      </c>
      <c r="R48" s="176">
        <f t="shared" si="4"/>
        <v>2.9609564111830446E-2</v>
      </c>
      <c r="S48" s="13"/>
      <c r="U48" s="224"/>
      <c r="V48" s="224"/>
      <c r="W48" s="224"/>
      <c r="X48" s="224"/>
      <c r="Y48" s="224"/>
      <c r="Z48" s="224"/>
      <c r="AA48" s="224"/>
      <c r="AB48" s="224"/>
      <c r="AC48" s="224"/>
    </row>
    <row r="49" spans="1:29">
      <c r="A49" s="250">
        <f t="shared" si="5"/>
        <v>36525</v>
      </c>
      <c r="B49" s="90">
        <v>102947032</v>
      </c>
      <c r="F49" s="159">
        <v>379064.21655939863</v>
      </c>
      <c r="G49" s="127">
        <f t="shared" si="3"/>
        <v>102567967.7834406</v>
      </c>
      <c r="H49" s="1">
        <v>623.70000000000005</v>
      </c>
      <c r="I49" s="1">
        <v>0</v>
      </c>
      <c r="J49" s="113">
        <v>31</v>
      </c>
      <c r="K49" s="113">
        <v>0</v>
      </c>
      <c r="L49" s="119">
        <v>336.28800000000001</v>
      </c>
      <c r="M49" s="195">
        <v>40626</v>
      </c>
      <c r="N49" s="112">
        <v>0</v>
      </c>
      <c r="O49" s="127">
        <f t="shared" si="0"/>
        <v>102484031.92182174</v>
      </c>
      <c r="P49" s="127">
        <f t="shared" si="1"/>
        <v>-83935.861618861556</v>
      </c>
      <c r="Q49" s="216">
        <f t="shared" si="2"/>
        <v>-8.1834381077025521E-4</v>
      </c>
      <c r="R49" s="176">
        <f t="shared" si="4"/>
        <v>8.1834381077025521E-4</v>
      </c>
      <c r="S49" s="13"/>
      <c r="U49" s="75"/>
      <c r="V49" s="75"/>
      <c r="W49" s="75"/>
      <c r="X49" s="75"/>
      <c r="Y49" s="75"/>
      <c r="Z49" s="75"/>
      <c r="AA49" s="75"/>
      <c r="AB49" s="75"/>
      <c r="AC49" s="75"/>
    </row>
    <row r="50" spans="1:29">
      <c r="A50" s="250">
        <f t="shared" si="5"/>
        <v>36556</v>
      </c>
      <c r="B50" s="90">
        <v>108597914.09999999</v>
      </c>
      <c r="F50" s="159">
        <v>359435.44718494586</v>
      </c>
      <c r="G50" s="127">
        <f t="shared" si="3"/>
        <v>108238478.65281504</v>
      </c>
      <c r="H50" s="1">
        <v>773</v>
      </c>
      <c r="I50" s="1">
        <v>0</v>
      </c>
      <c r="J50" s="10">
        <v>31</v>
      </c>
      <c r="K50" s="16">
        <v>0</v>
      </c>
      <c r="L50" s="119">
        <v>319.92</v>
      </c>
      <c r="M50" s="195">
        <v>40715.5</v>
      </c>
      <c r="N50" s="112">
        <v>0</v>
      </c>
      <c r="O50" s="127">
        <f t="shared" si="0"/>
        <v>105875097.68153058</v>
      </c>
      <c r="P50" s="127">
        <f t="shared" si="1"/>
        <v>-2363380.971284464</v>
      </c>
      <c r="Q50" s="216">
        <f t="shared" si="2"/>
        <v>-2.1834942625766459E-2</v>
      </c>
      <c r="R50" s="176">
        <f t="shared" si="4"/>
        <v>2.1834942625766459E-2</v>
      </c>
      <c r="S50" s="13"/>
      <c r="U50" s="29"/>
      <c r="V50" s="29"/>
      <c r="W50" s="29"/>
      <c r="X50" s="29"/>
      <c r="Y50" s="29"/>
      <c r="Z50" s="29"/>
      <c r="AA50" s="29"/>
      <c r="AB50" s="29"/>
      <c r="AC50" s="29"/>
    </row>
    <row r="51" spans="1:29">
      <c r="A51" s="250">
        <f t="shared" si="5"/>
        <v>36585</v>
      </c>
      <c r="B51" s="90">
        <v>99596964</v>
      </c>
      <c r="F51" s="159">
        <v>329644.26241777104</v>
      </c>
      <c r="G51" s="127">
        <f t="shared" si="3"/>
        <v>99267319.737582222</v>
      </c>
      <c r="H51" s="1">
        <v>643.79999999999995</v>
      </c>
      <c r="I51" s="1">
        <v>0</v>
      </c>
      <c r="J51" s="10">
        <v>29</v>
      </c>
      <c r="K51" s="16">
        <v>0</v>
      </c>
      <c r="L51" s="119">
        <v>336.16799999999995</v>
      </c>
      <c r="M51" s="195">
        <v>40805</v>
      </c>
      <c r="N51" s="112">
        <v>0</v>
      </c>
      <c r="O51" s="127">
        <f t="shared" si="0"/>
        <v>99020657.399586841</v>
      </c>
      <c r="P51" s="127">
        <f t="shared" si="1"/>
        <v>-246662.33799538016</v>
      </c>
      <c r="Q51" s="216">
        <f t="shared" si="2"/>
        <v>-2.4848292333009849E-3</v>
      </c>
      <c r="R51" s="176">
        <f t="shared" si="4"/>
        <v>2.4848292333009849E-3</v>
      </c>
      <c r="S51" s="13"/>
      <c r="U51" s="29"/>
      <c r="V51" s="29"/>
      <c r="W51" s="29"/>
      <c r="X51" s="29"/>
      <c r="Y51" s="29"/>
      <c r="Z51" s="29"/>
      <c r="AA51" s="29"/>
      <c r="AB51" s="29"/>
      <c r="AC51" s="29"/>
    </row>
    <row r="52" spans="1:29">
      <c r="A52" s="250">
        <f t="shared" si="5"/>
        <v>36616</v>
      </c>
      <c r="B52" s="90">
        <v>99214146.400000006</v>
      </c>
      <c r="F52" s="159">
        <v>328377.21952485177</v>
      </c>
      <c r="G52" s="127">
        <f t="shared" si="3"/>
        <v>98885769.18047516</v>
      </c>
      <c r="H52" s="1">
        <v>446.9</v>
      </c>
      <c r="I52" s="1">
        <v>0</v>
      </c>
      <c r="J52" s="10">
        <v>31</v>
      </c>
      <c r="K52" s="16">
        <v>1</v>
      </c>
      <c r="L52" s="119">
        <v>368.28</v>
      </c>
      <c r="M52" s="195">
        <v>40894.5</v>
      </c>
      <c r="N52" s="112">
        <v>0</v>
      </c>
      <c r="O52" s="127">
        <f t="shared" si="0"/>
        <v>97933260.35600248</v>
      </c>
      <c r="P52" s="127">
        <f t="shared" si="1"/>
        <v>-952508.82447268069</v>
      </c>
      <c r="Q52" s="216">
        <f t="shared" si="2"/>
        <v>-9.6324155878715866E-3</v>
      </c>
      <c r="R52" s="176">
        <f t="shared" si="4"/>
        <v>9.6324155878715866E-3</v>
      </c>
      <c r="S52" s="13"/>
      <c r="U52" s="29"/>
      <c r="V52" s="29"/>
      <c r="W52" s="29"/>
      <c r="X52" s="29"/>
      <c r="Y52" s="29"/>
      <c r="Z52" s="29"/>
      <c r="AA52" s="29"/>
      <c r="AB52" s="29"/>
      <c r="AC52" s="29"/>
    </row>
    <row r="53" spans="1:29">
      <c r="A53" s="250">
        <f t="shared" si="5"/>
        <v>36646</v>
      </c>
      <c r="B53" s="90">
        <v>89981304.599999994</v>
      </c>
      <c r="F53" s="159">
        <v>297818.52372784965</v>
      </c>
      <c r="G53" s="127">
        <f t="shared" si="3"/>
        <v>89683486.076272145</v>
      </c>
      <c r="H53" s="1">
        <v>358.3</v>
      </c>
      <c r="I53" s="1">
        <v>0</v>
      </c>
      <c r="J53" s="10">
        <v>30</v>
      </c>
      <c r="K53" s="16">
        <v>1</v>
      </c>
      <c r="L53" s="119">
        <v>303.83999999999997</v>
      </c>
      <c r="M53" s="195">
        <v>40984</v>
      </c>
      <c r="N53" s="112">
        <v>0</v>
      </c>
      <c r="O53" s="127">
        <f t="shared" si="0"/>
        <v>89515535.377273232</v>
      </c>
      <c r="P53" s="127">
        <f t="shared" si="1"/>
        <v>-167950.69899891317</v>
      </c>
      <c r="Q53" s="216">
        <f t="shared" si="2"/>
        <v>-1.8727048461974142E-3</v>
      </c>
      <c r="R53" s="176">
        <f t="shared" si="4"/>
        <v>1.8727048461974142E-3</v>
      </c>
      <c r="S53" s="13"/>
      <c r="U53" s="29"/>
      <c r="V53" s="29"/>
      <c r="W53" s="29"/>
      <c r="X53" s="29"/>
      <c r="Y53" s="29"/>
      <c r="Z53" s="29"/>
      <c r="AA53" s="29"/>
      <c r="AB53" s="29"/>
      <c r="AC53" s="29"/>
    </row>
    <row r="54" spans="1:29">
      <c r="A54" s="250">
        <f t="shared" si="5"/>
        <v>36677</v>
      </c>
      <c r="B54" s="90">
        <v>91415320.599999994</v>
      </c>
      <c r="F54" s="159">
        <v>302564.80441382807</v>
      </c>
      <c r="G54" s="127">
        <f t="shared" si="3"/>
        <v>91112755.795586169</v>
      </c>
      <c r="H54" s="1">
        <v>152.4</v>
      </c>
      <c r="I54" s="1">
        <v>18.7</v>
      </c>
      <c r="J54" s="10">
        <v>31</v>
      </c>
      <c r="K54" s="16">
        <v>1</v>
      </c>
      <c r="L54" s="119">
        <v>351.91199999999998</v>
      </c>
      <c r="M54" s="195">
        <v>41073.5</v>
      </c>
      <c r="N54" s="112">
        <v>0</v>
      </c>
      <c r="O54" s="127">
        <f t="shared" si="0"/>
        <v>93252678.329646155</v>
      </c>
      <c r="P54" s="127">
        <f t="shared" si="1"/>
        <v>2139922.5340599865</v>
      </c>
      <c r="Q54" s="216">
        <f t="shared" si="2"/>
        <v>2.3486530677010342E-2</v>
      </c>
      <c r="R54" s="176">
        <f t="shared" si="4"/>
        <v>2.3486530677010342E-2</v>
      </c>
      <c r="S54" s="13"/>
      <c r="U54" s="29"/>
      <c r="V54" s="29"/>
      <c r="W54" s="29"/>
      <c r="X54" s="29"/>
      <c r="Y54" s="29"/>
      <c r="Z54" s="29"/>
      <c r="AA54" s="29"/>
      <c r="AB54" s="29"/>
      <c r="AC54" s="29"/>
    </row>
    <row r="55" spans="1:29">
      <c r="A55" s="250">
        <f t="shared" si="5"/>
        <v>36707</v>
      </c>
      <c r="B55" s="90">
        <v>95569834.700000003</v>
      </c>
      <c r="F55" s="159">
        <v>316315.34139002272</v>
      </c>
      <c r="G55" s="127">
        <f t="shared" si="3"/>
        <v>95253519.358609974</v>
      </c>
      <c r="H55" s="1">
        <v>41.1</v>
      </c>
      <c r="I55" s="1">
        <v>35.4</v>
      </c>
      <c r="J55" s="10">
        <v>30</v>
      </c>
      <c r="K55" s="16">
        <v>0</v>
      </c>
      <c r="L55" s="119">
        <v>352.08</v>
      </c>
      <c r="M55" s="195">
        <v>41163</v>
      </c>
      <c r="N55" s="112">
        <v>0</v>
      </c>
      <c r="O55" s="127">
        <f t="shared" si="0"/>
        <v>94047505.054437742</v>
      </c>
      <c r="P55" s="127">
        <f t="shared" si="1"/>
        <v>-1206014.3041722327</v>
      </c>
      <c r="Q55" s="216">
        <f t="shared" si="2"/>
        <v>-1.2661099687370459E-2</v>
      </c>
      <c r="R55" s="176">
        <f t="shared" si="4"/>
        <v>1.2661099687370459E-2</v>
      </c>
      <c r="S55" s="13"/>
      <c r="U55" s="29"/>
      <c r="V55" s="29"/>
      <c r="W55" s="29"/>
      <c r="X55" s="29"/>
      <c r="Y55" s="29"/>
      <c r="Z55" s="29"/>
      <c r="AA55" s="29"/>
      <c r="AB55" s="29"/>
      <c r="AC55" s="29"/>
    </row>
    <row r="56" spans="1:29">
      <c r="A56" s="250">
        <f t="shared" si="5"/>
        <v>36738</v>
      </c>
      <c r="B56" s="90">
        <v>95254772.599999994</v>
      </c>
      <c r="F56" s="159">
        <v>315272.55444753828</v>
      </c>
      <c r="G56" s="127">
        <f t="shared" si="3"/>
        <v>94939500.045552462</v>
      </c>
      <c r="H56" s="1">
        <v>18.600000000000001</v>
      </c>
      <c r="I56" s="1">
        <v>44.8</v>
      </c>
      <c r="J56" s="10">
        <v>31</v>
      </c>
      <c r="K56" s="16">
        <v>0</v>
      </c>
      <c r="L56" s="119">
        <v>319.92</v>
      </c>
      <c r="M56" s="195">
        <v>41252.5</v>
      </c>
      <c r="N56" s="112">
        <v>0</v>
      </c>
      <c r="O56" s="127">
        <f t="shared" si="0"/>
        <v>95967815.574188352</v>
      </c>
      <c r="P56" s="127">
        <f t="shared" si="1"/>
        <v>1028315.5286358893</v>
      </c>
      <c r="Q56" s="216">
        <f t="shared" si="2"/>
        <v>1.083127179037701E-2</v>
      </c>
      <c r="R56" s="176">
        <f t="shared" si="4"/>
        <v>1.083127179037701E-2</v>
      </c>
      <c r="S56" s="13"/>
      <c r="U56" s="29"/>
      <c r="V56" s="29"/>
      <c r="W56" s="29"/>
      <c r="X56" s="29"/>
      <c r="Y56" s="29"/>
      <c r="Z56" s="29"/>
      <c r="AA56" s="29"/>
      <c r="AB56" s="29"/>
      <c r="AC56" s="29"/>
    </row>
    <row r="57" spans="1:29">
      <c r="A57" s="250">
        <f t="shared" si="5"/>
        <v>36769</v>
      </c>
      <c r="B57" s="90">
        <v>97935080.400000006</v>
      </c>
      <c r="F57" s="159">
        <v>324143.7895966699</v>
      </c>
      <c r="G57" s="127">
        <f t="shared" si="3"/>
        <v>97610936.610403329</v>
      </c>
      <c r="H57" s="1">
        <v>29.7</v>
      </c>
      <c r="I57" s="1">
        <v>46.3</v>
      </c>
      <c r="J57" s="10">
        <v>31</v>
      </c>
      <c r="K57" s="16">
        <v>0</v>
      </c>
      <c r="L57" s="119">
        <v>351.91199999999998</v>
      </c>
      <c r="M57" s="195">
        <v>41342</v>
      </c>
      <c r="N57" s="112">
        <v>0</v>
      </c>
      <c r="O57" s="127">
        <f t="shared" si="0"/>
        <v>98785878.849573046</v>
      </c>
      <c r="P57" s="127">
        <f t="shared" si="1"/>
        <v>1174942.2391697168</v>
      </c>
      <c r="Q57" s="216">
        <f t="shared" si="2"/>
        <v>1.2036993803873531E-2</v>
      </c>
      <c r="R57" s="176">
        <f t="shared" si="4"/>
        <v>1.2036993803873531E-2</v>
      </c>
      <c r="S57" s="13"/>
      <c r="U57" s="29"/>
      <c r="V57" s="29"/>
      <c r="W57" s="29"/>
      <c r="X57" s="29"/>
      <c r="Y57" s="29"/>
      <c r="Z57" s="29"/>
      <c r="AA57" s="29"/>
      <c r="AB57" s="29"/>
      <c r="AC57" s="29"/>
    </row>
    <row r="58" spans="1:29">
      <c r="A58" s="250">
        <f t="shared" si="5"/>
        <v>36799</v>
      </c>
      <c r="B58" s="90">
        <v>93176991.199999988</v>
      </c>
      <c r="F58" s="159">
        <v>308395.55047512433</v>
      </c>
      <c r="G58" s="127">
        <f t="shared" si="3"/>
        <v>92868595.649524868</v>
      </c>
      <c r="H58" s="1">
        <v>134</v>
      </c>
      <c r="I58" s="1">
        <v>23.8</v>
      </c>
      <c r="J58" s="10">
        <v>30</v>
      </c>
      <c r="K58" s="16">
        <v>1</v>
      </c>
      <c r="L58" s="119">
        <v>319.68</v>
      </c>
      <c r="M58" s="195">
        <v>41431.5</v>
      </c>
      <c r="N58" s="112">
        <v>0</v>
      </c>
      <c r="O58" s="127">
        <f t="shared" si="0"/>
        <v>90553146.60403654</v>
      </c>
      <c r="P58" s="127">
        <f t="shared" si="1"/>
        <v>-2315449.0454883277</v>
      </c>
      <c r="Q58" s="216">
        <f t="shared" si="2"/>
        <v>-2.4932529982757138E-2</v>
      </c>
      <c r="R58" s="176">
        <f t="shared" si="4"/>
        <v>2.4932529982757138E-2</v>
      </c>
      <c r="S58" s="13"/>
      <c r="U58" s="29"/>
      <c r="V58" s="29"/>
      <c r="W58" s="29"/>
      <c r="X58" s="29"/>
      <c r="Y58" s="29"/>
      <c r="Z58" s="29"/>
      <c r="AA58" s="224"/>
      <c r="AB58" s="224"/>
      <c r="AC58" s="224"/>
    </row>
    <row r="59" spans="1:29">
      <c r="A59" s="250">
        <f t="shared" si="5"/>
        <v>36830</v>
      </c>
      <c r="B59" s="90">
        <v>94348312.700000003</v>
      </c>
      <c r="F59" s="159">
        <v>312272.36957095115</v>
      </c>
      <c r="G59" s="127">
        <f t="shared" si="3"/>
        <v>94036040.330429047</v>
      </c>
      <c r="H59" s="1">
        <v>251.6</v>
      </c>
      <c r="I59" s="1">
        <v>0</v>
      </c>
      <c r="J59" s="10">
        <v>31</v>
      </c>
      <c r="K59" s="16">
        <v>1</v>
      </c>
      <c r="L59" s="119">
        <v>336.28800000000001</v>
      </c>
      <c r="M59" s="195">
        <v>41521</v>
      </c>
      <c r="N59" s="112">
        <v>0</v>
      </c>
      <c r="O59" s="127">
        <f t="shared" si="0"/>
        <v>92111824.52946572</v>
      </c>
      <c r="P59" s="127">
        <f t="shared" si="1"/>
        <v>-1924215.8009633273</v>
      </c>
      <c r="Q59" s="216">
        <f t="shared" si="2"/>
        <v>-2.0462535366247998E-2</v>
      </c>
      <c r="R59" s="176">
        <f t="shared" si="4"/>
        <v>2.0462535366247998E-2</v>
      </c>
      <c r="S59" s="13"/>
      <c r="U59" s="29"/>
      <c r="V59" s="29"/>
      <c r="W59" s="29"/>
      <c r="X59" s="29"/>
      <c r="Y59" s="29"/>
      <c r="Z59" s="29"/>
      <c r="AA59" s="224"/>
      <c r="AB59" s="224"/>
      <c r="AC59" s="224"/>
    </row>
    <row r="60" spans="1:29">
      <c r="A60" s="250">
        <f t="shared" si="5"/>
        <v>36860</v>
      </c>
      <c r="B60" s="90">
        <v>100873405</v>
      </c>
      <c r="F60" s="159">
        <v>333869.00416757778</v>
      </c>
      <c r="G60" s="127">
        <f t="shared" si="3"/>
        <v>100539535.99583243</v>
      </c>
      <c r="H60" s="1">
        <v>470.9</v>
      </c>
      <c r="I60" s="1">
        <v>0</v>
      </c>
      <c r="J60" s="10">
        <v>30</v>
      </c>
      <c r="K60" s="16">
        <v>1</v>
      </c>
      <c r="L60" s="119">
        <v>352.08</v>
      </c>
      <c r="M60" s="195">
        <v>41610.5</v>
      </c>
      <c r="N60" s="112">
        <v>0</v>
      </c>
      <c r="O60" s="127">
        <f t="shared" si="0"/>
        <v>97186482.799947396</v>
      </c>
      <c r="P60" s="127">
        <f t="shared" si="1"/>
        <v>-3353053.1958850324</v>
      </c>
      <c r="Q60" s="216">
        <f t="shared" si="2"/>
        <v>-3.3350593502082838E-2</v>
      </c>
      <c r="R60" s="176">
        <f t="shared" si="4"/>
        <v>3.3350593502082838E-2</v>
      </c>
      <c r="S60" s="13"/>
      <c r="U60" s="29"/>
      <c r="V60" s="29"/>
      <c r="W60" s="29"/>
      <c r="X60" s="29"/>
      <c r="Y60" s="29"/>
      <c r="Z60" s="29"/>
      <c r="AA60" s="51"/>
      <c r="AB60" s="51"/>
      <c r="AC60" s="51"/>
    </row>
    <row r="61" spans="1:29">
      <c r="A61" s="250">
        <f t="shared" si="5"/>
        <v>36891</v>
      </c>
      <c r="B61" s="90">
        <v>111445740.7</v>
      </c>
      <c r="F61" s="159">
        <v>368861.13308286859</v>
      </c>
      <c r="G61" s="127">
        <f t="shared" si="3"/>
        <v>111076879.56691714</v>
      </c>
      <c r="H61" s="1">
        <v>826.5</v>
      </c>
      <c r="I61" s="1">
        <v>0</v>
      </c>
      <c r="J61" s="10">
        <v>31</v>
      </c>
      <c r="K61" s="16">
        <v>0</v>
      </c>
      <c r="L61" s="119">
        <v>304.29599999999999</v>
      </c>
      <c r="M61" s="195">
        <v>41700</v>
      </c>
      <c r="N61" s="112">
        <v>0</v>
      </c>
      <c r="O61" s="127">
        <f t="shared" si="0"/>
        <v>108898884.3690753</v>
      </c>
      <c r="P61" s="127">
        <f t="shared" si="1"/>
        <v>-2177995.197841838</v>
      </c>
      <c r="Q61" s="216">
        <f t="shared" si="2"/>
        <v>-1.9607997688931539E-2</v>
      </c>
      <c r="R61" s="176">
        <f t="shared" si="4"/>
        <v>1.9607997688931539E-2</v>
      </c>
      <c r="S61" s="13"/>
      <c r="U61" s="51"/>
      <c r="V61" s="51"/>
      <c r="W61" s="51"/>
      <c r="X61" s="51"/>
      <c r="Y61" s="51"/>
      <c r="Z61" s="51"/>
      <c r="AA61" s="51"/>
      <c r="AB61" s="51"/>
      <c r="AC61" s="51"/>
    </row>
    <row r="62" spans="1:29">
      <c r="A62" s="250">
        <f t="shared" si="5"/>
        <v>36922</v>
      </c>
      <c r="B62" s="90">
        <v>112581869.30000001</v>
      </c>
      <c r="F62" s="159">
        <v>441336.55231777485</v>
      </c>
      <c r="G62" s="127">
        <f t="shared" si="3"/>
        <v>112140532.74768224</v>
      </c>
      <c r="H62" s="1">
        <v>715</v>
      </c>
      <c r="I62" s="1">
        <v>0</v>
      </c>
      <c r="J62" s="10">
        <v>31</v>
      </c>
      <c r="K62" s="10">
        <v>0</v>
      </c>
      <c r="L62" s="119">
        <v>351.91199999999998</v>
      </c>
      <c r="M62" s="195">
        <v>41817</v>
      </c>
      <c r="N62" s="112">
        <v>0</v>
      </c>
      <c r="O62" s="127">
        <f t="shared" si="0"/>
        <v>108993172.25879407</v>
      </c>
      <c r="P62" s="127">
        <f t="shared" si="1"/>
        <v>-3147360.4888881743</v>
      </c>
      <c r="Q62" s="216">
        <f t="shared" si="2"/>
        <v>-2.8066216663780074E-2</v>
      </c>
      <c r="R62" s="176">
        <f t="shared" si="4"/>
        <v>2.8066216663780074E-2</v>
      </c>
      <c r="S62" s="13"/>
      <c r="U62" s="75"/>
      <c r="V62" s="75"/>
      <c r="W62" s="75"/>
      <c r="X62" s="75"/>
      <c r="Y62" s="75"/>
      <c r="Z62" s="75"/>
      <c r="AA62" s="75"/>
      <c r="AB62" s="75"/>
      <c r="AC62" s="75"/>
    </row>
    <row r="63" spans="1:29">
      <c r="A63" s="250">
        <f t="shared" si="5"/>
        <v>36950</v>
      </c>
      <c r="B63" s="90">
        <v>99788048.099999994</v>
      </c>
      <c r="C63" s="101">
        <v>104864.3489570705</v>
      </c>
      <c r="F63" s="159">
        <v>390771.91482327355</v>
      </c>
      <c r="G63" s="127">
        <f t="shared" si="3"/>
        <v>99292411.836219639</v>
      </c>
      <c r="H63" s="1">
        <v>620.20000000000005</v>
      </c>
      <c r="I63" s="1">
        <v>0</v>
      </c>
      <c r="J63" s="10">
        <v>28</v>
      </c>
      <c r="K63" s="10">
        <v>0</v>
      </c>
      <c r="L63" s="119">
        <v>319.87200000000001</v>
      </c>
      <c r="M63" s="195">
        <v>41934</v>
      </c>
      <c r="N63" s="112">
        <v>0</v>
      </c>
      <c r="O63" s="127">
        <f t="shared" si="0"/>
        <v>97982898.951605111</v>
      </c>
      <c r="P63" s="127">
        <f t="shared" si="1"/>
        <v>-1309512.8846145272</v>
      </c>
      <c r="Q63" s="216">
        <f t="shared" si="2"/>
        <v>-1.3188448748475726E-2</v>
      </c>
      <c r="R63" s="176">
        <f t="shared" si="4"/>
        <v>1.3188448748475726E-2</v>
      </c>
      <c r="S63" s="13"/>
      <c r="U63" s="29"/>
      <c r="V63" s="29"/>
      <c r="W63" s="29"/>
      <c r="X63" s="29"/>
      <c r="Y63" s="29"/>
      <c r="Z63" s="29"/>
      <c r="AA63" s="29"/>
      <c r="AB63" s="29"/>
      <c r="AC63" s="29"/>
    </row>
    <row r="64" spans="1:29">
      <c r="A64" s="250">
        <f t="shared" si="5"/>
        <v>36981</v>
      </c>
      <c r="B64" s="90">
        <v>106623824</v>
      </c>
      <c r="C64" s="101">
        <v>36279.649847321947</v>
      </c>
      <c r="F64" s="159">
        <v>417837.9665926749</v>
      </c>
      <c r="G64" s="127">
        <f t="shared" si="3"/>
        <v>106169706.38356</v>
      </c>
      <c r="H64" s="1">
        <v>618.70000000000005</v>
      </c>
      <c r="I64" s="1">
        <v>0</v>
      </c>
      <c r="J64" s="10">
        <v>31</v>
      </c>
      <c r="K64" s="10">
        <v>1</v>
      </c>
      <c r="L64" s="119">
        <v>351.91199999999998</v>
      </c>
      <c r="M64" s="195">
        <v>42051</v>
      </c>
      <c r="N64" s="112">
        <v>0</v>
      </c>
      <c r="O64" s="127">
        <f t="shared" si="0"/>
        <v>104646267.79357803</v>
      </c>
      <c r="P64" s="127">
        <f t="shared" si="1"/>
        <v>-1523438.5899819732</v>
      </c>
      <c r="Q64" s="216">
        <f t="shared" si="2"/>
        <v>-1.4349089225868597E-2</v>
      </c>
      <c r="R64" s="176">
        <f t="shared" si="4"/>
        <v>1.4349089225868597E-2</v>
      </c>
      <c r="S64" s="13"/>
      <c r="U64" s="29"/>
      <c r="V64" s="29"/>
      <c r="W64" s="29"/>
      <c r="X64" s="29"/>
      <c r="Y64" s="29"/>
      <c r="Z64" s="29"/>
      <c r="AA64" s="29"/>
      <c r="AB64" s="29"/>
      <c r="AC64" s="29"/>
    </row>
    <row r="65" spans="1:29">
      <c r="A65" s="250">
        <f t="shared" si="5"/>
        <v>37011</v>
      </c>
      <c r="B65" s="90">
        <v>91412386.099999994</v>
      </c>
      <c r="C65" s="101">
        <v>30915.954855495511</v>
      </c>
      <c r="F65" s="159">
        <v>358228.04533578426</v>
      </c>
      <c r="G65" s="127">
        <f t="shared" si="3"/>
        <v>91023242.099808708</v>
      </c>
      <c r="H65" s="1">
        <v>324.60000000000002</v>
      </c>
      <c r="I65" s="1">
        <v>0</v>
      </c>
      <c r="J65" s="10">
        <v>30</v>
      </c>
      <c r="K65" s="10">
        <v>1</v>
      </c>
      <c r="L65" s="119">
        <v>319.68</v>
      </c>
      <c r="M65" s="195">
        <v>42168</v>
      </c>
      <c r="N65" s="112">
        <v>0</v>
      </c>
      <c r="O65" s="127">
        <f t="shared" si="0"/>
        <v>92532906.628268659</v>
      </c>
      <c r="P65" s="127">
        <f t="shared" si="1"/>
        <v>1509664.5284599513</v>
      </c>
      <c r="Q65" s="216">
        <f t="shared" si="2"/>
        <v>1.658548403279874E-2</v>
      </c>
      <c r="R65" s="176">
        <f t="shared" si="4"/>
        <v>1.658548403279874E-2</v>
      </c>
      <c r="S65" s="13"/>
      <c r="U65" s="29"/>
      <c r="V65" s="29"/>
      <c r="W65" s="29"/>
      <c r="X65" s="29"/>
      <c r="Y65" s="29"/>
      <c r="Z65" s="29"/>
      <c r="AA65" s="29"/>
      <c r="AB65" s="29"/>
      <c r="AC65" s="29"/>
    </row>
    <row r="66" spans="1:29">
      <c r="A66" s="250">
        <f t="shared" si="5"/>
        <v>37042</v>
      </c>
      <c r="B66" s="90">
        <v>91851847.599999994</v>
      </c>
      <c r="C66" s="101">
        <v>77019.720066886686</v>
      </c>
      <c r="F66" s="159">
        <v>359770.06224826357</v>
      </c>
      <c r="G66" s="127">
        <f t="shared" ref="G66:G129" si="6">+B66-C66+D66+E66-F66</f>
        <v>91415057.817684844</v>
      </c>
      <c r="H66" s="1">
        <v>140.30000000000001</v>
      </c>
      <c r="I66" s="1">
        <v>7.7</v>
      </c>
      <c r="J66" s="10">
        <v>31</v>
      </c>
      <c r="K66" s="10">
        <v>1</v>
      </c>
      <c r="L66" s="119">
        <v>351.91199999999998</v>
      </c>
      <c r="M66" s="195">
        <v>42285</v>
      </c>
      <c r="N66" s="112">
        <v>0</v>
      </c>
      <c r="O66" s="127">
        <f t="shared" ref="O66:O129" si="7">$V$17+$V$18*H66+$V$19*I66+$V$20*J66+$V$21*K66+$V$22*L66+$V$23*M66+$V$24*N66</f>
        <v>93572064.842148244</v>
      </c>
      <c r="P66" s="127">
        <f t="shared" ref="P66:P129" si="8">O66-G66</f>
        <v>2157007.0244634002</v>
      </c>
      <c r="Q66" s="216">
        <f t="shared" ref="Q66:Q129" si="9">P66/G66</f>
        <v>2.3595751902988054E-2</v>
      </c>
      <c r="R66" s="176">
        <f t="shared" si="4"/>
        <v>2.3595751902988054E-2</v>
      </c>
      <c r="S66" s="13"/>
      <c r="U66" s="29"/>
      <c r="V66" s="29"/>
      <c r="W66" s="29"/>
      <c r="X66" s="29"/>
      <c r="Y66" s="29"/>
      <c r="Z66" s="29"/>
      <c r="AA66" s="29"/>
      <c r="AB66" s="29"/>
      <c r="AC66" s="29"/>
    </row>
    <row r="67" spans="1:29">
      <c r="A67" s="250">
        <f t="shared" si="5"/>
        <v>37072</v>
      </c>
      <c r="B67" s="90">
        <v>100764701.3</v>
      </c>
      <c r="C67" s="101">
        <v>366213.8910607103</v>
      </c>
      <c r="F67" s="159">
        <v>393576.00443556311</v>
      </c>
      <c r="G67" s="127">
        <f t="shared" si="6"/>
        <v>100004911.40450372</v>
      </c>
      <c r="H67" s="1">
        <v>47</v>
      </c>
      <c r="I67" s="1">
        <v>62.4</v>
      </c>
      <c r="J67" s="10">
        <v>30</v>
      </c>
      <c r="K67" s="10">
        <v>0</v>
      </c>
      <c r="L67" s="119">
        <v>336.24</v>
      </c>
      <c r="M67" s="195">
        <v>42402</v>
      </c>
      <c r="N67" s="112">
        <v>0</v>
      </c>
      <c r="O67" s="127">
        <f t="shared" si="7"/>
        <v>102268925.85261267</v>
      </c>
      <c r="P67" s="127">
        <f t="shared" si="8"/>
        <v>2264014.4481089562</v>
      </c>
      <c r="Q67" s="216">
        <f t="shared" si="9"/>
        <v>2.2639032586623503E-2</v>
      </c>
      <c r="R67" s="176">
        <f t="shared" ref="R67:R130" si="10">ABS(Q67)</f>
        <v>2.2639032586623503E-2</v>
      </c>
      <c r="S67" s="13"/>
      <c r="U67" s="29"/>
      <c r="V67" s="29"/>
      <c r="W67" s="29"/>
      <c r="X67" s="29"/>
      <c r="Y67" s="29"/>
      <c r="Z67" s="29"/>
      <c r="AA67" s="29"/>
      <c r="AB67" s="29"/>
      <c r="AC67" s="29"/>
    </row>
    <row r="68" spans="1:29">
      <c r="A68" s="250">
        <f t="shared" si="5"/>
        <v>37103</v>
      </c>
      <c r="B68" s="90">
        <v>101480959.69999999</v>
      </c>
      <c r="C68" s="101">
        <v>460997.94065508654</v>
      </c>
      <c r="F68" s="159">
        <v>396012.27014039934</v>
      </c>
      <c r="G68" s="127">
        <f t="shared" si="6"/>
        <v>100623949.48920451</v>
      </c>
      <c r="H68" s="1">
        <v>22.3</v>
      </c>
      <c r="I68" s="1">
        <v>65.7</v>
      </c>
      <c r="J68" s="10">
        <v>31</v>
      </c>
      <c r="K68" s="10">
        <v>0</v>
      </c>
      <c r="L68" s="119">
        <v>336.28800000000001</v>
      </c>
      <c r="M68" s="195">
        <v>42519</v>
      </c>
      <c r="N68" s="112">
        <v>0</v>
      </c>
      <c r="O68" s="127">
        <f t="shared" si="7"/>
        <v>104833234.94904178</v>
      </c>
      <c r="P68" s="127">
        <f t="shared" si="8"/>
        <v>4209285.4598372728</v>
      </c>
      <c r="Q68" s="216">
        <f t="shared" si="9"/>
        <v>4.1831845015076335E-2</v>
      </c>
      <c r="R68" s="176">
        <f t="shared" si="10"/>
        <v>4.1831845015076335E-2</v>
      </c>
      <c r="S68" s="13"/>
      <c r="U68" s="29"/>
      <c r="V68" s="29"/>
      <c r="W68" s="29"/>
      <c r="X68" s="29"/>
      <c r="Y68" s="29"/>
      <c r="Z68" s="29"/>
      <c r="AA68" s="29"/>
      <c r="AB68" s="29"/>
      <c r="AC68" s="29"/>
    </row>
    <row r="69" spans="1:29">
      <c r="A69" s="250">
        <f t="shared" si="5"/>
        <v>37134</v>
      </c>
      <c r="B69" s="90">
        <v>108715738.19999999</v>
      </c>
      <c r="C69" s="101">
        <v>470718.80106965598</v>
      </c>
      <c r="F69" s="159">
        <v>424335.49881636724</v>
      </c>
      <c r="G69" s="127">
        <f t="shared" si="6"/>
        <v>107820683.90011396</v>
      </c>
      <c r="H69" s="1">
        <v>2.2999999999999998</v>
      </c>
      <c r="I69" s="1">
        <v>94.2</v>
      </c>
      <c r="J69" s="10">
        <v>31</v>
      </c>
      <c r="K69" s="10">
        <v>0</v>
      </c>
      <c r="L69" s="119">
        <v>351.91199999999998</v>
      </c>
      <c r="M69" s="195">
        <v>42636</v>
      </c>
      <c r="N69" s="112">
        <v>0</v>
      </c>
      <c r="O69" s="127">
        <f t="shared" si="7"/>
        <v>111749118.78856891</v>
      </c>
      <c r="P69" s="127">
        <f t="shared" si="8"/>
        <v>3928434.8884549588</v>
      </c>
      <c r="Q69" s="216">
        <f t="shared" si="9"/>
        <v>3.643489121339924E-2</v>
      </c>
      <c r="R69" s="176">
        <f t="shared" si="10"/>
        <v>3.643489121339924E-2</v>
      </c>
      <c r="S69" s="13"/>
      <c r="U69" s="29"/>
      <c r="V69" s="29"/>
      <c r="W69" s="29"/>
      <c r="X69" s="29"/>
      <c r="Y69" s="29"/>
      <c r="Z69" s="29"/>
      <c r="AA69" s="29"/>
      <c r="AB69" s="29"/>
      <c r="AC69" s="29"/>
    </row>
    <row r="70" spans="1:29">
      <c r="A70" s="250">
        <f t="shared" si="5"/>
        <v>37164</v>
      </c>
      <c r="B70" s="90">
        <v>94386425.599999994</v>
      </c>
      <c r="C70" s="101">
        <v>432815.5334787161</v>
      </c>
      <c r="F70" s="159">
        <v>368311.19080172421</v>
      </c>
      <c r="G70" s="127">
        <f t="shared" si="6"/>
        <v>93585298.875719547</v>
      </c>
      <c r="H70" s="1">
        <v>118.8</v>
      </c>
      <c r="I70" s="1">
        <v>19.2</v>
      </c>
      <c r="J70" s="10">
        <v>30</v>
      </c>
      <c r="K70" s="10">
        <v>1</v>
      </c>
      <c r="L70" s="119">
        <v>303.83999999999997</v>
      </c>
      <c r="M70" s="195">
        <v>42753</v>
      </c>
      <c r="N70" s="112">
        <v>0</v>
      </c>
      <c r="O70" s="127">
        <f t="shared" si="7"/>
        <v>91493528.839816451</v>
      </c>
      <c r="P70" s="127">
        <f t="shared" si="8"/>
        <v>-2091770.0359030962</v>
      </c>
      <c r="Q70" s="216">
        <f t="shared" si="9"/>
        <v>-2.2351481066283159E-2</v>
      </c>
      <c r="R70" s="176">
        <f t="shared" si="10"/>
        <v>2.2351481066283159E-2</v>
      </c>
      <c r="S70" s="13"/>
      <c r="U70" s="29"/>
      <c r="V70" s="29"/>
      <c r="W70" s="29"/>
      <c r="X70" s="29"/>
      <c r="Y70" s="29"/>
      <c r="Z70" s="29"/>
      <c r="AA70" s="29"/>
      <c r="AB70" s="29"/>
      <c r="AC70" s="29"/>
    </row>
    <row r="71" spans="1:29">
      <c r="A71" s="250">
        <f t="shared" si="5"/>
        <v>37195</v>
      </c>
      <c r="B71" s="90">
        <v>99648192.5</v>
      </c>
      <c r="C71" s="101">
        <v>450486.39914999891</v>
      </c>
      <c r="F71" s="159">
        <v>388868.77505755745</v>
      </c>
      <c r="G71" s="127">
        <f t="shared" si="6"/>
        <v>98808837.325792447</v>
      </c>
      <c r="H71" s="1">
        <v>276.7</v>
      </c>
      <c r="I71" s="1">
        <v>0</v>
      </c>
      <c r="J71" s="10">
        <v>31</v>
      </c>
      <c r="K71" s="10">
        <v>1</v>
      </c>
      <c r="L71" s="119">
        <v>351.91199999999998</v>
      </c>
      <c r="M71" s="195">
        <v>42870</v>
      </c>
      <c r="N71" s="112">
        <v>0</v>
      </c>
      <c r="O71" s="127">
        <f t="shared" si="7"/>
        <v>97173052.944783181</v>
      </c>
      <c r="P71" s="127">
        <f t="shared" si="8"/>
        <v>-1635784.3810092658</v>
      </c>
      <c r="Q71" s="216">
        <f t="shared" si="9"/>
        <v>-1.6555041282550045E-2</v>
      </c>
      <c r="R71" s="176">
        <f t="shared" si="10"/>
        <v>1.6555041282550045E-2</v>
      </c>
      <c r="S71" s="13"/>
      <c r="U71" s="29"/>
      <c r="V71" s="29"/>
      <c r="W71" s="29"/>
      <c r="X71" s="29"/>
      <c r="Y71" s="29"/>
      <c r="Z71" s="29"/>
      <c r="AA71" s="29"/>
      <c r="AB71" s="29"/>
      <c r="AC71" s="29"/>
    </row>
    <row r="72" spans="1:29">
      <c r="A72" s="250">
        <f t="shared" si="5"/>
        <v>37225</v>
      </c>
      <c r="B72" s="90">
        <v>101041155.90000001</v>
      </c>
      <c r="C72" s="101">
        <v>461530.32930000062</v>
      </c>
      <c r="F72" s="159">
        <v>394286.09116890404</v>
      </c>
      <c r="G72" s="127">
        <f t="shared" si="6"/>
        <v>100185339.47953109</v>
      </c>
      <c r="H72" s="1">
        <v>370.8</v>
      </c>
      <c r="I72" s="1">
        <v>0</v>
      </c>
      <c r="J72" s="10">
        <v>30</v>
      </c>
      <c r="K72" s="10">
        <v>1</v>
      </c>
      <c r="L72" s="119">
        <v>352.08</v>
      </c>
      <c r="M72" s="195">
        <v>42987</v>
      </c>
      <c r="N72" s="112">
        <v>0</v>
      </c>
      <c r="O72" s="127">
        <f t="shared" si="7"/>
        <v>97869591.510797516</v>
      </c>
      <c r="P72" s="127">
        <f t="shared" si="8"/>
        <v>-2315747.9687335789</v>
      </c>
      <c r="Q72" s="216">
        <f t="shared" si="9"/>
        <v>-2.3114639135466623E-2</v>
      </c>
      <c r="R72" s="176">
        <f t="shared" si="10"/>
        <v>2.3114639135466623E-2</v>
      </c>
      <c r="S72" s="13"/>
    </row>
    <row r="73" spans="1:29">
      <c r="A73" s="250">
        <f t="shared" si="5"/>
        <v>37256</v>
      </c>
      <c r="B73" s="90">
        <v>105627131.59999999</v>
      </c>
      <c r="C73" s="101">
        <v>437328.15435000218</v>
      </c>
      <c r="F73" s="159">
        <v>412358.62826171383</v>
      </c>
      <c r="G73" s="127">
        <f t="shared" si="6"/>
        <v>104777444.81738828</v>
      </c>
      <c r="H73" s="1">
        <v>563.29999999999995</v>
      </c>
      <c r="I73" s="1">
        <v>0</v>
      </c>
      <c r="J73" s="10">
        <v>31</v>
      </c>
      <c r="K73" s="10">
        <v>0</v>
      </c>
      <c r="L73" s="119">
        <v>304.29599999999999</v>
      </c>
      <c r="M73" s="195">
        <v>43104</v>
      </c>
      <c r="N73" s="112">
        <v>0</v>
      </c>
      <c r="O73" s="127">
        <f t="shared" si="7"/>
        <v>105101213.15616928</v>
      </c>
      <c r="P73" s="127">
        <f t="shared" si="8"/>
        <v>323768.33878099918</v>
      </c>
      <c r="Q73" s="216">
        <f t="shared" si="9"/>
        <v>3.0900575915482563E-3</v>
      </c>
      <c r="R73" s="176">
        <f t="shared" si="10"/>
        <v>3.0900575915482563E-3</v>
      </c>
      <c r="S73" s="13"/>
    </row>
    <row r="74" spans="1:29">
      <c r="A74" s="250">
        <f>EOMONTH(A73,1)</f>
        <v>37287</v>
      </c>
      <c r="B74" s="90">
        <v>113024587.8</v>
      </c>
      <c r="C74" s="101">
        <v>462984.09705000161</v>
      </c>
      <c r="F74" s="159">
        <v>105964.02553559632</v>
      </c>
      <c r="G74" s="127">
        <f t="shared" si="6"/>
        <v>112455639.6774144</v>
      </c>
      <c r="H74" s="1">
        <v>625.70000000000005</v>
      </c>
      <c r="I74" s="1">
        <v>0</v>
      </c>
      <c r="J74" s="10">
        <v>31</v>
      </c>
      <c r="K74" s="10">
        <v>0</v>
      </c>
      <c r="L74" s="119">
        <v>351.91199999999998</v>
      </c>
      <c r="M74" s="195">
        <v>43198.416666666664</v>
      </c>
      <c r="N74" s="112">
        <v>0</v>
      </c>
      <c r="O74" s="127">
        <f t="shared" si="7"/>
        <v>109989997.84532636</v>
      </c>
      <c r="P74" s="127">
        <f t="shared" si="8"/>
        <v>-2465641.8320880383</v>
      </c>
      <c r="Q74" s="216">
        <f t="shared" si="9"/>
        <v>-2.1925461801301175E-2</v>
      </c>
      <c r="R74" s="176">
        <f t="shared" si="10"/>
        <v>2.1925461801301175E-2</v>
      </c>
      <c r="S74" s="13"/>
    </row>
    <row r="75" spans="1:29">
      <c r="A75" s="250">
        <f t="shared" si="5"/>
        <v>37315</v>
      </c>
      <c r="B75" s="90">
        <v>102515394.69999999</v>
      </c>
      <c r="C75" s="101">
        <v>411477.43500000006</v>
      </c>
      <c r="F75" s="159">
        <v>96119.295927100597</v>
      </c>
      <c r="G75" s="127">
        <f t="shared" si="6"/>
        <v>102007797.96907288</v>
      </c>
      <c r="H75" s="1">
        <v>592</v>
      </c>
      <c r="I75" s="1">
        <v>0</v>
      </c>
      <c r="J75" s="10">
        <v>28</v>
      </c>
      <c r="K75" s="10">
        <v>0</v>
      </c>
      <c r="L75" s="119">
        <v>319.87200000000001</v>
      </c>
      <c r="M75" s="195">
        <v>43292.833333333328</v>
      </c>
      <c r="N75" s="112">
        <v>0</v>
      </c>
      <c r="O75" s="127">
        <f t="shared" si="7"/>
        <v>100627288.88726704</v>
      </c>
      <c r="P75" s="127">
        <f t="shared" si="8"/>
        <v>-1380509.0818058401</v>
      </c>
      <c r="Q75" s="216">
        <f t="shared" si="9"/>
        <v>-1.3533368127644401E-2</v>
      </c>
      <c r="R75" s="176">
        <f t="shared" si="10"/>
        <v>1.3533368127644401E-2</v>
      </c>
      <c r="S75" s="13"/>
    </row>
    <row r="76" spans="1:29">
      <c r="A76" s="250">
        <f t="shared" si="5"/>
        <v>37346</v>
      </c>
      <c r="B76" s="90">
        <v>109462736.8</v>
      </c>
      <c r="C76" s="101">
        <v>484062.31799999811</v>
      </c>
      <c r="F76" s="159">
        <v>102591.10270071111</v>
      </c>
      <c r="G76" s="127">
        <f t="shared" si="6"/>
        <v>108876083.37929928</v>
      </c>
      <c r="H76" s="1">
        <v>581.20000000000005</v>
      </c>
      <c r="I76" s="1">
        <v>0</v>
      </c>
      <c r="J76" s="10">
        <v>31</v>
      </c>
      <c r="K76" s="10">
        <v>1</v>
      </c>
      <c r="L76" s="119">
        <v>319.92</v>
      </c>
      <c r="M76" s="195">
        <v>43387.25</v>
      </c>
      <c r="N76" s="112">
        <v>0</v>
      </c>
      <c r="O76" s="127">
        <f t="shared" si="7"/>
        <v>105019344.32542883</v>
      </c>
      <c r="P76" s="127">
        <f t="shared" si="8"/>
        <v>-3856739.0538704544</v>
      </c>
      <c r="Q76" s="216">
        <f t="shared" si="9"/>
        <v>-3.5423197952799801E-2</v>
      </c>
      <c r="R76" s="176">
        <f t="shared" si="10"/>
        <v>3.5423197952799801E-2</v>
      </c>
      <c r="S76" s="13"/>
    </row>
    <row r="77" spans="1:29">
      <c r="A77" s="250">
        <f t="shared" si="5"/>
        <v>37376</v>
      </c>
      <c r="B77" s="90">
        <v>101175171.19999999</v>
      </c>
      <c r="C77" s="101">
        <v>484651.35269999848</v>
      </c>
      <c r="F77" s="159">
        <v>94788.74203364017</v>
      </c>
      <c r="G77" s="127">
        <f t="shared" si="6"/>
        <v>100595731.10526635</v>
      </c>
      <c r="H77" s="1">
        <v>356.2</v>
      </c>
      <c r="I77" s="1">
        <v>6.6</v>
      </c>
      <c r="J77" s="10">
        <v>30</v>
      </c>
      <c r="K77" s="10">
        <v>1</v>
      </c>
      <c r="L77" s="119">
        <v>352.08</v>
      </c>
      <c r="M77" s="195">
        <v>43481.666666666657</v>
      </c>
      <c r="N77" s="112">
        <v>0</v>
      </c>
      <c r="O77" s="127">
        <f t="shared" si="7"/>
        <v>100152619.7059873</v>
      </c>
      <c r="P77" s="127">
        <f t="shared" si="8"/>
        <v>-443111.39927904308</v>
      </c>
      <c r="Q77" s="216">
        <f t="shared" si="9"/>
        <v>-4.4048727954008127E-3</v>
      </c>
      <c r="R77" s="176">
        <f t="shared" si="10"/>
        <v>4.4048727954008127E-3</v>
      </c>
      <c r="S77" s="13"/>
    </row>
    <row r="78" spans="1:29">
      <c r="A78" s="250">
        <f t="shared" si="5"/>
        <v>37407</v>
      </c>
      <c r="B78" s="90">
        <v>99710889</v>
      </c>
      <c r="C78" s="101">
        <v>473869.00665000005</v>
      </c>
      <c r="F78" s="159">
        <v>93420.436229767685</v>
      </c>
      <c r="G78" s="127">
        <f t="shared" si="6"/>
        <v>99143599.557120234</v>
      </c>
      <c r="H78" s="1">
        <v>266.8</v>
      </c>
      <c r="I78" s="1">
        <v>5.3</v>
      </c>
      <c r="J78" s="10">
        <v>31</v>
      </c>
      <c r="K78" s="10">
        <v>1</v>
      </c>
      <c r="L78" s="119">
        <v>351.91199999999998</v>
      </c>
      <c r="M78" s="195">
        <v>43576.083333333321</v>
      </c>
      <c r="N78" s="112">
        <v>0</v>
      </c>
      <c r="O78" s="127">
        <f t="shared" si="7"/>
        <v>99837151.555395991</v>
      </c>
      <c r="P78" s="127">
        <f t="shared" si="8"/>
        <v>693551.99827575684</v>
      </c>
      <c r="Q78" s="216">
        <f t="shared" si="9"/>
        <v>6.995428866552059E-3</v>
      </c>
      <c r="R78" s="176">
        <f t="shared" si="10"/>
        <v>6.995428866552059E-3</v>
      </c>
      <c r="S78" s="13"/>
    </row>
    <row r="79" spans="1:29">
      <c r="A79" s="250">
        <f t="shared" si="5"/>
        <v>37437</v>
      </c>
      <c r="B79" s="90">
        <v>104229282</v>
      </c>
      <c r="C79" s="101">
        <v>414659.7279</v>
      </c>
      <c r="F79" s="159">
        <v>97729.731307308903</v>
      </c>
      <c r="G79" s="127">
        <f t="shared" si="6"/>
        <v>103716892.54079269</v>
      </c>
      <c r="H79" s="1">
        <v>53.1</v>
      </c>
      <c r="I79" s="1">
        <v>54.5</v>
      </c>
      <c r="J79" s="10">
        <v>30</v>
      </c>
      <c r="K79" s="10">
        <v>0</v>
      </c>
      <c r="L79" s="119">
        <v>319.68</v>
      </c>
      <c r="M79" s="195">
        <v>43670.5</v>
      </c>
      <c r="N79" s="112">
        <v>0</v>
      </c>
      <c r="O79" s="127">
        <f t="shared" si="7"/>
        <v>102905077.44929439</v>
      </c>
      <c r="P79" s="127">
        <f t="shared" si="8"/>
        <v>-811815.09149830043</v>
      </c>
      <c r="Q79" s="216">
        <f t="shared" si="9"/>
        <v>-7.8272215027943206E-3</v>
      </c>
      <c r="R79" s="176">
        <f t="shared" si="10"/>
        <v>7.8272215027943206E-3</v>
      </c>
      <c r="S79" s="13"/>
    </row>
    <row r="80" spans="1:29">
      <c r="A80" s="250">
        <f t="shared" si="5"/>
        <v>37468</v>
      </c>
      <c r="B80" s="90">
        <v>118623870</v>
      </c>
      <c r="C80" s="101">
        <v>434816.75880000001</v>
      </c>
      <c r="F80" s="159">
        <v>111261.63312961263</v>
      </c>
      <c r="G80" s="127">
        <f t="shared" si="6"/>
        <v>118077791.60807039</v>
      </c>
      <c r="H80" s="1">
        <v>4.7</v>
      </c>
      <c r="I80" s="1">
        <v>129</v>
      </c>
      <c r="J80" s="10">
        <v>31</v>
      </c>
      <c r="K80" s="10">
        <v>0</v>
      </c>
      <c r="L80" s="119">
        <v>351.91199999999998</v>
      </c>
      <c r="M80" s="195">
        <v>43764.91666666665</v>
      </c>
      <c r="N80" s="112">
        <v>0</v>
      </c>
      <c r="O80" s="127">
        <f t="shared" si="7"/>
        <v>122266152.03147686</v>
      </c>
      <c r="P80" s="127">
        <f t="shared" si="8"/>
        <v>4188360.4234064668</v>
      </c>
      <c r="Q80" s="216">
        <f t="shared" si="9"/>
        <v>3.5471195441295844E-2</v>
      </c>
      <c r="R80" s="176">
        <f t="shared" si="10"/>
        <v>3.5471195441295844E-2</v>
      </c>
      <c r="S80" s="13"/>
    </row>
    <row r="81" spans="1:25">
      <c r="A81" s="250">
        <f t="shared" si="5"/>
        <v>37499</v>
      </c>
      <c r="B81" s="90">
        <v>111583120</v>
      </c>
      <c r="C81" s="101">
        <v>449451.35415000003</v>
      </c>
      <c r="F81" s="159">
        <v>104619.78609802556</v>
      </c>
      <c r="G81" s="127">
        <f t="shared" si="6"/>
        <v>111029048.85975198</v>
      </c>
      <c r="H81" s="1">
        <v>11</v>
      </c>
      <c r="I81" s="1">
        <v>72.3</v>
      </c>
      <c r="J81" s="10">
        <v>31</v>
      </c>
      <c r="K81" s="10">
        <v>0</v>
      </c>
      <c r="L81" s="119">
        <v>336.28800000000001</v>
      </c>
      <c r="M81" s="195">
        <v>43859.333333333314</v>
      </c>
      <c r="N81" s="112">
        <v>0</v>
      </c>
      <c r="O81" s="127">
        <f t="shared" si="7"/>
        <v>109343678.85902023</v>
      </c>
      <c r="P81" s="127">
        <f t="shared" si="8"/>
        <v>-1685370.0007317513</v>
      </c>
      <c r="Q81" s="216">
        <f t="shared" si="9"/>
        <v>-1.5179541012376426E-2</v>
      </c>
      <c r="R81" s="176">
        <f t="shared" si="10"/>
        <v>1.5179541012376426E-2</v>
      </c>
      <c r="S81" s="13"/>
    </row>
    <row r="82" spans="1:25">
      <c r="A82" s="250">
        <f t="shared" si="5"/>
        <v>37529</v>
      </c>
      <c r="B82" s="90">
        <v>105982565.17205401</v>
      </c>
      <c r="C82" s="101">
        <v>448585.68015000003</v>
      </c>
      <c r="F82" s="159">
        <v>99348.311767702166</v>
      </c>
      <c r="G82" s="127">
        <f t="shared" si="6"/>
        <v>105434631.18013631</v>
      </c>
      <c r="H82" s="1">
        <v>50.2</v>
      </c>
      <c r="I82" s="1">
        <v>47</v>
      </c>
      <c r="J82" s="10">
        <v>30</v>
      </c>
      <c r="K82" s="10">
        <v>1</v>
      </c>
      <c r="L82" s="119">
        <v>319.68</v>
      </c>
      <c r="M82" s="195">
        <v>43953.75</v>
      </c>
      <c r="N82" s="112">
        <v>0</v>
      </c>
      <c r="O82" s="127">
        <f t="shared" si="7"/>
        <v>99650411.992165774</v>
      </c>
      <c r="P82" s="127">
        <f t="shared" si="8"/>
        <v>-5784219.187970534</v>
      </c>
      <c r="Q82" s="216">
        <f t="shared" si="9"/>
        <v>-5.4860714389830104E-2</v>
      </c>
      <c r="R82" s="176">
        <f t="shared" si="10"/>
        <v>5.4860714389830104E-2</v>
      </c>
      <c r="S82" s="13"/>
      <c r="T82" s="51"/>
      <c r="U82" s="51"/>
      <c r="V82" s="51"/>
      <c r="W82" s="51"/>
      <c r="X82" s="51"/>
      <c r="Y82" s="51"/>
    </row>
    <row r="83" spans="1:25">
      <c r="A83" s="250">
        <f t="shared" si="5"/>
        <v>37560</v>
      </c>
      <c r="B83" s="90">
        <v>105094244.00417101</v>
      </c>
      <c r="C83" s="101">
        <v>468666.49410000007</v>
      </c>
      <c r="F83" s="159">
        <v>98493.15399069</v>
      </c>
      <c r="G83" s="127">
        <f t="shared" si="6"/>
        <v>104527084.35608032</v>
      </c>
      <c r="H83" s="1">
        <v>349.3</v>
      </c>
      <c r="I83" s="1">
        <v>1</v>
      </c>
      <c r="J83" s="10">
        <v>31</v>
      </c>
      <c r="K83" s="10">
        <v>1</v>
      </c>
      <c r="L83" s="119">
        <v>351.91199999999998</v>
      </c>
      <c r="M83" s="195">
        <v>44048.166666666642</v>
      </c>
      <c r="N83" s="112">
        <v>0</v>
      </c>
      <c r="O83" s="127">
        <f t="shared" si="7"/>
        <v>102391779.38383788</v>
      </c>
      <c r="P83" s="127">
        <f t="shared" si="8"/>
        <v>-2135304.9722424448</v>
      </c>
      <c r="Q83" s="216">
        <f t="shared" si="9"/>
        <v>-2.0428245802478796E-2</v>
      </c>
      <c r="R83" s="176">
        <f t="shared" si="10"/>
        <v>2.0428245802478796E-2</v>
      </c>
      <c r="S83" s="13"/>
      <c r="T83" s="51"/>
      <c r="U83" s="51"/>
      <c r="V83" s="51"/>
      <c r="W83" s="51"/>
      <c r="X83" s="51"/>
      <c r="Y83" s="51"/>
    </row>
    <row r="84" spans="1:25">
      <c r="A84" s="250">
        <f t="shared" si="5"/>
        <v>37590</v>
      </c>
      <c r="B84" s="90">
        <v>107844017</v>
      </c>
      <c r="C84" s="101">
        <v>482076.91350000002</v>
      </c>
      <c r="F84" s="159">
        <v>101069.13002856316</v>
      </c>
      <c r="G84" s="127">
        <f t="shared" si="6"/>
        <v>107260870.95647144</v>
      </c>
      <c r="H84" s="1">
        <v>486.4</v>
      </c>
      <c r="I84" s="1">
        <v>0</v>
      </c>
      <c r="J84" s="10">
        <v>30</v>
      </c>
      <c r="K84" s="10">
        <v>1</v>
      </c>
      <c r="L84" s="119">
        <v>336.24</v>
      </c>
      <c r="M84" s="195">
        <v>44142.583333333307</v>
      </c>
      <c r="N84" s="112">
        <v>0</v>
      </c>
      <c r="O84" s="127">
        <f t="shared" si="7"/>
        <v>103044660.60087931</v>
      </c>
      <c r="P84" s="127">
        <f t="shared" si="8"/>
        <v>-4216210.3555921316</v>
      </c>
      <c r="Q84" s="216">
        <f t="shared" si="9"/>
        <v>-3.9308000373250301E-2</v>
      </c>
      <c r="R84" s="176">
        <f t="shared" si="10"/>
        <v>3.9308000373250301E-2</v>
      </c>
      <c r="S84" s="13"/>
      <c r="T84" s="74"/>
      <c r="U84" s="51"/>
      <c r="V84" s="51"/>
      <c r="W84" s="51"/>
      <c r="X84" s="51"/>
      <c r="Y84" s="51"/>
    </row>
    <row r="85" spans="1:25">
      <c r="A85" s="250">
        <f t="shared" si="5"/>
        <v>37621</v>
      </c>
      <c r="B85" s="90">
        <v>113855250</v>
      </c>
      <c r="C85" s="101">
        <v>475039.54845000006</v>
      </c>
      <c r="F85" s="159">
        <v>106734.65125128154</v>
      </c>
      <c r="G85" s="127">
        <f t="shared" si="6"/>
        <v>113273475.80029872</v>
      </c>
      <c r="H85" s="1">
        <v>675.6</v>
      </c>
      <c r="I85" s="1">
        <v>0</v>
      </c>
      <c r="J85" s="10">
        <v>31</v>
      </c>
      <c r="K85" s="10">
        <v>0</v>
      </c>
      <c r="L85" s="119">
        <v>319.92</v>
      </c>
      <c r="M85" s="195">
        <v>44237</v>
      </c>
      <c r="N85" s="112">
        <v>0</v>
      </c>
      <c r="O85" s="127">
        <f t="shared" si="7"/>
        <v>112049765.63685706</v>
      </c>
      <c r="P85" s="127">
        <f t="shared" si="8"/>
        <v>-1223710.163441658</v>
      </c>
      <c r="Q85" s="216">
        <f t="shared" si="9"/>
        <v>-1.0803148352214957E-2</v>
      </c>
      <c r="R85" s="176">
        <f t="shared" si="10"/>
        <v>1.0803148352214957E-2</v>
      </c>
      <c r="S85" s="13"/>
      <c r="T85" s="29"/>
      <c r="U85" s="51"/>
      <c r="V85" s="51"/>
      <c r="W85" s="51"/>
      <c r="X85" s="51"/>
      <c r="Y85" s="51"/>
    </row>
    <row r="86" spans="1:25">
      <c r="A86" s="250">
        <f t="shared" si="5"/>
        <v>37652</v>
      </c>
      <c r="B86" s="90">
        <v>122281722</v>
      </c>
      <c r="C86" s="101">
        <v>568885.19670000009</v>
      </c>
      <c r="F86" s="159">
        <v>197927.65919655657</v>
      </c>
      <c r="G86" s="127">
        <f t="shared" si="6"/>
        <v>121514909.14410344</v>
      </c>
      <c r="H86" s="1">
        <v>868.4</v>
      </c>
      <c r="I86" s="1">
        <v>0</v>
      </c>
      <c r="J86" s="10">
        <v>31</v>
      </c>
      <c r="K86" s="10">
        <v>0</v>
      </c>
      <c r="L86" s="119">
        <v>351.91199999999998</v>
      </c>
      <c r="M86" s="195">
        <v>43366.666666666664</v>
      </c>
      <c r="N86" s="112">
        <v>0</v>
      </c>
      <c r="O86" s="127">
        <f t="shared" si="7"/>
        <v>117185764.09308724</v>
      </c>
      <c r="P86" s="127">
        <f t="shared" si="8"/>
        <v>-4329145.0510161966</v>
      </c>
      <c r="Q86" s="216">
        <f t="shared" si="9"/>
        <v>-3.5626451778705624E-2</v>
      </c>
      <c r="R86" s="176">
        <f t="shared" si="10"/>
        <v>3.5626451778705624E-2</v>
      </c>
      <c r="S86" s="13"/>
      <c r="T86" s="29"/>
      <c r="U86" s="51"/>
      <c r="V86" s="51"/>
      <c r="W86" s="51"/>
      <c r="X86" s="51"/>
      <c r="Y86" s="51"/>
    </row>
    <row r="87" spans="1:25">
      <c r="A87" s="250">
        <f t="shared" si="5"/>
        <v>37680</v>
      </c>
      <c r="B87" s="90">
        <v>110139892</v>
      </c>
      <c r="C87" s="101">
        <v>488139.45435000007</v>
      </c>
      <c r="F87" s="159">
        <v>178314.09798816007</v>
      </c>
      <c r="G87" s="127">
        <f t="shared" si="6"/>
        <v>109473438.44766185</v>
      </c>
      <c r="H87" s="1">
        <v>755.9</v>
      </c>
      <c r="I87" s="1">
        <v>0</v>
      </c>
      <c r="J87" s="113">
        <v>28</v>
      </c>
      <c r="K87" s="10">
        <v>0</v>
      </c>
      <c r="L87" s="119">
        <v>319.87200000000001</v>
      </c>
      <c r="M87" s="195">
        <v>43629.333333333328</v>
      </c>
      <c r="N87" s="112">
        <v>0</v>
      </c>
      <c r="O87" s="127">
        <f t="shared" si="7"/>
        <v>106049505.93266252</v>
      </c>
      <c r="P87" s="127">
        <f t="shared" si="8"/>
        <v>-3423932.51499933</v>
      </c>
      <c r="Q87" s="216">
        <f t="shared" si="9"/>
        <v>-3.1276376841276231E-2</v>
      </c>
      <c r="R87" s="176">
        <f t="shared" si="10"/>
        <v>3.1276376841276231E-2</v>
      </c>
      <c r="S87" s="13"/>
      <c r="T87" s="29"/>
      <c r="U87" s="51"/>
      <c r="V87" s="51"/>
      <c r="W87" s="51"/>
      <c r="X87" s="51"/>
      <c r="Y87" s="51"/>
    </row>
    <row r="88" spans="1:25">
      <c r="A88" s="250">
        <f t="shared" si="5"/>
        <v>37711</v>
      </c>
      <c r="B88" s="90">
        <v>112160711</v>
      </c>
      <c r="C88" s="101">
        <v>521552.58885000006</v>
      </c>
      <c r="F88" s="159">
        <v>181545.98873332143</v>
      </c>
      <c r="G88" s="127">
        <f t="shared" si="6"/>
        <v>111457612.42241667</v>
      </c>
      <c r="H88" s="1">
        <v>638.70000000000005</v>
      </c>
      <c r="I88" s="1">
        <v>0</v>
      </c>
      <c r="J88" s="10">
        <v>31</v>
      </c>
      <c r="K88" s="10">
        <v>1</v>
      </c>
      <c r="L88" s="119">
        <v>336.28800000000001</v>
      </c>
      <c r="M88" s="195">
        <v>43892</v>
      </c>
      <c r="N88" s="112">
        <v>0</v>
      </c>
      <c r="O88" s="127">
        <f t="shared" si="7"/>
        <v>108898166.09816231</v>
      </c>
      <c r="P88" s="127">
        <f t="shared" si="8"/>
        <v>-2559446.3242543638</v>
      </c>
      <c r="Q88" s="216">
        <f t="shared" si="9"/>
        <v>-2.2963405267952795E-2</v>
      </c>
      <c r="R88" s="176">
        <f t="shared" si="10"/>
        <v>2.2963405267952795E-2</v>
      </c>
      <c r="S88" s="13"/>
      <c r="T88" s="29"/>
      <c r="U88" s="51"/>
      <c r="V88" s="51"/>
      <c r="W88" s="51"/>
      <c r="X88" s="51"/>
      <c r="Y88" s="51"/>
    </row>
    <row r="89" spans="1:25">
      <c r="A89" s="250">
        <f t="shared" si="5"/>
        <v>37741</v>
      </c>
      <c r="B89" s="90">
        <v>101765882</v>
      </c>
      <c r="C89" s="101">
        <v>504137.48625000007</v>
      </c>
      <c r="F89" s="159">
        <v>164670.38797359524</v>
      </c>
      <c r="G89" s="127">
        <f t="shared" si="6"/>
        <v>101097074.12577641</v>
      </c>
      <c r="H89" s="1">
        <v>397.4</v>
      </c>
      <c r="I89" s="1">
        <v>0.7</v>
      </c>
      <c r="J89" s="10">
        <v>30</v>
      </c>
      <c r="K89" s="10">
        <v>1</v>
      </c>
      <c r="L89" s="119">
        <v>336.24</v>
      </c>
      <c r="M89" s="195">
        <v>44154.666666666657</v>
      </c>
      <c r="N89" s="112">
        <v>0</v>
      </c>
      <c r="O89" s="127">
        <f t="shared" si="7"/>
        <v>100745083.22294354</v>
      </c>
      <c r="P89" s="127">
        <f t="shared" si="8"/>
        <v>-351990.90283286572</v>
      </c>
      <c r="Q89" s="216">
        <f t="shared" si="9"/>
        <v>-3.4817120661172494E-3</v>
      </c>
      <c r="R89" s="176">
        <f t="shared" si="10"/>
        <v>3.4817120661172494E-3</v>
      </c>
      <c r="S89" s="13"/>
      <c r="T89" s="29"/>
      <c r="U89" s="51"/>
      <c r="V89" s="51"/>
      <c r="W89" s="51"/>
      <c r="X89" s="51"/>
      <c r="Y89" s="51"/>
    </row>
    <row r="90" spans="1:25">
      <c r="A90" s="250">
        <f t="shared" si="5"/>
        <v>37772</v>
      </c>
      <c r="B90" s="90">
        <v>96091846</v>
      </c>
      <c r="C90" s="101">
        <v>517449.10590000002</v>
      </c>
      <c r="F90" s="159">
        <v>155421.70532877569</v>
      </c>
      <c r="G90" s="127">
        <f t="shared" si="6"/>
        <v>95418975.188771218</v>
      </c>
      <c r="H90" s="1">
        <v>217</v>
      </c>
      <c r="I90" s="1">
        <v>0</v>
      </c>
      <c r="J90" s="10">
        <v>31</v>
      </c>
      <c r="K90" s="10">
        <v>1</v>
      </c>
      <c r="L90" s="119">
        <v>336.28800000000001</v>
      </c>
      <c r="M90" s="195">
        <v>44417.333333333321</v>
      </c>
      <c r="N90" s="112">
        <v>0</v>
      </c>
      <c r="O90" s="127">
        <f t="shared" si="7"/>
        <v>98459930.544734463</v>
      </c>
      <c r="P90" s="127">
        <f t="shared" si="8"/>
        <v>3040955.355963245</v>
      </c>
      <c r="Q90" s="216">
        <f t="shared" si="9"/>
        <v>3.1869503418446909E-2</v>
      </c>
      <c r="R90" s="176">
        <f t="shared" si="10"/>
        <v>3.1869503418446909E-2</v>
      </c>
      <c r="S90" s="13"/>
      <c r="T90" s="51"/>
      <c r="U90" s="51"/>
      <c r="V90" s="51"/>
      <c r="W90" s="51"/>
      <c r="X90" s="51"/>
      <c r="Y90" s="51"/>
    </row>
    <row r="91" spans="1:25">
      <c r="A91" s="250">
        <f t="shared" si="5"/>
        <v>37802</v>
      </c>
      <c r="B91" s="90">
        <v>100440873</v>
      </c>
      <c r="C91" s="101">
        <v>476663.62815</v>
      </c>
      <c r="F91" s="159">
        <v>162560.3550460366</v>
      </c>
      <c r="G91" s="127">
        <f t="shared" si="6"/>
        <v>99801649.016803965</v>
      </c>
      <c r="H91" s="1">
        <v>65.3</v>
      </c>
      <c r="I91" s="1">
        <v>25.5</v>
      </c>
      <c r="J91" s="10">
        <v>30</v>
      </c>
      <c r="K91" s="10">
        <v>0</v>
      </c>
      <c r="L91" s="119">
        <v>336.24</v>
      </c>
      <c r="M91" s="195">
        <v>44680</v>
      </c>
      <c r="N91" s="112">
        <v>0</v>
      </c>
      <c r="O91" s="127">
        <f t="shared" si="7"/>
        <v>100473434.63356519</v>
      </c>
      <c r="P91" s="127">
        <f t="shared" si="8"/>
        <v>671785.61676122248</v>
      </c>
      <c r="Q91" s="216">
        <f t="shared" si="9"/>
        <v>6.7312075840361262E-3</v>
      </c>
      <c r="R91" s="176">
        <f t="shared" si="10"/>
        <v>6.7312075840361262E-3</v>
      </c>
      <c r="S91" s="13"/>
      <c r="T91" s="51"/>
      <c r="U91" s="51"/>
      <c r="V91" s="51"/>
      <c r="W91" s="51"/>
      <c r="X91" s="51"/>
      <c r="Y91" s="51"/>
    </row>
    <row r="92" spans="1:25">
      <c r="A92" s="250">
        <f t="shared" si="5"/>
        <v>37833</v>
      </c>
      <c r="B92" s="90">
        <v>109723172</v>
      </c>
      <c r="C92" s="101">
        <v>519354.52965000004</v>
      </c>
      <c r="F92" s="159">
        <v>177585.67243129425</v>
      </c>
      <c r="G92" s="127">
        <f t="shared" si="6"/>
        <v>109026231.79791871</v>
      </c>
      <c r="H92" s="1">
        <v>12.5</v>
      </c>
      <c r="I92" s="1">
        <v>50.1</v>
      </c>
      <c r="J92" s="10">
        <v>31</v>
      </c>
      <c r="K92" s="10">
        <v>0</v>
      </c>
      <c r="L92" s="119">
        <v>351.91199999999998</v>
      </c>
      <c r="M92" s="195">
        <v>44792.5</v>
      </c>
      <c r="N92" s="112">
        <v>0</v>
      </c>
      <c r="O92" s="127">
        <f t="shared" si="7"/>
        <v>107848545.91125661</v>
      </c>
      <c r="P92" s="127">
        <f t="shared" si="8"/>
        <v>-1177685.8866620958</v>
      </c>
      <c r="Q92" s="216">
        <f t="shared" si="9"/>
        <v>-1.0801858114705361E-2</v>
      </c>
      <c r="R92" s="176">
        <f t="shared" si="10"/>
        <v>1.0801858114705361E-2</v>
      </c>
      <c r="S92" s="13"/>
      <c r="T92" s="75"/>
      <c r="U92" s="75"/>
      <c r="V92" s="75"/>
      <c r="W92" s="75"/>
      <c r="X92" s="75"/>
      <c r="Y92" s="51"/>
    </row>
    <row r="93" spans="1:25">
      <c r="A93" s="250">
        <f t="shared" si="5"/>
        <v>37864</v>
      </c>
      <c r="B93" s="90">
        <v>104089100</v>
      </c>
      <c r="C93" s="101">
        <v>498723.25995000009</v>
      </c>
      <c r="F93" s="159">
        <v>168457.1761036434</v>
      </c>
      <c r="G93" s="127">
        <f t="shared" si="6"/>
        <v>103421919.56394637</v>
      </c>
      <c r="H93" s="1">
        <v>18.899999999999999</v>
      </c>
      <c r="I93" s="1">
        <v>72.400000000000006</v>
      </c>
      <c r="J93" s="10">
        <v>31</v>
      </c>
      <c r="K93" s="10">
        <v>0</v>
      </c>
      <c r="L93" s="119">
        <v>319.92</v>
      </c>
      <c r="M93" s="195">
        <v>44948</v>
      </c>
      <c r="N93" s="112">
        <v>0</v>
      </c>
      <c r="O93" s="127">
        <f t="shared" si="7"/>
        <v>111334703.86296624</v>
      </c>
      <c r="P93" s="127">
        <f t="shared" si="8"/>
        <v>7912784.2990198731</v>
      </c>
      <c r="Q93" s="216">
        <f t="shared" si="9"/>
        <v>7.6509741188156469E-2</v>
      </c>
      <c r="R93" s="176">
        <f t="shared" si="10"/>
        <v>7.6509741188156469E-2</v>
      </c>
      <c r="S93" s="13"/>
      <c r="T93" s="29"/>
      <c r="U93" s="29"/>
      <c r="V93" s="29"/>
      <c r="W93" s="29"/>
      <c r="X93" s="29"/>
      <c r="Y93" s="51"/>
    </row>
    <row r="94" spans="1:25">
      <c r="A94" s="250">
        <f t="shared" si="5"/>
        <v>37894</v>
      </c>
      <c r="B94" s="90">
        <v>98681486</v>
      </c>
      <c r="C94" s="101">
        <v>477820.99665000004</v>
      </c>
      <c r="F94" s="159">
        <v>159697.38319425046</v>
      </c>
      <c r="G94" s="127">
        <f t="shared" si="6"/>
        <v>98043967.620155752</v>
      </c>
      <c r="H94" s="1">
        <v>104.1</v>
      </c>
      <c r="I94" s="1">
        <v>6</v>
      </c>
      <c r="J94" s="10">
        <v>30</v>
      </c>
      <c r="K94" s="10">
        <v>1</v>
      </c>
      <c r="L94" s="119">
        <v>336.24</v>
      </c>
      <c r="M94" s="195">
        <v>45072</v>
      </c>
      <c r="N94" s="112">
        <v>0</v>
      </c>
      <c r="O94" s="127">
        <f t="shared" si="7"/>
        <v>96036209.994150877</v>
      </c>
      <c r="P94" s="127">
        <f t="shared" si="8"/>
        <v>-2007757.6260048747</v>
      </c>
      <c r="Q94" s="216">
        <f t="shared" si="9"/>
        <v>-2.0478135215655252E-2</v>
      </c>
      <c r="R94" s="176">
        <f t="shared" si="10"/>
        <v>2.0478135215655252E-2</v>
      </c>
      <c r="S94" s="13"/>
      <c r="T94" s="29"/>
      <c r="U94" s="29"/>
      <c r="V94" s="29"/>
      <c r="W94" s="29"/>
      <c r="X94" s="29"/>
      <c r="Y94" s="51"/>
    </row>
    <row r="95" spans="1:25">
      <c r="A95" s="250">
        <f t="shared" ref="A95:A158" si="11">EOMONTH(A94,1)</f>
        <v>37925</v>
      </c>
      <c r="B95" s="90">
        <v>104199872</v>
      </c>
      <c r="C95" s="101">
        <v>511790.23260000005</v>
      </c>
      <c r="F95" s="159">
        <v>168616.06260947988</v>
      </c>
      <c r="G95" s="127">
        <f t="shared" si="6"/>
        <v>103519465.70479052</v>
      </c>
      <c r="H95" s="1">
        <v>331.9</v>
      </c>
      <c r="I95" s="1">
        <v>0</v>
      </c>
      <c r="J95" s="10">
        <v>31</v>
      </c>
      <c r="K95" s="10">
        <v>1</v>
      </c>
      <c r="L95" s="119">
        <v>351.91199999999998</v>
      </c>
      <c r="M95" s="195">
        <v>45204</v>
      </c>
      <c r="N95" s="112">
        <v>0</v>
      </c>
      <c r="O95" s="127">
        <f t="shared" si="7"/>
        <v>104606509.4795761</v>
      </c>
      <c r="P95" s="127">
        <f t="shared" si="8"/>
        <v>1087043.7747855783</v>
      </c>
      <c r="Q95" s="216">
        <f t="shared" si="9"/>
        <v>1.050086345968528E-2</v>
      </c>
      <c r="R95" s="176">
        <f t="shared" si="10"/>
        <v>1.050086345968528E-2</v>
      </c>
      <c r="S95" s="13"/>
      <c r="T95" s="29"/>
      <c r="U95" s="29"/>
      <c r="V95" s="29"/>
      <c r="W95" s="29"/>
      <c r="X95" s="29"/>
      <c r="Y95" s="51"/>
    </row>
    <row r="96" spans="1:25">
      <c r="A96" s="250">
        <f t="shared" si="11"/>
        <v>37955</v>
      </c>
      <c r="B96" s="90">
        <v>105671242</v>
      </c>
      <c r="C96" s="101">
        <v>481979.99565000006</v>
      </c>
      <c r="F96" s="159">
        <v>171057.26025251756</v>
      </c>
      <c r="G96" s="127">
        <f t="shared" si="6"/>
        <v>105018204.74409749</v>
      </c>
      <c r="H96" s="1">
        <v>434.4</v>
      </c>
      <c r="I96" s="1">
        <v>0</v>
      </c>
      <c r="J96" s="10">
        <v>30</v>
      </c>
      <c r="K96" s="10">
        <v>1</v>
      </c>
      <c r="L96" s="119">
        <v>319.68</v>
      </c>
      <c r="M96" s="195">
        <v>45375</v>
      </c>
      <c r="N96" s="112">
        <v>0</v>
      </c>
      <c r="O96" s="127">
        <f t="shared" si="7"/>
        <v>103693981.63488474</v>
      </c>
      <c r="P96" s="127">
        <f t="shared" si="8"/>
        <v>-1324223.1092127413</v>
      </c>
      <c r="Q96" s="216">
        <f t="shared" si="9"/>
        <v>-1.2609462449291857E-2</v>
      </c>
      <c r="R96" s="176">
        <f t="shared" si="10"/>
        <v>1.2609462449291857E-2</v>
      </c>
      <c r="S96" s="13"/>
      <c r="T96" s="51"/>
      <c r="U96" s="51"/>
      <c r="V96" s="51"/>
      <c r="W96" s="51"/>
      <c r="X96" s="51"/>
      <c r="Y96" s="51"/>
    </row>
    <row r="97" spans="1:54">
      <c r="A97" s="250">
        <f t="shared" si="11"/>
        <v>37986</v>
      </c>
      <c r="B97" s="90">
        <v>112870231</v>
      </c>
      <c r="C97" s="101">
        <v>507131.58915000001</v>
      </c>
      <c r="F97" s="159">
        <v>182723.25114236874</v>
      </c>
      <c r="G97" s="127">
        <f t="shared" si="6"/>
        <v>112180376.15970764</v>
      </c>
      <c r="H97" s="1">
        <v>610</v>
      </c>
      <c r="I97" s="1">
        <v>0</v>
      </c>
      <c r="J97" s="10">
        <v>31</v>
      </c>
      <c r="K97" s="10">
        <v>0</v>
      </c>
      <c r="L97" s="119">
        <v>336.28800000000001</v>
      </c>
      <c r="M97" s="195">
        <v>45463</v>
      </c>
      <c r="N97" s="112">
        <v>0</v>
      </c>
      <c r="O97" s="127">
        <f t="shared" si="7"/>
        <v>114315494.89621893</v>
      </c>
      <c r="P97" s="127">
        <f t="shared" si="8"/>
        <v>2135118.7365112901</v>
      </c>
      <c r="Q97" s="216">
        <f t="shared" si="9"/>
        <v>1.9032907622555922E-2</v>
      </c>
      <c r="R97" s="176">
        <f t="shared" si="10"/>
        <v>1.9032907622555922E-2</v>
      </c>
      <c r="S97" s="13"/>
      <c r="T97" s="75"/>
      <c r="U97" s="75"/>
      <c r="V97" s="75"/>
      <c r="W97" s="75"/>
      <c r="X97" s="75"/>
      <c r="Y97" s="75"/>
    </row>
    <row r="98" spans="1:54" s="14" customFormat="1">
      <c r="A98" s="250">
        <f t="shared" si="11"/>
        <v>38017</v>
      </c>
      <c r="B98" s="90">
        <v>123356627</v>
      </c>
      <c r="C98" s="101">
        <v>491162.72670000006</v>
      </c>
      <c r="D98" s="90"/>
      <c r="E98" s="101"/>
      <c r="F98" s="159">
        <v>216043.56339785349</v>
      </c>
      <c r="G98" s="127">
        <f t="shared" si="6"/>
        <v>122649420.70990215</v>
      </c>
      <c r="H98" s="1">
        <v>879.2</v>
      </c>
      <c r="I98" s="1">
        <v>0</v>
      </c>
      <c r="J98" s="10">
        <v>31</v>
      </c>
      <c r="K98" s="16">
        <v>0</v>
      </c>
      <c r="L98" s="119">
        <v>336.28800000000001</v>
      </c>
      <c r="M98" s="195">
        <v>45553.333333333336</v>
      </c>
      <c r="N98" s="112">
        <v>0</v>
      </c>
      <c r="O98" s="127">
        <f t="shared" si="7"/>
        <v>122053823.55004206</v>
      </c>
      <c r="P98" s="127">
        <f t="shared" si="8"/>
        <v>-595597.15986008942</v>
      </c>
      <c r="Q98" s="216">
        <f t="shared" si="9"/>
        <v>-4.856094357500733E-3</v>
      </c>
      <c r="R98" s="176">
        <f t="shared" si="10"/>
        <v>4.856094357500733E-3</v>
      </c>
      <c r="S98" s="13"/>
      <c r="T98" s="29"/>
      <c r="U98" s="29"/>
      <c r="V98" s="29"/>
      <c r="W98" s="29"/>
      <c r="X98" s="29"/>
      <c r="Y98" s="29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</row>
    <row r="99" spans="1:54">
      <c r="A99" s="250">
        <f t="shared" si="11"/>
        <v>38046</v>
      </c>
      <c r="B99" s="90">
        <v>110886761</v>
      </c>
      <c r="C99" s="101">
        <v>454979.43540000002</v>
      </c>
      <c r="F99" s="159">
        <v>194180.48629613317</v>
      </c>
      <c r="G99" s="127">
        <f t="shared" si="6"/>
        <v>110237601.07830387</v>
      </c>
      <c r="H99" s="1">
        <v>699.2</v>
      </c>
      <c r="I99" s="1">
        <v>0</v>
      </c>
      <c r="J99" s="10">
        <v>29</v>
      </c>
      <c r="K99" s="16">
        <v>0</v>
      </c>
      <c r="L99" s="119">
        <v>320.16000000000003</v>
      </c>
      <c r="M99" s="195">
        <v>45664.666666666672</v>
      </c>
      <c r="N99" s="112">
        <v>0</v>
      </c>
      <c r="O99" s="127">
        <f t="shared" si="7"/>
        <v>111858979.31653783</v>
      </c>
      <c r="P99" s="127">
        <f t="shared" si="8"/>
        <v>1621378.2382339537</v>
      </c>
      <c r="Q99" s="216">
        <f t="shared" si="9"/>
        <v>1.4708032671014474E-2</v>
      </c>
      <c r="R99" s="176">
        <f t="shared" si="10"/>
        <v>1.4708032671014474E-2</v>
      </c>
      <c r="S99" s="13"/>
      <c r="T99" s="29"/>
      <c r="U99" s="29"/>
      <c r="V99" s="29"/>
      <c r="W99" s="29"/>
      <c r="X99" s="29"/>
      <c r="Y99" s="29"/>
    </row>
    <row r="100" spans="1:54">
      <c r="A100" s="250">
        <f t="shared" si="11"/>
        <v>38077</v>
      </c>
      <c r="B100" s="90">
        <v>114371810</v>
      </c>
      <c r="C100" s="101">
        <v>479036.70405</v>
      </c>
      <c r="F100" s="159">
        <v>200266.2077065706</v>
      </c>
      <c r="G100" s="127">
        <f t="shared" si="6"/>
        <v>113692507.08824342</v>
      </c>
      <c r="H100" s="1">
        <v>540.9</v>
      </c>
      <c r="I100" s="1">
        <v>0</v>
      </c>
      <c r="J100" s="10">
        <v>31</v>
      </c>
      <c r="K100" s="16">
        <v>1</v>
      </c>
      <c r="L100" s="119">
        <v>368.28</v>
      </c>
      <c r="M100" s="195">
        <v>45790</v>
      </c>
      <c r="N100" s="112">
        <v>0</v>
      </c>
      <c r="O100" s="127">
        <f t="shared" si="7"/>
        <v>112917089.72581315</v>
      </c>
      <c r="P100" s="127">
        <f t="shared" si="8"/>
        <v>-775417.36243027449</v>
      </c>
      <c r="Q100" s="216">
        <f t="shared" si="9"/>
        <v>-6.8203031342111897E-3</v>
      </c>
      <c r="R100" s="176">
        <f t="shared" si="10"/>
        <v>6.8203031342111897E-3</v>
      </c>
      <c r="S100" s="13"/>
      <c r="T100" s="29"/>
      <c r="U100" s="29"/>
      <c r="V100" s="29"/>
      <c r="W100" s="29"/>
      <c r="X100" s="29"/>
      <c r="Y100" s="29"/>
    </row>
    <row r="101" spans="1:54">
      <c r="A101" s="250">
        <f t="shared" si="11"/>
        <v>38107</v>
      </c>
      <c r="B101" s="90">
        <v>100778720</v>
      </c>
      <c r="C101" s="101">
        <v>497337.24060000008</v>
      </c>
      <c r="F101" s="159">
        <v>176332.27857759307</v>
      </c>
      <c r="G101" s="127">
        <f t="shared" si="6"/>
        <v>100105050.4808224</v>
      </c>
      <c r="H101" s="1">
        <v>354.1</v>
      </c>
      <c r="I101" s="1">
        <v>0</v>
      </c>
      <c r="J101" s="10">
        <v>30</v>
      </c>
      <c r="K101" s="16">
        <v>1</v>
      </c>
      <c r="L101" s="119">
        <v>336.24</v>
      </c>
      <c r="M101" s="195">
        <v>45875</v>
      </c>
      <c r="N101" s="112">
        <v>0</v>
      </c>
      <c r="O101" s="127">
        <f t="shared" si="7"/>
        <v>103728150.475205</v>
      </c>
      <c r="P101" s="127">
        <f t="shared" si="8"/>
        <v>3623099.994382605</v>
      </c>
      <c r="Q101" s="216">
        <f t="shared" si="9"/>
        <v>3.6192979045314995E-2</v>
      </c>
      <c r="R101" s="176">
        <f t="shared" si="10"/>
        <v>3.6192979045314995E-2</v>
      </c>
      <c r="S101" s="13"/>
      <c r="T101" s="29"/>
      <c r="U101" s="29"/>
      <c r="V101" s="29"/>
      <c r="W101" s="29"/>
      <c r="X101" s="29"/>
      <c r="Y101" s="29"/>
    </row>
    <row r="102" spans="1:54">
      <c r="A102" s="250">
        <f t="shared" si="11"/>
        <v>38138</v>
      </c>
      <c r="B102" s="90">
        <v>99917690</v>
      </c>
      <c r="C102" s="101">
        <v>502450.36290000001</v>
      </c>
      <c r="F102" s="159">
        <v>174809.27414619323</v>
      </c>
      <c r="G102" s="127">
        <f t="shared" si="6"/>
        <v>99240430.362953797</v>
      </c>
      <c r="H102" s="1">
        <v>196.2</v>
      </c>
      <c r="I102" s="1">
        <v>6.7</v>
      </c>
      <c r="J102" s="10">
        <v>31</v>
      </c>
      <c r="K102" s="16">
        <v>1</v>
      </c>
      <c r="L102" s="119">
        <v>319.92</v>
      </c>
      <c r="M102" s="195">
        <v>45923</v>
      </c>
      <c r="N102" s="112">
        <v>0</v>
      </c>
      <c r="O102" s="127">
        <f t="shared" si="7"/>
        <v>102144504.91719291</v>
      </c>
      <c r="P102" s="127">
        <f t="shared" si="8"/>
        <v>2904074.5542391092</v>
      </c>
      <c r="Q102" s="216">
        <f t="shared" si="9"/>
        <v>2.9263018546150852E-2</v>
      </c>
      <c r="R102" s="176">
        <f t="shared" si="10"/>
        <v>2.9263018546150852E-2</v>
      </c>
      <c r="S102" s="13"/>
      <c r="T102" s="29"/>
      <c r="U102" s="29"/>
      <c r="V102" s="29"/>
      <c r="W102" s="29"/>
      <c r="X102" s="29"/>
      <c r="Y102" s="29"/>
    </row>
    <row r="103" spans="1:54">
      <c r="A103" s="250">
        <f t="shared" si="11"/>
        <v>38168</v>
      </c>
      <c r="B103" s="90">
        <v>101500696</v>
      </c>
      <c r="C103" s="101">
        <v>522270.53370000009</v>
      </c>
      <c r="F103" s="159">
        <v>177557.94106240806</v>
      </c>
      <c r="G103" s="127">
        <f t="shared" si="6"/>
        <v>100800867.52523759</v>
      </c>
      <c r="H103" s="1">
        <v>92.5</v>
      </c>
      <c r="I103" s="1">
        <v>16.3</v>
      </c>
      <c r="J103" s="10">
        <v>30</v>
      </c>
      <c r="K103" s="16">
        <v>0</v>
      </c>
      <c r="L103" s="119">
        <v>352.08</v>
      </c>
      <c r="M103" s="195">
        <v>46112</v>
      </c>
      <c r="N103" s="112">
        <v>0</v>
      </c>
      <c r="O103" s="127">
        <f t="shared" si="7"/>
        <v>103806962.54708751</v>
      </c>
      <c r="P103" s="127">
        <f t="shared" si="8"/>
        <v>3006095.0218499154</v>
      </c>
      <c r="Q103" s="216">
        <f t="shared" si="9"/>
        <v>2.982211458742929E-2</v>
      </c>
      <c r="R103" s="176">
        <f t="shared" si="10"/>
        <v>2.982211458742929E-2</v>
      </c>
      <c r="S103" s="13"/>
      <c r="T103" s="29"/>
      <c r="U103" s="29"/>
      <c r="V103" s="29"/>
      <c r="W103" s="29"/>
      <c r="X103" s="29"/>
      <c r="Y103" s="29"/>
    </row>
    <row r="104" spans="1:54">
      <c r="A104" s="250">
        <f t="shared" si="11"/>
        <v>38199</v>
      </c>
      <c r="B104" s="90">
        <v>106988465</v>
      </c>
      <c r="C104" s="101">
        <v>546336.2709</v>
      </c>
      <c r="F104" s="159">
        <v>187165.18040525657</v>
      </c>
      <c r="G104" s="127">
        <f t="shared" si="6"/>
        <v>106254963.54869474</v>
      </c>
      <c r="H104" s="1">
        <v>21.3</v>
      </c>
      <c r="I104" s="1">
        <v>49.3</v>
      </c>
      <c r="J104" s="10">
        <v>31</v>
      </c>
      <c r="K104" s="16">
        <v>0</v>
      </c>
      <c r="L104" s="119">
        <v>336.28800000000001</v>
      </c>
      <c r="M104" s="195">
        <v>46202</v>
      </c>
      <c r="N104" s="112">
        <v>0</v>
      </c>
      <c r="O104" s="127">
        <f t="shared" si="7"/>
        <v>110523722.19022873</v>
      </c>
      <c r="P104" s="127">
        <f t="shared" si="8"/>
        <v>4268758.6415339857</v>
      </c>
      <c r="Q104" s="216">
        <f t="shared" si="9"/>
        <v>4.0174675130142889E-2</v>
      </c>
      <c r="R104" s="176">
        <f t="shared" si="10"/>
        <v>4.0174675130142889E-2</v>
      </c>
      <c r="S104" s="13"/>
      <c r="T104" s="29"/>
      <c r="U104" s="29"/>
      <c r="V104" s="29"/>
      <c r="W104" s="29"/>
      <c r="X104" s="29"/>
      <c r="Y104" s="29"/>
    </row>
    <row r="105" spans="1:54">
      <c r="A105" s="250">
        <f t="shared" si="11"/>
        <v>38230</v>
      </c>
      <c r="B105" s="90">
        <v>105697735</v>
      </c>
      <c r="C105" s="101">
        <v>523277.35020000004</v>
      </c>
      <c r="F105" s="159">
        <v>184936.13924378599</v>
      </c>
      <c r="G105" s="127">
        <f t="shared" si="6"/>
        <v>104989521.51055622</v>
      </c>
      <c r="H105" s="1">
        <v>55</v>
      </c>
      <c r="I105" s="1">
        <v>30.6</v>
      </c>
      <c r="J105" s="10">
        <v>31</v>
      </c>
      <c r="K105" s="16">
        <v>0</v>
      </c>
      <c r="L105" s="119">
        <v>336.28800000000001</v>
      </c>
      <c r="M105" s="195">
        <v>46332</v>
      </c>
      <c r="N105" s="112">
        <v>0</v>
      </c>
      <c r="O105" s="127">
        <f t="shared" si="7"/>
        <v>107708510.46596265</v>
      </c>
      <c r="P105" s="127">
        <f t="shared" si="8"/>
        <v>2718988.9554064274</v>
      </c>
      <c r="Q105" s="216">
        <f t="shared" si="9"/>
        <v>2.5897717374900556E-2</v>
      </c>
      <c r="R105" s="176">
        <f t="shared" si="10"/>
        <v>2.5897717374900556E-2</v>
      </c>
      <c r="S105" s="13"/>
      <c r="T105" s="29"/>
      <c r="U105" s="29"/>
      <c r="V105" s="29"/>
      <c r="W105" s="29"/>
      <c r="X105" s="29"/>
      <c r="Y105" s="29"/>
    </row>
    <row r="106" spans="1:54">
      <c r="A106" s="250">
        <f t="shared" si="11"/>
        <v>38260</v>
      </c>
      <c r="B106" s="90">
        <v>105959836</v>
      </c>
      <c r="C106" s="101">
        <v>531322.47270000004</v>
      </c>
      <c r="F106" s="159">
        <v>185382.86475287762</v>
      </c>
      <c r="G106" s="127">
        <f t="shared" si="6"/>
        <v>105243130.66254713</v>
      </c>
      <c r="H106" s="1">
        <v>71.3</v>
      </c>
      <c r="I106" s="1">
        <v>13.7</v>
      </c>
      <c r="J106" s="10">
        <v>30</v>
      </c>
      <c r="K106" s="16">
        <v>1</v>
      </c>
      <c r="L106" s="119">
        <v>336.24</v>
      </c>
      <c r="M106" s="195">
        <v>46496.333333333328</v>
      </c>
      <c r="N106" s="112">
        <v>0</v>
      </c>
      <c r="O106" s="127">
        <f t="shared" si="7"/>
        <v>100399158.16162097</v>
      </c>
      <c r="P106" s="127">
        <f t="shared" si="8"/>
        <v>-4843972.5009261519</v>
      </c>
      <c r="Q106" s="216">
        <f t="shared" si="9"/>
        <v>-4.6026495700302997E-2</v>
      </c>
      <c r="R106" s="176">
        <f t="shared" si="10"/>
        <v>4.6026495700302997E-2</v>
      </c>
      <c r="S106" s="13"/>
      <c r="T106" s="29"/>
      <c r="U106" s="29"/>
      <c r="V106" s="29"/>
      <c r="W106" s="29"/>
      <c r="X106" s="29"/>
      <c r="Y106" s="29"/>
    </row>
    <row r="107" spans="1:54">
      <c r="A107" s="250">
        <f t="shared" si="11"/>
        <v>38291</v>
      </c>
      <c r="B107" s="90">
        <v>104738230</v>
      </c>
      <c r="C107" s="101">
        <v>546993.99495000008</v>
      </c>
      <c r="F107" s="159">
        <v>183207.26686294196</v>
      </c>
      <c r="G107" s="127">
        <f t="shared" si="6"/>
        <v>104008028.73818706</v>
      </c>
      <c r="H107" s="1">
        <v>287.5</v>
      </c>
      <c r="I107" s="1">
        <v>0</v>
      </c>
      <c r="J107" s="10">
        <v>31</v>
      </c>
      <c r="K107" s="16">
        <v>1</v>
      </c>
      <c r="L107" s="119">
        <v>319.92</v>
      </c>
      <c r="M107" s="195">
        <v>46660.666666666664</v>
      </c>
      <c r="N107" s="112">
        <v>0</v>
      </c>
      <c r="O107" s="127">
        <f t="shared" si="7"/>
        <v>105091145.67134038</v>
      </c>
      <c r="P107" s="127">
        <f t="shared" si="8"/>
        <v>1083116.9331533164</v>
      </c>
      <c r="Q107" s="216">
        <f t="shared" si="9"/>
        <v>1.0413781957927299E-2</v>
      </c>
      <c r="R107" s="176">
        <f t="shared" si="10"/>
        <v>1.0413781957927299E-2</v>
      </c>
      <c r="S107" s="13"/>
    </row>
    <row r="108" spans="1:54">
      <c r="A108" s="250">
        <f t="shared" si="11"/>
        <v>38321</v>
      </c>
      <c r="B108" s="90">
        <v>109633798</v>
      </c>
      <c r="C108" s="101">
        <v>550187.57925000007</v>
      </c>
      <c r="F108" s="159">
        <v>191809.89583191913</v>
      </c>
      <c r="G108" s="127">
        <f t="shared" si="6"/>
        <v>108891800.52491809</v>
      </c>
      <c r="H108" s="1">
        <v>432.9</v>
      </c>
      <c r="I108" s="1">
        <v>0</v>
      </c>
      <c r="J108" s="10">
        <v>30</v>
      </c>
      <c r="K108" s="16">
        <v>1</v>
      </c>
      <c r="L108" s="119">
        <v>352.08</v>
      </c>
      <c r="M108" s="195">
        <v>46825</v>
      </c>
      <c r="N108" s="112">
        <v>0</v>
      </c>
      <c r="O108" s="127">
        <f t="shared" si="7"/>
        <v>109293222.81345356</v>
      </c>
      <c r="P108" s="127">
        <f t="shared" si="8"/>
        <v>401422.28853546083</v>
      </c>
      <c r="Q108" s="216">
        <f t="shared" si="9"/>
        <v>3.6864326478245894E-3</v>
      </c>
      <c r="R108" s="176">
        <f t="shared" si="10"/>
        <v>3.6864326478245894E-3</v>
      </c>
      <c r="S108" s="13"/>
    </row>
    <row r="109" spans="1:54" s="28" customFormat="1">
      <c r="A109" s="250">
        <f t="shared" si="11"/>
        <v>38352</v>
      </c>
      <c r="B109" s="90">
        <v>118965070</v>
      </c>
      <c r="C109" s="101">
        <v>559781.50545000006</v>
      </c>
      <c r="D109" s="90"/>
      <c r="E109" s="101"/>
      <c r="F109" s="159">
        <v>208200.9017164672</v>
      </c>
      <c r="G109" s="127">
        <f t="shared" si="6"/>
        <v>118197087.59283353</v>
      </c>
      <c r="H109" s="1">
        <v>700.1</v>
      </c>
      <c r="I109" s="1">
        <v>0</v>
      </c>
      <c r="J109" s="10">
        <v>31</v>
      </c>
      <c r="K109" s="16">
        <v>0</v>
      </c>
      <c r="L109" s="119">
        <v>336.28800000000001</v>
      </c>
      <c r="M109" s="195">
        <v>46881</v>
      </c>
      <c r="N109" s="112">
        <v>0</v>
      </c>
      <c r="O109" s="127">
        <f t="shared" si="7"/>
        <v>120409656.9700717</v>
      </c>
      <c r="P109" s="127">
        <f t="shared" si="8"/>
        <v>2212569.3772381693</v>
      </c>
      <c r="Q109" s="216">
        <f t="shared" si="9"/>
        <v>1.8719322297179181E-2</v>
      </c>
      <c r="R109" s="176">
        <f t="shared" si="10"/>
        <v>1.8719322297179181E-2</v>
      </c>
      <c r="S109" s="13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</row>
    <row r="110" spans="1:54">
      <c r="A110" s="250">
        <f t="shared" si="11"/>
        <v>38383</v>
      </c>
      <c r="B110" s="90">
        <v>125529169</v>
      </c>
      <c r="C110" s="101">
        <v>560016.7429500001</v>
      </c>
      <c r="F110" s="159">
        <v>169526.82851870151</v>
      </c>
      <c r="G110" s="127">
        <f t="shared" si="6"/>
        <v>124799625.42853129</v>
      </c>
      <c r="H110" s="1">
        <v>814.7</v>
      </c>
      <c r="I110" s="1">
        <v>0</v>
      </c>
      <c r="J110" s="10">
        <v>31</v>
      </c>
      <c r="K110" s="10">
        <v>0</v>
      </c>
      <c r="L110" s="119">
        <v>319.92</v>
      </c>
      <c r="M110" s="195">
        <v>46961</v>
      </c>
      <c r="N110" s="112">
        <v>0</v>
      </c>
      <c r="O110" s="127">
        <f t="shared" si="7"/>
        <v>122808662.44301692</v>
      </c>
      <c r="P110" s="127">
        <f t="shared" si="8"/>
        <v>-1990962.9855143726</v>
      </c>
      <c r="Q110" s="216">
        <f t="shared" si="9"/>
        <v>-1.5953276932345703E-2</v>
      </c>
      <c r="R110" s="176">
        <f t="shared" si="10"/>
        <v>1.5953276932345703E-2</v>
      </c>
      <c r="S110" s="13"/>
    </row>
    <row r="111" spans="1:54">
      <c r="A111" s="250">
        <f t="shared" si="11"/>
        <v>38411</v>
      </c>
      <c r="B111" s="90">
        <v>110018389</v>
      </c>
      <c r="C111" s="101">
        <v>494481.45735000004</v>
      </c>
      <c r="D111" s="90">
        <v>1891</v>
      </c>
      <c r="F111" s="159">
        <v>148574.59106780085</v>
      </c>
      <c r="G111" s="127">
        <f t="shared" si="6"/>
        <v>109377223.95158219</v>
      </c>
      <c r="H111" s="1">
        <v>683.5</v>
      </c>
      <c r="I111" s="1">
        <v>0</v>
      </c>
      <c r="J111" s="10">
        <v>28</v>
      </c>
      <c r="K111" s="10">
        <v>0</v>
      </c>
      <c r="L111" s="119">
        <v>319.87200000000001</v>
      </c>
      <c r="M111" s="195">
        <v>47060</v>
      </c>
      <c r="N111" s="112">
        <v>0</v>
      </c>
      <c r="O111" s="127">
        <f t="shared" si="7"/>
        <v>112692273.549962</v>
      </c>
      <c r="P111" s="127">
        <f t="shared" si="8"/>
        <v>3315049.5983798057</v>
      </c>
      <c r="Q111" s="216">
        <f t="shared" si="9"/>
        <v>3.0308408630367802E-2</v>
      </c>
      <c r="R111" s="176">
        <f t="shared" si="10"/>
        <v>3.0308408630367802E-2</v>
      </c>
      <c r="S111" s="13"/>
    </row>
    <row r="112" spans="1:54">
      <c r="A112" s="250">
        <f t="shared" si="11"/>
        <v>38442</v>
      </c>
      <c r="B112" s="90">
        <v>117480987</v>
      </c>
      <c r="C112" s="101">
        <v>561214.5723</v>
      </c>
      <c r="D112" s="90">
        <v>993</v>
      </c>
      <c r="F112" s="159">
        <v>158607.44714044521</v>
      </c>
      <c r="G112" s="127">
        <f t="shared" si="6"/>
        <v>116762157.98055956</v>
      </c>
      <c r="H112" s="1">
        <v>680.5</v>
      </c>
      <c r="I112" s="1">
        <v>0</v>
      </c>
      <c r="J112" s="10">
        <v>31</v>
      </c>
      <c r="K112" s="10">
        <v>1</v>
      </c>
      <c r="L112" s="119">
        <v>351.91199999999998</v>
      </c>
      <c r="M112" s="195">
        <v>47156</v>
      </c>
      <c r="N112" s="112">
        <v>0</v>
      </c>
      <c r="O112" s="127">
        <f t="shared" si="7"/>
        <v>119260768.82142104</v>
      </c>
      <c r="P112" s="127">
        <f t="shared" si="8"/>
        <v>2498610.8408614844</v>
      </c>
      <c r="Q112" s="216">
        <f t="shared" si="9"/>
        <v>2.1399149211318049E-2</v>
      </c>
      <c r="R112" s="176">
        <f t="shared" si="10"/>
        <v>2.1399149211318049E-2</v>
      </c>
      <c r="S112" s="13"/>
    </row>
    <row r="113" spans="1:19">
      <c r="A113" s="250">
        <f t="shared" si="11"/>
        <v>38472</v>
      </c>
      <c r="B113" s="90">
        <v>102655932</v>
      </c>
      <c r="C113" s="101">
        <v>533776.47030000004</v>
      </c>
      <c r="D113" s="90">
        <v>611</v>
      </c>
      <c r="F113" s="159">
        <v>138533.7488153358</v>
      </c>
      <c r="G113" s="127">
        <f t="shared" si="6"/>
        <v>101984232.78088465</v>
      </c>
      <c r="H113" s="1">
        <v>354.6</v>
      </c>
      <c r="I113" s="1">
        <v>0</v>
      </c>
      <c r="J113" s="10">
        <v>30</v>
      </c>
      <c r="K113" s="10">
        <v>1</v>
      </c>
      <c r="L113" s="119">
        <v>336.24</v>
      </c>
      <c r="M113" s="195">
        <v>47057</v>
      </c>
      <c r="N113" s="112">
        <v>0</v>
      </c>
      <c r="O113" s="127">
        <f t="shared" si="7"/>
        <v>106726709.56145778</v>
      </c>
      <c r="P113" s="127">
        <f t="shared" si="8"/>
        <v>4742476.7805731297</v>
      </c>
      <c r="Q113" s="216">
        <f t="shared" si="9"/>
        <v>4.6502058712962466E-2</v>
      </c>
      <c r="R113" s="176">
        <f t="shared" si="10"/>
        <v>4.6502058712962466E-2</v>
      </c>
      <c r="S113" s="13"/>
    </row>
    <row r="114" spans="1:19">
      <c r="A114" s="250">
        <f t="shared" si="11"/>
        <v>38503</v>
      </c>
      <c r="B114" s="90">
        <v>101003739</v>
      </c>
      <c r="C114" s="101">
        <v>540498.61710000003</v>
      </c>
      <c r="D114" s="90">
        <v>1260</v>
      </c>
      <c r="F114" s="159">
        <v>136283.34846821512</v>
      </c>
      <c r="G114" s="127">
        <f t="shared" si="6"/>
        <v>100328217.03443179</v>
      </c>
      <c r="H114" s="1">
        <v>244.9</v>
      </c>
      <c r="I114" s="1">
        <v>0</v>
      </c>
      <c r="J114" s="10">
        <v>31</v>
      </c>
      <c r="K114" s="10">
        <v>1</v>
      </c>
      <c r="L114" s="119">
        <v>336.28800000000001</v>
      </c>
      <c r="M114" s="195">
        <v>47180</v>
      </c>
      <c r="N114" s="112">
        <v>0</v>
      </c>
      <c r="O114" s="127">
        <f t="shared" si="7"/>
        <v>106214167.53371879</v>
      </c>
      <c r="P114" s="127">
        <f t="shared" si="8"/>
        <v>5885950.4992870092</v>
      </c>
      <c r="Q114" s="216">
        <f t="shared" si="9"/>
        <v>5.8666950069161512E-2</v>
      </c>
      <c r="R114" s="176">
        <f t="shared" si="10"/>
        <v>5.8666950069161512E-2</v>
      </c>
      <c r="S114" s="13"/>
    </row>
    <row r="115" spans="1:19">
      <c r="A115" s="250">
        <f t="shared" si="11"/>
        <v>38533</v>
      </c>
      <c r="B115" s="90">
        <v>120806868</v>
      </c>
      <c r="C115" s="101">
        <v>529090.53930000006</v>
      </c>
      <c r="D115" s="90">
        <v>1538</v>
      </c>
      <c r="F115" s="159">
        <v>163162.74685331664</v>
      </c>
      <c r="G115" s="127">
        <f t="shared" si="6"/>
        <v>120116152.71384668</v>
      </c>
      <c r="H115" s="1">
        <v>27.3</v>
      </c>
      <c r="I115" s="1">
        <v>104.8</v>
      </c>
      <c r="J115" s="10">
        <v>30</v>
      </c>
      <c r="K115" s="10">
        <v>0</v>
      </c>
      <c r="L115" s="119">
        <v>352.08</v>
      </c>
      <c r="M115" s="195">
        <v>47430</v>
      </c>
      <c r="N115" s="112">
        <v>0</v>
      </c>
      <c r="O115" s="127">
        <f t="shared" si="7"/>
        <v>124642336.21228555</v>
      </c>
      <c r="P115" s="127">
        <f t="shared" si="8"/>
        <v>4526183.4984388649</v>
      </c>
      <c r="Q115" s="216">
        <f t="shared" si="9"/>
        <v>3.768172220118983E-2</v>
      </c>
      <c r="R115" s="176">
        <f t="shared" si="10"/>
        <v>3.768172220118983E-2</v>
      </c>
      <c r="S115" s="13"/>
    </row>
    <row r="116" spans="1:19">
      <c r="A116" s="250">
        <f t="shared" si="11"/>
        <v>38564</v>
      </c>
      <c r="B116" s="90">
        <v>121659153</v>
      </c>
      <c r="C116" s="101">
        <v>513321.15825000004</v>
      </c>
      <c r="D116" s="90">
        <v>846</v>
      </c>
      <c r="F116" s="159">
        <v>164340.30550313831</v>
      </c>
      <c r="G116" s="127">
        <f t="shared" si="6"/>
        <v>120982337.53624685</v>
      </c>
      <c r="H116" s="1">
        <v>6.8</v>
      </c>
      <c r="I116" s="1">
        <v>105.4</v>
      </c>
      <c r="J116" s="10">
        <v>31</v>
      </c>
      <c r="K116" s="10">
        <v>0</v>
      </c>
      <c r="L116" s="119">
        <v>319.92</v>
      </c>
      <c r="M116" s="195">
        <v>47565</v>
      </c>
      <c r="N116" s="112">
        <v>0</v>
      </c>
      <c r="O116" s="127">
        <f t="shared" si="7"/>
        <v>124811619.19807509</v>
      </c>
      <c r="P116" s="127">
        <f t="shared" si="8"/>
        <v>3829281.6618282348</v>
      </c>
      <c r="Q116" s="216">
        <f t="shared" si="9"/>
        <v>3.165157608796379E-2</v>
      </c>
      <c r="R116" s="176">
        <f t="shared" si="10"/>
        <v>3.165157608796379E-2</v>
      </c>
      <c r="S116" s="13"/>
    </row>
    <row r="117" spans="1:19">
      <c r="A117" s="250">
        <f t="shared" si="11"/>
        <v>38595</v>
      </c>
      <c r="B117" s="90">
        <v>118714206</v>
      </c>
      <c r="C117" s="101">
        <v>531068.41620000009</v>
      </c>
      <c r="D117" s="90">
        <v>976</v>
      </c>
      <c r="F117" s="159">
        <v>160321.26438499312</v>
      </c>
      <c r="G117" s="127">
        <f t="shared" si="6"/>
        <v>118023792.319415</v>
      </c>
      <c r="H117" s="1">
        <v>11.9</v>
      </c>
      <c r="I117" s="1">
        <v>67.900000000000006</v>
      </c>
      <c r="J117" s="10">
        <v>31</v>
      </c>
      <c r="K117" s="10">
        <v>0</v>
      </c>
      <c r="L117" s="119">
        <v>351.91199999999998</v>
      </c>
      <c r="M117" s="195">
        <v>47605</v>
      </c>
      <c r="N117" s="112">
        <v>0</v>
      </c>
      <c r="O117" s="127">
        <f t="shared" si="7"/>
        <v>118820615.32796247</v>
      </c>
      <c r="P117" s="127">
        <f t="shared" si="8"/>
        <v>796823.00854746997</v>
      </c>
      <c r="Q117" s="216">
        <f t="shared" si="9"/>
        <v>6.7513760817901796E-3</v>
      </c>
      <c r="R117" s="176">
        <f t="shared" si="10"/>
        <v>6.7513760817901796E-3</v>
      </c>
      <c r="S117" s="13"/>
    </row>
    <row r="118" spans="1:19">
      <c r="A118" s="250">
        <f t="shared" si="11"/>
        <v>38625</v>
      </c>
      <c r="B118" s="90">
        <v>107398525</v>
      </c>
      <c r="C118" s="101">
        <v>513110.38545000006</v>
      </c>
      <c r="D118" s="90">
        <v>1756</v>
      </c>
      <c r="F118" s="159">
        <v>144995.34506915818</v>
      </c>
      <c r="G118" s="127">
        <f t="shared" si="6"/>
        <v>106742175.26948084</v>
      </c>
      <c r="H118" s="1">
        <v>63.4</v>
      </c>
      <c r="I118" s="1">
        <v>13.7</v>
      </c>
      <c r="J118" s="10">
        <v>30</v>
      </c>
      <c r="K118" s="10">
        <v>1</v>
      </c>
      <c r="L118" s="119">
        <v>336.24</v>
      </c>
      <c r="M118" s="195">
        <v>47806</v>
      </c>
      <c r="N118" s="112">
        <v>0</v>
      </c>
      <c r="O118" s="127">
        <f t="shared" si="7"/>
        <v>103485736.0193139</v>
      </c>
      <c r="P118" s="127">
        <f t="shared" si="8"/>
        <v>-3256439.2501669377</v>
      </c>
      <c r="Q118" s="216">
        <f t="shared" si="9"/>
        <v>-3.0507521904493188E-2</v>
      </c>
      <c r="R118" s="176">
        <f t="shared" si="10"/>
        <v>3.0507521904493188E-2</v>
      </c>
      <c r="S118" s="13"/>
    </row>
    <row r="119" spans="1:19">
      <c r="A119" s="250">
        <f t="shared" si="11"/>
        <v>38656</v>
      </c>
      <c r="B119" s="90">
        <v>108114071</v>
      </c>
      <c r="C119" s="101">
        <v>569068.68195000011</v>
      </c>
      <c r="D119" s="90">
        <v>2427</v>
      </c>
      <c r="F119" s="159">
        <v>145890.10837261958</v>
      </c>
      <c r="G119" s="127">
        <f t="shared" si="6"/>
        <v>107401539.20967738</v>
      </c>
      <c r="H119" s="1">
        <v>259.89999999999998</v>
      </c>
      <c r="I119" s="1">
        <v>2.6</v>
      </c>
      <c r="J119" s="10">
        <v>31</v>
      </c>
      <c r="K119" s="10">
        <v>1</v>
      </c>
      <c r="L119" s="119">
        <v>319.92</v>
      </c>
      <c r="M119" s="195">
        <v>47911</v>
      </c>
      <c r="N119" s="112">
        <v>0</v>
      </c>
      <c r="O119" s="127">
        <f t="shared" si="7"/>
        <v>108046085.75016844</v>
      </c>
      <c r="P119" s="127">
        <f t="shared" si="8"/>
        <v>644546.54049105942</v>
      </c>
      <c r="Q119" s="216">
        <f t="shared" si="9"/>
        <v>6.0012784289127088E-3</v>
      </c>
      <c r="R119" s="176">
        <f t="shared" si="10"/>
        <v>6.0012784289127088E-3</v>
      </c>
      <c r="S119" s="13"/>
    </row>
    <row r="120" spans="1:19">
      <c r="A120" s="250">
        <f t="shared" si="11"/>
        <v>38686</v>
      </c>
      <c r="B120" s="90">
        <v>112273619</v>
      </c>
      <c r="C120" s="101">
        <v>544497.65460000001</v>
      </c>
      <c r="D120" s="90">
        <v>536</v>
      </c>
      <c r="F120" s="159">
        <v>151566.07252889709</v>
      </c>
      <c r="G120" s="127">
        <f t="shared" si="6"/>
        <v>111578091.27287111</v>
      </c>
      <c r="H120" s="1">
        <v>433.1</v>
      </c>
      <c r="I120" s="1">
        <v>0</v>
      </c>
      <c r="J120" s="10">
        <v>30</v>
      </c>
      <c r="K120" s="10">
        <v>1</v>
      </c>
      <c r="L120" s="119">
        <v>352.08</v>
      </c>
      <c r="M120" s="195">
        <v>48010</v>
      </c>
      <c r="N120" s="112">
        <v>0</v>
      </c>
      <c r="O120" s="127">
        <f t="shared" si="7"/>
        <v>112290987.55058381</v>
      </c>
      <c r="P120" s="127">
        <f t="shared" si="8"/>
        <v>712896.27771270275</v>
      </c>
      <c r="Q120" s="216">
        <f t="shared" si="9"/>
        <v>6.3892137746761673E-3</v>
      </c>
      <c r="R120" s="176">
        <f t="shared" si="10"/>
        <v>6.3892137746761673E-3</v>
      </c>
      <c r="S120" s="13"/>
    </row>
    <row r="121" spans="1:19">
      <c r="A121" s="250">
        <f t="shared" si="11"/>
        <v>38717</v>
      </c>
      <c r="B121" s="90">
        <v>121150930</v>
      </c>
      <c r="C121" s="101">
        <v>531516.30839999998</v>
      </c>
      <c r="D121" s="90">
        <v>5480</v>
      </c>
      <c r="F121" s="159">
        <v>163626.19327737839</v>
      </c>
      <c r="G121" s="127">
        <f t="shared" si="6"/>
        <v>120461267.49832262</v>
      </c>
      <c r="H121" s="1">
        <v>721.6</v>
      </c>
      <c r="I121" s="1">
        <v>0</v>
      </c>
      <c r="J121" s="16">
        <v>31</v>
      </c>
      <c r="K121" s="16">
        <v>0</v>
      </c>
      <c r="L121" s="119">
        <v>319.92</v>
      </c>
      <c r="M121" s="195">
        <v>48041</v>
      </c>
      <c r="N121" s="112">
        <v>0</v>
      </c>
      <c r="O121" s="127">
        <f t="shared" si="7"/>
        <v>122938381.98505583</v>
      </c>
      <c r="P121" s="127">
        <f t="shared" si="8"/>
        <v>2477114.4867332131</v>
      </c>
      <c r="Q121" s="216">
        <f t="shared" si="9"/>
        <v>2.0563576477125364E-2</v>
      </c>
      <c r="R121" s="176">
        <f t="shared" si="10"/>
        <v>2.0563576477125364E-2</v>
      </c>
      <c r="S121" s="13"/>
    </row>
    <row r="122" spans="1:19">
      <c r="A122" s="250">
        <f>EOMONTH(A121,1)</f>
        <v>38748</v>
      </c>
      <c r="B122" s="90">
        <v>120719775</v>
      </c>
      <c r="C122" s="101">
        <v>495201.28410000005</v>
      </c>
      <c r="D122" s="90">
        <v>3630</v>
      </c>
      <c r="F122" s="159">
        <v>196929.25153642692</v>
      </c>
      <c r="G122" s="127">
        <f t="shared" si="6"/>
        <v>120031274.46436357</v>
      </c>
      <c r="H122" s="1">
        <v>590.6</v>
      </c>
      <c r="I122" s="1">
        <v>0</v>
      </c>
      <c r="J122" s="10">
        <v>31</v>
      </c>
      <c r="K122" s="10">
        <v>0</v>
      </c>
      <c r="L122" s="119">
        <v>336.28800000000001</v>
      </c>
      <c r="M122" s="195">
        <v>48141</v>
      </c>
      <c r="N122" s="101">
        <f>'CDM Activity'!N24</f>
        <v>23544.843907056056</v>
      </c>
      <c r="O122" s="127">
        <f t="shared" si="7"/>
        <v>120491715.97054781</v>
      </c>
      <c r="P122" s="127">
        <f t="shared" si="8"/>
        <v>460441.50618423522</v>
      </c>
      <c r="Q122" s="216">
        <f t="shared" si="9"/>
        <v>3.8360128078198238E-3</v>
      </c>
      <c r="R122" s="176">
        <f t="shared" si="10"/>
        <v>3.8360128078198238E-3</v>
      </c>
      <c r="S122" s="13"/>
    </row>
    <row r="123" spans="1:19">
      <c r="A123" s="250">
        <f t="shared" si="11"/>
        <v>38776</v>
      </c>
      <c r="B123" s="90">
        <v>111241852</v>
      </c>
      <c r="C123" s="101">
        <v>462157.00200000004</v>
      </c>
      <c r="D123" s="90">
        <v>4968</v>
      </c>
      <c r="F123" s="159">
        <v>181458.43022859978</v>
      </c>
      <c r="G123" s="127">
        <f t="shared" si="6"/>
        <v>110603204.56777139</v>
      </c>
      <c r="H123" s="1">
        <v>651.20000000000005</v>
      </c>
      <c r="I123" s="1">
        <v>0</v>
      </c>
      <c r="J123" s="10">
        <v>28</v>
      </c>
      <c r="K123" s="10">
        <v>0</v>
      </c>
      <c r="L123" s="119">
        <v>319.87200000000001</v>
      </c>
      <c r="M123" s="195">
        <v>48205</v>
      </c>
      <c r="N123" s="101">
        <f>'CDM Activity'!N25</f>
        <v>47089.687814112112</v>
      </c>
      <c r="O123" s="127">
        <f t="shared" si="7"/>
        <v>114593066.42848402</v>
      </c>
      <c r="P123" s="127">
        <f t="shared" si="8"/>
        <v>3989861.8607126325</v>
      </c>
      <c r="Q123" s="216">
        <f t="shared" si="9"/>
        <v>3.6073655155876343E-2</v>
      </c>
      <c r="R123" s="176">
        <f t="shared" si="10"/>
        <v>3.6073655155876343E-2</v>
      </c>
      <c r="S123" s="13"/>
    </row>
    <row r="124" spans="1:19">
      <c r="A124" s="250">
        <f t="shared" si="11"/>
        <v>38807</v>
      </c>
      <c r="B124" s="90">
        <v>118804708</v>
      </c>
      <c r="C124" s="101">
        <v>502980.11775000003</v>
      </c>
      <c r="D124" s="90">
        <v>3065</v>
      </c>
      <c r="F124" s="159">
        <v>193779.60767297313</v>
      </c>
      <c r="G124" s="127">
        <f t="shared" si="6"/>
        <v>118111013.27457702</v>
      </c>
      <c r="H124" s="1">
        <v>562.4</v>
      </c>
      <c r="I124" s="1">
        <v>0</v>
      </c>
      <c r="J124" s="10">
        <v>31</v>
      </c>
      <c r="K124" s="10">
        <v>1</v>
      </c>
      <c r="L124" s="119">
        <v>368.28</v>
      </c>
      <c r="M124" s="195">
        <v>48263</v>
      </c>
      <c r="N124" s="101">
        <f>'CDM Activity'!N26</f>
        <v>70634.531721168169</v>
      </c>
      <c r="O124" s="127">
        <f t="shared" si="7"/>
        <v>119627443.53708987</v>
      </c>
      <c r="P124" s="127">
        <f t="shared" si="8"/>
        <v>1516430.2625128478</v>
      </c>
      <c r="Q124" s="216">
        <f t="shared" si="9"/>
        <v>1.2839025087250301E-2</v>
      </c>
      <c r="R124" s="176">
        <f t="shared" si="10"/>
        <v>1.2839025087250301E-2</v>
      </c>
      <c r="S124" s="13"/>
    </row>
    <row r="125" spans="1:19">
      <c r="A125" s="250">
        <f t="shared" si="11"/>
        <v>38837</v>
      </c>
      <c r="B125" s="90">
        <v>101928394</v>
      </c>
      <c r="C125" s="101">
        <v>459428.24700000085</v>
      </c>
      <c r="D125" s="90">
        <v>2611</v>
      </c>
      <c r="F125" s="159">
        <v>166207.34731930206</v>
      </c>
      <c r="G125" s="127">
        <f t="shared" si="6"/>
        <v>101305369.4056807</v>
      </c>
      <c r="H125" s="1">
        <v>322.5</v>
      </c>
      <c r="I125" s="1">
        <v>0</v>
      </c>
      <c r="J125" s="10">
        <v>30</v>
      </c>
      <c r="K125" s="10">
        <v>1</v>
      </c>
      <c r="L125" s="119">
        <v>303.83999999999997</v>
      </c>
      <c r="M125" s="195">
        <v>48272</v>
      </c>
      <c r="N125" s="101">
        <f>'CDM Activity'!N27</f>
        <v>94179.375628224225</v>
      </c>
      <c r="O125" s="127">
        <f t="shared" si="7"/>
        <v>106740796.60640907</v>
      </c>
      <c r="P125" s="127">
        <f t="shared" si="8"/>
        <v>5435427.2007283717</v>
      </c>
      <c r="Q125" s="216">
        <f t="shared" si="9"/>
        <v>5.3653890535278775E-2</v>
      </c>
      <c r="R125" s="176">
        <f t="shared" si="10"/>
        <v>5.3653890535278775E-2</v>
      </c>
      <c r="S125" s="13"/>
    </row>
    <row r="126" spans="1:19">
      <c r="A126" s="250">
        <f t="shared" si="11"/>
        <v>38868</v>
      </c>
      <c r="B126" s="90">
        <v>109352162</v>
      </c>
      <c r="D126" s="90">
        <v>2275</v>
      </c>
      <c r="F126" s="159">
        <v>179120.11455693017</v>
      </c>
      <c r="G126" s="127">
        <f t="shared" si="6"/>
        <v>109175316.88544308</v>
      </c>
      <c r="H126" s="1">
        <v>177.8</v>
      </c>
      <c r="I126" s="1">
        <v>17.7</v>
      </c>
      <c r="J126" s="10">
        <v>31</v>
      </c>
      <c r="K126" s="10">
        <v>1</v>
      </c>
      <c r="L126" s="119">
        <v>351.91199999999998</v>
      </c>
      <c r="M126" s="195">
        <v>48222</v>
      </c>
      <c r="N126" s="101">
        <f>'CDM Activity'!N28</f>
        <v>117724.21953528028</v>
      </c>
      <c r="O126" s="127">
        <f t="shared" si="7"/>
        <v>111570059.70505114</v>
      </c>
      <c r="P126" s="127">
        <f t="shared" si="8"/>
        <v>2394742.8196080625</v>
      </c>
      <c r="Q126" s="216">
        <f t="shared" si="9"/>
        <v>2.1934837359994568E-2</v>
      </c>
      <c r="R126" s="176">
        <f t="shared" si="10"/>
        <v>2.1934837359994568E-2</v>
      </c>
      <c r="S126" s="13"/>
    </row>
    <row r="127" spans="1:19">
      <c r="A127" s="250">
        <f t="shared" si="11"/>
        <v>38898</v>
      </c>
      <c r="B127" s="90">
        <v>114158685</v>
      </c>
      <c r="D127" s="90">
        <v>1302</v>
      </c>
      <c r="F127" s="159">
        <v>186993.25519388</v>
      </c>
      <c r="G127" s="127">
        <f t="shared" si="6"/>
        <v>113972993.74480613</v>
      </c>
      <c r="H127" s="1">
        <v>44.1</v>
      </c>
      <c r="I127" s="1">
        <v>32.200000000000003</v>
      </c>
      <c r="J127" s="10">
        <v>30</v>
      </c>
      <c r="K127" s="10">
        <v>0</v>
      </c>
      <c r="L127" s="119">
        <v>352.08</v>
      </c>
      <c r="M127" s="195">
        <v>48352</v>
      </c>
      <c r="N127" s="101">
        <f>'CDM Activity'!N29</f>
        <v>141269.06344233634</v>
      </c>
      <c r="O127" s="127">
        <f t="shared" si="7"/>
        <v>111317162.78906399</v>
      </c>
      <c r="P127" s="127">
        <f t="shared" si="8"/>
        <v>-2655830.9557421356</v>
      </c>
      <c r="Q127" s="216">
        <f t="shared" si="9"/>
        <v>-2.3302283010032496E-2</v>
      </c>
      <c r="R127" s="176">
        <f t="shared" si="10"/>
        <v>2.3302283010032496E-2</v>
      </c>
      <c r="S127" s="13"/>
    </row>
    <row r="128" spans="1:19">
      <c r="A128" s="250">
        <f t="shared" si="11"/>
        <v>38929</v>
      </c>
      <c r="B128" s="90">
        <v>126395645</v>
      </c>
      <c r="D128" s="90">
        <v>1987</v>
      </c>
      <c r="F128" s="159">
        <v>207037.53815033924</v>
      </c>
      <c r="G128" s="127">
        <f t="shared" si="6"/>
        <v>126190594.46184966</v>
      </c>
      <c r="H128" s="1">
        <v>6.5</v>
      </c>
      <c r="I128" s="1">
        <v>117.2</v>
      </c>
      <c r="J128" s="10">
        <v>31</v>
      </c>
      <c r="K128" s="10">
        <v>0</v>
      </c>
      <c r="L128" s="119">
        <v>319.92</v>
      </c>
      <c r="M128" s="195">
        <v>48357</v>
      </c>
      <c r="N128" s="101">
        <f>'CDM Activity'!N30</f>
        <v>164813.90734939239</v>
      </c>
      <c r="O128" s="127">
        <f t="shared" si="7"/>
        <v>129067475.10013537</v>
      </c>
      <c r="P128" s="127">
        <f t="shared" si="8"/>
        <v>2876880.6382857114</v>
      </c>
      <c r="Q128" s="216">
        <f t="shared" si="9"/>
        <v>2.2797900672030347E-2</v>
      </c>
      <c r="R128" s="176">
        <f t="shared" si="10"/>
        <v>2.2797900672030347E-2</v>
      </c>
      <c r="S128" s="13"/>
    </row>
    <row r="129" spans="1:19">
      <c r="A129" s="250">
        <f t="shared" si="11"/>
        <v>38960</v>
      </c>
      <c r="B129" s="90">
        <v>119390829</v>
      </c>
      <c r="D129" s="90">
        <v>1149</v>
      </c>
      <c r="F129" s="159">
        <v>195563.56798438847</v>
      </c>
      <c r="G129" s="127">
        <f t="shared" si="6"/>
        <v>119196414.43201561</v>
      </c>
      <c r="H129" s="1">
        <v>27.5</v>
      </c>
      <c r="I129" s="1">
        <v>45.5</v>
      </c>
      <c r="J129" s="10">
        <v>31</v>
      </c>
      <c r="K129" s="10">
        <v>0</v>
      </c>
      <c r="L129" s="119">
        <v>351.91199999999998</v>
      </c>
      <c r="M129" s="195">
        <v>48485</v>
      </c>
      <c r="N129" s="101">
        <f>'CDM Activity'!N31</f>
        <v>188358.75125644845</v>
      </c>
      <c r="O129" s="127">
        <f t="shared" si="7"/>
        <v>116229142.85272086</v>
      </c>
      <c r="P129" s="127">
        <f t="shared" si="8"/>
        <v>-2967271.5792947561</v>
      </c>
      <c r="Q129" s="216">
        <f t="shared" si="9"/>
        <v>-2.4893966764303613E-2</v>
      </c>
      <c r="R129" s="176">
        <f t="shared" si="10"/>
        <v>2.4893966764303613E-2</v>
      </c>
      <c r="S129" s="13"/>
    </row>
    <row r="130" spans="1:19">
      <c r="A130" s="250">
        <f t="shared" si="11"/>
        <v>38990</v>
      </c>
      <c r="B130" s="90">
        <v>106375052</v>
      </c>
      <c r="D130" s="90">
        <v>2095</v>
      </c>
      <c r="F130" s="159">
        <v>174243.57371406522</v>
      </c>
      <c r="G130" s="127">
        <f t="shared" ref="G130:G193" si="12">+B130-C130+D130+E130-F130</f>
        <v>106202903.42628594</v>
      </c>
      <c r="H130" s="1">
        <v>130.30000000000001</v>
      </c>
      <c r="I130" s="1">
        <v>2.2999999999999998</v>
      </c>
      <c r="J130" s="10">
        <v>30</v>
      </c>
      <c r="K130" s="10">
        <v>1</v>
      </c>
      <c r="L130" s="119">
        <v>319.68</v>
      </c>
      <c r="M130" s="195">
        <v>48589</v>
      </c>
      <c r="N130" s="101">
        <f>'CDM Activity'!N32</f>
        <v>211903.59516350451</v>
      </c>
      <c r="O130" s="127">
        <f t="shared" ref="O130:O193" si="13">$V$17+$V$18*H130+$V$19*I130+$V$20*J130+$V$21*K130+$V$22*L130+$V$23*M130+$V$24*N130</f>
        <v>103426143.9349934</v>
      </c>
      <c r="P130" s="127">
        <f t="shared" ref="P130:P193" si="14">O130-G130</f>
        <v>-2776759.4912925363</v>
      </c>
      <c r="Q130" s="216">
        <f t="shared" ref="Q130:Q193" si="15">P130/G130</f>
        <v>-2.6145796411487461E-2</v>
      </c>
      <c r="R130" s="176">
        <f t="shared" si="10"/>
        <v>2.6145796411487461E-2</v>
      </c>
      <c r="S130" s="13"/>
    </row>
    <row r="131" spans="1:19">
      <c r="A131" s="250">
        <f t="shared" si="11"/>
        <v>39021</v>
      </c>
      <c r="B131" s="90">
        <v>113289697</v>
      </c>
      <c r="D131" s="90">
        <v>4051</v>
      </c>
      <c r="F131" s="159">
        <v>185569.84273214376</v>
      </c>
      <c r="G131" s="127">
        <f t="shared" si="12"/>
        <v>113108178.15726785</v>
      </c>
      <c r="H131" s="1">
        <v>335.1</v>
      </c>
      <c r="I131" s="1">
        <v>0</v>
      </c>
      <c r="J131" s="10">
        <v>31</v>
      </c>
      <c r="K131" s="10">
        <v>1</v>
      </c>
      <c r="L131" s="119">
        <v>336.28800000000001</v>
      </c>
      <c r="M131" s="195">
        <v>48653</v>
      </c>
      <c r="N131" s="101">
        <f>'CDM Activity'!N33</f>
        <v>235448.43907056056</v>
      </c>
      <c r="O131" s="127">
        <f t="shared" si="13"/>
        <v>112003627.89002922</v>
      </c>
      <c r="P131" s="127">
        <f t="shared" si="14"/>
        <v>-1104550.2672386318</v>
      </c>
      <c r="Q131" s="216">
        <f t="shared" si="15"/>
        <v>-9.7654323960805322E-3</v>
      </c>
      <c r="R131" s="176">
        <f t="shared" ref="R131:R194" si="16">ABS(Q131)</f>
        <v>9.7654323960805322E-3</v>
      </c>
      <c r="S131" s="13"/>
    </row>
    <row r="132" spans="1:19">
      <c r="A132" s="250">
        <f t="shared" si="11"/>
        <v>39051</v>
      </c>
      <c r="B132" s="90">
        <v>115282364</v>
      </c>
      <c r="D132" s="90">
        <v>2083</v>
      </c>
      <c r="F132" s="159">
        <v>188833.85447901546</v>
      </c>
      <c r="G132" s="127">
        <f t="shared" si="12"/>
        <v>115095613.14552099</v>
      </c>
      <c r="H132" s="1">
        <v>415.9</v>
      </c>
      <c r="I132" s="1">
        <v>0</v>
      </c>
      <c r="J132" s="10">
        <v>30</v>
      </c>
      <c r="K132" s="10">
        <v>1</v>
      </c>
      <c r="L132" s="119">
        <v>352.08</v>
      </c>
      <c r="M132" s="195">
        <v>48727</v>
      </c>
      <c r="N132" s="101">
        <f>'CDM Activity'!N34</f>
        <v>258993.28297761662</v>
      </c>
      <c r="O132" s="127">
        <f t="shared" si="13"/>
        <v>113130591.22128543</v>
      </c>
      <c r="P132" s="127">
        <f t="shared" si="14"/>
        <v>-1965021.9242355525</v>
      </c>
      <c r="Q132" s="216">
        <f t="shared" si="15"/>
        <v>-1.7072952396118519E-2</v>
      </c>
      <c r="R132" s="176">
        <f t="shared" si="16"/>
        <v>1.7072952396118519E-2</v>
      </c>
      <c r="S132" s="13"/>
    </row>
    <row r="133" spans="1:19">
      <c r="A133" s="250">
        <f t="shared" si="11"/>
        <v>39082</v>
      </c>
      <c r="B133" s="90">
        <v>119730905</v>
      </c>
      <c r="D133" s="90">
        <v>5460</v>
      </c>
      <c r="F133" s="159">
        <v>196120.61643193595</v>
      </c>
      <c r="G133" s="127">
        <f t="shared" si="12"/>
        <v>119540244.38356806</v>
      </c>
      <c r="H133" s="1">
        <v>545.20000000000005</v>
      </c>
      <c r="I133" s="1">
        <v>0</v>
      </c>
      <c r="J133" s="10">
        <v>31</v>
      </c>
      <c r="K133" s="10">
        <v>0</v>
      </c>
      <c r="L133" s="119">
        <v>304.29599999999999</v>
      </c>
      <c r="M133" s="195">
        <v>48779</v>
      </c>
      <c r="N133" s="101">
        <f>'CDM Activity'!N35</f>
        <v>282538.12688467267</v>
      </c>
      <c r="O133" s="127">
        <f t="shared" si="13"/>
        <v>118390272.71879753</v>
      </c>
      <c r="P133" s="127">
        <f t="shared" si="14"/>
        <v>-1149971.6647705287</v>
      </c>
      <c r="Q133" s="216">
        <f t="shared" si="15"/>
        <v>-9.6199541058375419E-3</v>
      </c>
      <c r="R133" s="176">
        <f t="shared" si="16"/>
        <v>9.6199541058375419E-3</v>
      </c>
      <c r="S133" s="13"/>
    </row>
    <row r="134" spans="1:19">
      <c r="A134" s="250">
        <f t="shared" si="11"/>
        <v>39113</v>
      </c>
      <c r="B134" s="90">
        <v>127521206</v>
      </c>
      <c r="D134" s="90">
        <v>3907</v>
      </c>
      <c r="F134" s="159">
        <v>220175.70785256205</v>
      </c>
      <c r="G134" s="127">
        <f t="shared" si="12"/>
        <v>127304937.29214744</v>
      </c>
      <c r="H134" s="1">
        <v>698.3</v>
      </c>
      <c r="I134" s="1">
        <v>0</v>
      </c>
      <c r="J134" s="10">
        <v>31</v>
      </c>
      <c r="K134" s="10">
        <v>0</v>
      </c>
      <c r="L134" s="119">
        <v>351.91199999999998</v>
      </c>
      <c r="M134" s="195">
        <v>48826</v>
      </c>
      <c r="N134" s="101">
        <f>'CDM Activity'!N36</f>
        <v>303087.50322625798</v>
      </c>
      <c r="O134" s="127">
        <f t="shared" si="13"/>
        <v>125650749.06861813</v>
      </c>
      <c r="P134" s="127">
        <f t="shared" si="14"/>
        <v>-1654188.223529309</v>
      </c>
      <c r="Q134" s="216">
        <f t="shared" si="15"/>
        <v>-1.299390470405066E-2</v>
      </c>
      <c r="R134" s="176">
        <f t="shared" si="16"/>
        <v>1.299390470405066E-2</v>
      </c>
      <c r="S134" s="13"/>
    </row>
    <row r="135" spans="1:19">
      <c r="A135" s="250">
        <f t="shared" si="11"/>
        <v>39141</v>
      </c>
      <c r="B135" s="90">
        <v>121012861</v>
      </c>
      <c r="D135" s="90">
        <v>4243</v>
      </c>
      <c r="F135" s="159">
        <v>208938.52219323194</v>
      </c>
      <c r="G135" s="127">
        <f t="shared" si="12"/>
        <v>120808165.47780676</v>
      </c>
      <c r="H135" s="1">
        <v>785.1</v>
      </c>
      <c r="I135" s="1">
        <v>0</v>
      </c>
      <c r="J135" s="113">
        <v>28</v>
      </c>
      <c r="K135" s="10">
        <v>0</v>
      </c>
      <c r="L135" s="119">
        <v>319.87200000000001</v>
      </c>
      <c r="M135" s="195">
        <v>48864</v>
      </c>
      <c r="N135" s="101">
        <f>'CDM Activity'!N37</f>
        <v>323636.87956784328</v>
      </c>
      <c r="O135" s="127">
        <f t="shared" si="13"/>
        <v>119468376.76729488</v>
      </c>
      <c r="P135" s="127">
        <f t="shared" si="14"/>
        <v>-1339788.7105118781</v>
      </c>
      <c r="Q135" s="216">
        <f t="shared" si="15"/>
        <v>-1.1090216503271097E-2</v>
      </c>
      <c r="R135" s="176">
        <f t="shared" si="16"/>
        <v>1.1090216503271097E-2</v>
      </c>
      <c r="S135" s="13"/>
    </row>
    <row r="136" spans="1:19">
      <c r="A136" s="250">
        <f t="shared" si="11"/>
        <v>39172</v>
      </c>
      <c r="B136" s="90">
        <v>122882865</v>
      </c>
      <c r="D136" s="90">
        <v>0</v>
      </c>
      <c r="F136" s="159">
        <v>212167.23581116245</v>
      </c>
      <c r="G136" s="127">
        <f t="shared" si="12"/>
        <v>122670697.76418884</v>
      </c>
      <c r="H136" s="1">
        <v>582</v>
      </c>
      <c r="I136" s="1">
        <v>0</v>
      </c>
      <c r="J136" s="10">
        <v>31</v>
      </c>
      <c r="K136" s="10">
        <v>1</v>
      </c>
      <c r="L136" s="119">
        <v>351.91199999999998</v>
      </c>
      <c r="M136" s="195">
        <v>48982</v>
      </c>
      <c r="N136" s="101">
        <f>'CDM Activity'!N38</f>
        <v>344186.25590942858</v>
      </c>
      <c r="O136" s="127">
        <f t="shared" si="13"/>
        <v>120471007.80736414</v>
      </c>
      <c r="P136" s="127">
        <f t="shared" si="14"/>
        <v>-2199689.956824705</v>
      </c>
      <c r="Q136" s="216">
        <f t="shared" si="15"/>
        <v>-1.7931665808677406E-2</v>
      </c>
      <c r="R136" s="176">
        <f t="shared" si="16"/>
        <v>1.7931665808677406E-2</v>
      </c>
      <c r="S136" s="13"/>
    </row>
    <row r="137" spans="1:19">
      <c r="A137" s="250">
        <f t="shared" si="11"/>
        <v>39202</v>
      </c>
      <c r="B137" s="90">
        <v>110585850</v>
      </c>
      <c r="D137" s="90">
        <v>0</v>
      </c>
      <c r="F137" s="159">
        <v>190935.44176665996</v>
      </c>
      <c r="G137" s="127">
        <f t="shared" si="12"/>
        <v>110394914.55823334</v>
      </c>
      <c r="H137" s="1">
        <v>403</v>
      </c>
      <c r="I137" s="1">
        <v>0</v>
      </c>
      <c r="J137" s="10">
        <v>30</v>
      </c>
      <c r="K137" s="10">
        <v>1</v>
      </c>
      <c r="L137" s="119">
        <v>319.68</v>
      </c>
      <c r="M137" s="195">
        <v>48695</v>
      </c>
      <c r="N137" s="101">
        <f>'CDM Activity'!N39</f>
        <v>364735.63225101389</v>
      </c>
      <c r="O137" s="127">
        <f t="shared" si="13"/>
        <v>110509666.74097662</v>
      </c>
      <c r="P137" s="127">
        <f t="shared" si="14"/>
        <v>114752.18274328113</v>
      </c>
      <c r="Q137" s="216">
        <f t="shared" si="15"/>
        <v>1.0394698270521268E-3</v>
      </c>
      <c r="R137" s="176">
        <f t="shared" si="16"/>
        <v>1.0394698270521268E-3</v>
      </c>
      <c r="S137" s="13"/>
    </row>
    <row r="138" spans="1:19">
      <c r="A138" s="250">
        <f t="shared" si="11"/>
        <v>39233</v>
      </c>
      <c r="B138" s="90">
        <v>110694689</v>
      </c>
      <c r="D138" s="90">
        <v>437</v>
      </c>
      <c r="F138" s="159">
        <v>191123.36113018112</v>
      </c>
      <c r="G138" s="127">
        <f t="shared" si="12"/>
        <v>110504002.63886982</v>
      </c>
      <c r="H138" s="1">
        <v>166.4</v>
      </c>
      <c r="I138" s="1">
        <v>11.2</v>
      </c>
      <c r="J138" s="10">
        <v>31</v>
      </c>
      <c r="K138" s="10">
        <v>1</v>
      </c>
      <c r="L138" s="119">
        <v>351.91199999999998</v>
      </c>
      <c r="M138" s="195">
        <v>48892</v>
      </c>
      <c r="N138" s="101">
        <f>'CDM Activity'!N40</f>
        <v>385285.00859259919</v>
      </c>
      <c r="O138" s="127">
        <f t="shared" si="13"/>
        <v>111017105.99446511</v>
      </c>
      <c r="P138" s="127">
        <f t="shared" si="14"/>
        <v>513103.35559529066</v>
      </c>
      <c r="Q138" s="216">
        <f t="shared" si="15"/>
        <v>4.6433010872205848E-3</v>
      </c>
      <c r="R138" s="176">
        <f t="shared" si="16"/>
        <v>4.6433010872205848E-3</v>
      </c>
      <c r="S138" s="13"/>
    </row>
    <row r="139" spans="1:19">
      <c r="A139" s="250">
        <f t="shared" si="11"/>
        <v>39263</v>
      </c>
      <c r="B139" s="90">
        <v>119622506</v>
      </c>
      <c r="D139" s="90">
        <v>2419</v>
      </c>
      <c r="F139" s="159">
        <v>206537.96148734158</v>
      </c>
      <c r="G139" s="127">
        <f t="shared" si="12"/>
        <v>119418387.03851266</v>
      </c>
      <c r="H139" s="1">
        <v>35.5</v>
      </c>
      <c r="I139" s="1">
        <v>51.2</v>
      </c>
      <c r="J139" s="10">
        <v>30</v>
      </c>
      <c r="K139" s="10">
        <v>0</v>
      </c>
      <c r="L139" s="119">
        <v>336.24</v>
      </c>
      <c r="M139" s="195">
        <v>48942</v>
      </c>
      <c r="N139" s="101">
        <f>'CDM Activity'!N41</f>
        <v>405834.38493418449</v>
      </c>
      <c r="O139" s="127">
        <f t="shared" si="13"/>
        <v>115246717.16579971</v>
      </c>
      <c r="P139" s="127">
        <f t="shared" si="14"/>
        <v>-4171669.8727129549</v>
      </c>
      <c r="Q139" s="216">
        <f t="shared" si="15"/>
        <v>-3.493322909618251E-2</v>
      </c>
      <c r="R139" s="176">
        <f t="shared" si="16"/>
        <v>3.493322909618251E-2</v>
      </c>
      <c r="S139" s="13"/>
    </row>
    <row r="140" spans="1:19">
      <c r="A140" s="250">
        <f t="shared" si="11"/>
        <v>39294</v>
      </c>
      <c r="B140" s="90">
        <v>118464242</v>
      </c>
      <c r="D140" s="90">
        <v>1419</v>
      </c>
      <c r="F140" s="159">
        <v>204538.12472230865</v>
      </c>
      <c r="G140" s="127">
        <f t="shared" si="12"/>
        <v>118261122.8752777</v>
      </c>
      <c r="H140" s="1">
        <v>28</v>
      </c>
      <c r="I140" s="1">
        <v>53.8</v>
      </c>
      <c r="J140" s="10">
        <v>31</v>
      </c>
      <c r="K140" s="10">
        <v>0</v>
      </c>
      <c r="L140" s="119">
        <v>336.28800000000001</v>
      </c>
      <c r="M140" s="195">
        <v>49055</v>
      </c>
      <c r="N140" s="101">
        <f>'CDM Activity'!N42</f>
        <v>426383.76127576979</v>
      </c>
      <c r="O140" s="127">
        <f t="shared" si="13"/>
        <v>118088955.79883485</v>
      </c>
      <c r="P140" s="127">
        <f t="shared" si="14"/>
        <v>-172167.07644285262</v>
      </c>
      <c r="Q140" s="216">
        <f t="shared" si="15"/>
        <v>-1.4558214251392321E-3</v>
      </c>
      <c r="R140" s="176">
        <f t="shared" si="16"/>
        <v>1.4558214251392321E-3</v>
      </c>
      <c r="S140" s="13"/>
    </row>
    <row r="141" spans="1:19">
      <c r="A141" s="250">
        <f t="shared" si="11"/>
        <v>39325</v>
      </c>
      <c r="B141" s="90">
        <v>122840707</v>
      </c>
      <c r="D141" s="90">
        <v>1451</v>
      </c>
      <c r="F141" s="159">
        <v>212094.44660391757</v>
      </c>
      <c r="G141" s="127">
        <f t="shared" si="12"/>
        <v>122630063.55339608</v>
      </c>
      <c r="H141" s="1">
        <v>19.7</v>
      </c>
      <c r="I141" s="1">
        <v>65.099999999999994</v>
      </c>
      <c r="J141" s="10">
        <v>31</v>
      </c>
      <c r="K141" s="10">
        <v>0</v>
      </c>
      <c r="L141" s="119">
        <v>351.91199999999998</v>
      </c>
      <c r="M141" s="195">
        <v>49140</v>
      </c>
      <c r="N141" s="101">
        <f>'CDM Activity'!N43</f>
        <v>446933.1376173551</v>
      </c>
      <c r="O141" s="127">
        <f t="shared" si="13"/>
        <v>121455413.12202743</v>
      </c>
      <c r="P141" s="127">
        <f t="shared" si="14"/>
        <v>-1174650.431368649</v>
      </c>
      <c r="Q141" s="216">
        <f t="shared" si="15"/>
        <v>-9.5788128728904881E-3</v>
      </c>
      <c r="R141" s="176">
        <f t="shared" si="16"/>
        <v>9.5788128728904881E-3</v>
      </c>
      <c r="S141" s="13"/>
    </row>
    <row r="142" spans="1:19">
      <c r="A142" s="250">
        <f t="shared" si="11"/>
        <v>39355</v>
      </c>
      <c r="B142" s="90">
        <v>112981597</v>
      </c>
      <c r="D142" s="90">
        <v>5240</v>
      </c>
      <c r="F142" s="159">
        <v>195071.89332720003</v>
      </c>
      <c r="G142" s="127">
        <f t="shared" si="12"/>
        <v>112791765.10667279</v>
      </c>
      <c r="H142" s="1">
        <v>74.7</v>
      </c>
      <c r="I142" s="1">
        <v>28</v>
      </c>
      <c r="J142" s="10">
        <v>30</v>
      </c>
      <c r="K142" s="10">
        <v>1</v>
      </c>
      <c r="L142" s="119">
        <v>303.83999999999997</v>
      </c>
      <c r="M142" s="195">
        <v>49319</v>
      </c>
      <c r="N142" s="101">
        <f>'CDM Activity'!N44</f>
        <v>467482.5139589404</v>
      </c>
      <c r="O142" s="127">
        <f t="shared" si="13"/>
        <v>107878143.383278</v>
      </c>
      <c r="P142" s="127">
        <f t="shared" si="14"/>
        <v>-4913621.7233947963</v>
      </c>
      <c r="Q142" s="216">
        <f t="shared" si="15"/>
        <v>-4.3563656608687162E-2</v>
      </c>
      <c r="R142" s="176">
        <f t="shared" si="16"/>
        <v>4.3563656608687162E-2</v>
      </c>
      <c r="S142" s="13"/>
    </row>
    <row r="143" spans="1:19">
      <c r="A143" s="250">
        <f t="shared" si="11"/>
        <v>39386</v>
      </c>
      <c r="B143" s="90">
        <v>115330216</v>
      </c>
      <c r="D143" s="90">
        <v>8370</v>
      </c>
      <c r="F143" s="159">
        <v>199126.97457228313</v>
      </c>
      <c r="G143" s="127">
        <f t="shared" si="12"/>
        <v>115139459.02542771</v>
      </c>
      <c r="H143" s="1">
        <v>184.7</v>
      </c>
      <c r="I143" s="1">
        <v>10.9</v>
      </c>
      <c r="J143" s="10">
        <v>31</v>
      </c>
      <c r="K143" s="10">
        <v>1</v>
      </c>
      <c r="L143" s="119">
        <v>351.91199999999998</v>
      </c>
      <c r="M143" s="195">
        <v>49435</v>
      </c>
      <c r="N143" s="101">
        <f>'CDM Activity'!N45</f>
        <v>488031.8903005257</v>
      </c>
      <c r="O143" s="127">
        <f t="shared" si="13"/>
        <v>112638444.87638526</v>
      </c>
      <c r="P143" s="127">
        <f t="shared" si="14"/>
        <v>-2501014.1490424573</v>
      </c>
      <c r="Q143" s="216">
        <f t="shared" si="15"/>
        <v>-2.1721607607085653E-2</v>
      </c>
      <c r="R143" s="176">
        <f t="shared" si="16"/>
        <v>2.1721607607085653E-2</v>
      </c>
      <c r="S143" s="13"/>
    </row>
    <row r="144" spans="1:19">
      <c r="A144" s="250">
        <f t="shared" si="11"/>
        <v>39416</v>
      </c>
      <c r="B144" s="90">
        <v>118785032</v>
      </c>
      <c r="D144" s="90">
        <v>9857</v>
      </c>
      <c r="F144" s="159">
        <v>205091.99468274505</v>
      </c>
      <c r="G144" s="127">
        <f t="shared" si="12"/>
        <v>118589797.00531726</v>
      </c>
      <c r="H144" s="1">
        <v>511.8</v>
      </c>
      <c r="I144" s="1">
        <v>0</v>
      </c>
      <c r="J144" s="10">
        <v>30</v>
      </c>
      <c r="K144" s="10">
        <v>1</v>
      </c>
      <c r="L144" s="119">
        <v>352.08</v>
      </c>
      <c r="M144" s="195">
        <v>49527</v>
      </c>
      <c r="N144" s="101">
        <f>'CDM Activity'!N46</f>
        <v>508581.266642111</v>
      </c>
      <c r="O144" s="127">
        <f t="shared" si="13"/>
        <v>117352906.86455126</v>
      </c>
      <c r="P144" s="127">
        <f t="shared" si="14"/>
        <v>-1236890.1407659948</v>
      </c>
      <c r="Q144" s="216">
        <f t="shared" si="15"/>
        <v>-1.0429987840442427E-2</v>
      </c>
      <c r="R144" s="176">
        <f t="shared" si="16"/>
        <v>1.0429987840442427E-2</v>
      </c>
      <c r="S144" s="13"/>
    </row>
    <row r="145" spans="1:19">
      <c r="A145" s="250">
        <f t="shared" si="11"/>
        <v>39447</v>
      </c>
      <c r="B145" s="90">
        <v>125267404</v>
      </c>
      <c r="D145" s="90">
        <v>4607</v>
      </c>
      <c r="F145" s="159">
        <v>216284.33585040644</v>
      </c>
      <c r="G145" s="127">
        <f t="shared" si="12"/>
        <v>125055726.6641496</v>
      </c>
      <c r="H145" s="1">
        <v>686.6</v>
      </c>
      <c r="I145" s="1">
        <v>0</v>
      </c>
      <c r="J145" s="10">
        <v>31</v>
      </c>
      <c r="K145" s="10">
        <v>0</v>
      </c>
      <c r="L145" s="119">
        <v>304.29599999999999</v>
      </c>
      <c r="M145" s="195">
        <v>49558</v>
      </c>
      <c r="N145" s="101">
        <f>'CDM Activity'!N47</f>
        <v>529130.64298369631</v>
      </c>
      <c r="O145" s="127">
        <f t="shared" si="13"/>
        <v>123834615.53198829</v>
      </c>
      <c r="P145" s="127">
        <f t="shared" si="14"/>
        <v>-1221111.1321613044</v>
      </c>
      <c r="Q145" s="216">
        <f t="shared" si="15"/>
        <v>-9.7645358971902799E-3</v>
      </c>
      <c r="R145" s="176">
        <f t="shared" si="16"/>
        <v>9.7645358971902799E-3</v>
      </c>
      <c r="S145" s="13"/>
    </row>
    <row r="146" spans="1:19">
      <c r="A146" s="250">
        <f t="shared" si="11"/>
        <v>39478</v>
      </c>
      <c r="B146" s="90">
        <v>129540752</v>
      </c>
      <c r="D146" s="90">
        <v>22682</v>
      </c>
      <c r="F146" s="159">
        <v>180694.08408251102</v>
      </c>
      <c r="G146" s="127">
        <f t="shared" si="12"/>
        <v>129382739.91591749</v>
      </c>
      <c r="H146" s="1">
        <v>676.8</v>
      </c>
      <c r="I146" s="1">
        <v>0</v>
      </c>
      <c r="J146" s="10">
        <v>31</v>
      </c>
      <c r="K146" s="16">
        <v>0</v>
      </c>
      <c r="L146" s="20">
        <v>352</v>
      </c>
      <c r="M146" s="196">
        <v>49631</v>
      </c>
      <c r="N146" s="101">
        <f>'CDM Activity'!N48</f>
        <v>541495.20890115469</v>
      </c>
      <c r="O146" s="127">
        <f t="shared" si="13"/>
        <v>126636998.16821137</v>
      </c>
      <c r="P146" s="127">
        <f t="shared" si="14"/>
        <v>-2745741.7477061152</v>
      </c>
      <c r="Q146" s="216">
        <f t="shared" si="15"/>
        <v>-2.1221855013199613E-2</v>
      </c>
      <c r="R146" s="176">
        <f t="shared" si="16"/>
        <v>2.1221855013199613E-2</v>
      </c>
      <c r="S146" s="13"/>
    </row>
    <row r="147" spans="1:19">
      <c r="A147" s="250">
        <f t="shared" si="11"/>
        <v>39507</v>
      </c>
      <c r="B147" s="90">
        <v>121546289</v>
      </c>
      <c r="D147" s="90">
        <v>12657</v>
      </c>
      <c r="F147" s="159">
        <v>169542.75025733357</v>
      </c>
      <c r="G147" s="127">
        <f t="shared" si="12"/>
        <v>121389403.24974267</v>
      </c>
      <c r="H147" s="1">
        <v>651.20000000000005</v>
      </c>
      <c r="I147" s="1">
        <v>0</v>
      </c>
      <c r="J147" s="10">
        <v>29</v>
      </c>
      <c r="K147" s="16">
        <v>0</v>
      </c>
      <c r="L147" s="20">
        <v>320</v>
      </c>
      <c r="M147" s="196">
        <v>49649</v>
      </c>
      <c r="N147" s="101">
        <f>'CDM Activity'!N49</f>
        <v>553859.77481861308</v>
      </c>
      <c r="O147" s="127">
        <f t="shared" si="13"/>
        <v>119520704.22727992</v>
      </c>
      <c r="P147" s="127">
        <f t="shared" si="14"/>
        <v>-1868699.0224627554</v>
      </c>
      <c r="Q147" s="216">
        <f t="shared" si="15"/>
        <v>-1.5394251659826962E-2</v>
      </c>
      <c r="R147" s="176">
        <f t="shared" si="16"/>
        <v>1.5394251659826962E-2</v>
      </c>
      <c r="S147" s="13"/>
    </row>
    <row r="148" spans="1:19">
      <c r="A148" s="250">
        <f t="shared" si="11"/>
        <v>39538</v>
      </c>
      <c r="B148" s="90">
        <v>123025577</v>
      </c>
      <c r="D148" s="90">
        <v>11617</v>
      </c>
      <c r="F148" s="159">
        <v>171606.18269945995</v>
      </c>
      <c r="G148" s="127">
        <f t="shared" si="12"/>
        <v>122865587.81730054</v>
      </c>
      <c r="H148" s="1">
        <v>686.1</v>
      </c>
      <c r="I148" s="1">
        <v>0</v>
      </c>
      <c r="J148" s="10">
        <v>31</v>
      </c>
      <c r="K148" s="16">
        <v>1</v>
      </c>
      <c r="L148" s="20">
        <v>304</v>
      </c>
      <c r="M148" s="196">
        <v>49699</v>
      </c>
      <c r="N148" s="101">
        <f>'CDM Activity'!N50</f>
        <v>566224.34073607146</v>
      </c>
      <c r="O148" s="127">
        <f t="shared" si="13"/>
        <v>121837132.11741619</v>
      </c>
      <c r="P148" s="127">
        <f t="shared" si="14"/>
        <v>-1028455.6998843551</v>
      </c>
      <c r="Q148" s="216">
        <f t="shared" si="15"/>
        <v>-8.3705756685399559E-3</v>
      </c>
      <c r="R148" s="176">
        <f t="shared" si="16"/>
        <v>8.3705756685399559E-3</v>
      </c>
      <c r="S148" s="13"/>
    </row>
    <row r="149" spans="1:19">
      <c r="A149" s="250">
        <f t="shared" si="11"/>
        <v>39568</v>
      </c>
      <c r="B149" s="90">
        <v>110354711</v>
      </c>
      <c r="D149" s="90">
        <v>8264</v>
      </c>
      <c r="F149" s="159">
        <v>153931.81775210943</v>
      </c>
      <c r="G149" s="127">
        <f t="shared" si="12"/>
        <v>110209043.18224789</v>
      </c>
      <c r="H149" s="1">
        <v>297.89999999999998</v>
      </c>
      <c r="I149" s="1">
        <v>0</v>
      </c>
      <c r="J149" s="10">
        <v>30</v>
      </c>
      <c r="K149" s="16">
        <v>1</v>
      </c>
      <c r="L149" s="20">
        <v>352</v>
      </c>
      <c r="M149" s="196">
        <v>49603</v>
      </c>
      <c r="N149" s="101">
        <f>'CDM Activity'!N51</f>
        <v>578588.90665352985</v>
      </c>
      <c r="O149" s="127">
        <f t="shared" si="13"/>
        <v>111439745.73010537</v>
      </c>
      <c r="P149" s="127">
        <f t="shared" si="14"/>
        <v>1230702.5478574783</v>
      </c>
      <c r="Q149" s="216">
        <f t="shared" si="15"/>
        <v>1.1166983328421779E-2</v>
      </c>
      <c r="R149" s="176">
        <f t="shared" si="16"/>
        <v>1.1166983328421779E-2</v>
      </c>
      <c r="S149" s="13"/>
    </row>
    <row r="150" spans="1:19">
      <c r="A150" s="250">
        <f t="shared" si="11"/>
        <v>39599</v>
      </c>
      <c r="B150" s="90">
        <v>107757169</v>
      </c>
      <c r="D150" s="90">
        <v>8874</v>
      </c>
      <c r="F150" s="159">
        <v>150308.55275395769</v>
      </c>
      <c r="G150" s="127">
        <f t="shared" si="12"/>
        <v>107615734.44724604</v>
      </c>
      <c r="H150" s="1">
        <v>243.1</v>
      </c>
      <c r="I150" s="1">
        <v>0.7</v>
      </c>
      <c r="J150" s="10">
        <v>31</v>
      </c>
      <c r="K150" s="16">
        <v>1</v>
      </c>
      <c r="L150" s="20">
        <v>336</v>
      </c>
      <c r="M150" s="196">
        <v>49718</v>
      </c>
      <c r="N150" s="101">
        <f>'CDM Activity'!N52</f>
        <v>590953.47257098823</v>
      </c>
      <c r="O150" s="127">
        <f t="shared" si="13"/>
        <v>111587449.75825463</v>
      </c>
      <c r="P150" s="127">
        <f t="shared" si="14"/>
        <v>3971715.3110085875</v>
      </c>
      <c r="Q150" s="216">
        <f t="shared" si="15"/>
        <v>3.6906455467769439E-2</v>
      </c>
      <c r="R150" s="176">
        <f t="shared" si="16"/>
        <v>3.6906455467769439E-2</v>
      </c>
      <c r="S150" s="13"/>
    </row>
    <row r="151" spans="1:19">
      <c r="A151" s="250">
        <f t="shared" si="11"/>
        <v>39629</v>
      </c>
      <c r="B151" s="90">
        <v>115141214</v>
      </c>
      <c r="D151" s="90">
        <v>6366</v>
      </c>
      <c r="F151" s="159">
        <v>160608.42540020452</v>
      </c>
      <c r="G151" s="127">
        <f t="shared" si="12"/>
        <v>114986971.5745998</v>
      </c>
      <c r="H151" s="1">
        <v>40.6</v>
      </c>
      <c r="I151" s="1">
        <v>53</v>
      </c>
      <c r="J151" s="10">
        <v>30</v>
      </c>
      <c r="K151" s="16">
        <v>0</v>
      </c>
      <c r="L151" s="20">
        <v>336</v>
      </c>
      <c r="M151" s="196">
        <v>49781</v>
      </c>
      <c r="N151" s="101">
        <f>'CDM Activity'!N53</f>
        <v>603318.03848844662</v>
      </c>
      <c r="O151" s="127">
        <f t="shared" si="13"/>
        <v>117511534.45487699</v>
      </c>
      <c r="P151" s="127">
        <f t="shared" si="14"/>
        <v>2524562.8802771866</v>
      </c>
      <c r="Q151" s="216">
        <f t="shared" si="15"/>
        <v>2.1955208017973866E-2</v>
      </c>
      <c r="R151" s="176">
        <f t="shared" si="16"/>
        <v>2.1955208017973866E-2</v>
      </c>
      <c r="S151" s="13"/>
    </row>
    <row r="152" spans="1:19">
      <c r="A152" s="250">
        <f t="shared" si="11"/>
        <v>39660</v>
      </c>
      <c r="B152" s="90">
        <v>125482805</v>
      </c>
      <c r="D152" s="90">
        <v>4505</v>
      </c>
      <c r="F152" s="159">
        <v>175033.72620207837</v>
      </c>
      <c r="G152" s="127">
        <f t="shared" si="12"/>
        <v>125312276.27379791</v>
      </c>
      <c r="H152" s="1">
        <v>7.6</v>
      </c>
      <c r="I152" s="1">
        <v>75.8</v>
      </c>
      <c r="J152" s="10">
        <v>31</v>
      </c>
      <c r="K152" s="16">
        <v>0</v>
      </c>
      <c r="L152" s="20">
        <v>352</v>
      </c>
      <c r="M152" s="196">
        <v>49843</v>
      </c>
      <c r="N152" s="101">
        <f>'CDM Activity'!N54</f>
        <v>615682.604405905</v>
      </c>
      <c r="O152" s="127">
        <f t="shared" si="13"/>
        <v>124915040.88317308</v>
      </c>
      <c r="P152" s="127">
        <f t="shared" si="14"/>
        <v>-397235.39062483609</v>
      </c>
      <c r="Q152" s="216">
        <f t="shared" si="15"/>
        <v>-3.1699638889082708E-3</v>
      </c>
      <c r="R152" s="176">
        <f t="shared" si="16"/>
        <v>3.1699638889082708E-3</v>
      </c>
      <c r="S152" s="13"/>
    </row>
    <row r="153" spans="1:19">
      <c r="A153" s="250">
        <f t="shared" si="11"/>
        <v>39691</v>
      </c>
      <c r="B153" s="90">
        <v>116642720</v>
      </c>
      <c r="D153" s="90">
        <v>3345</v>
      </c>
      <c r="F153" s="159">
        <v>162702.84933418318</v>
      </c>
      <c r="G153" s="127">
        <f t="shared" si="12"/>
        <v>116483362.15066582</v>
      </c>
      <c r="H153" s="1">
        <v>36.200000000000003</v>
      </c>
      <c r="I153" s="1">
        <v>29.5</v>
      </c>
      <c r="J153" s="10">
        <v>31</v>
      </c>
      <c r="K153" s="16">
        <v>0</v>
      </c>
      <c r="L153" s="20">
        <v>320</v>
      </c>
      <c r="M153" s="196">
        <v>49932</v>
      </c>
      <c r="N153" s="101">
        <f>'CDM Activity'!N55</f>
        <v>628047.17032336339</v>
      </c>
      <c r="O153" s="127">
        <f t="shared" si="13"/>
        <v>113848061.8985907</v>
      </c>
      <c r="P153" s="127">
        <f t="shared" si="14"/>
        <v>-2635300.2520751208</v>
      </c>
      <c r="Q153" s="216">
        <f t="shared" si="15"/>
        <v>-2.262383402589704E-2</v>
      </c>
      <c r="R153" s="176">
        <f t="shared" si="16"/>
        <v>2.262383402589704E-2</v>
      </c>
      <c r="S153" s="13"/>
    </row>
    <row r="154" spans="1:19">
      <c r="A154" s="250">
        <f t="shared" si="11"/>
        <v>39721</v>
      </c>
      <c r="B154" s="90">
        <v>113785450</v>
      </c>
      <c r="D154" s="90">
        <v>3183</v>
      </c>
      <c r="F154" s="159">
        <v>158717.29438212889</v>
      </c>
      <c r="G154" s="127">
        <f t="shared" si="12"/>
        <v>113629915.70561787</v>
      </c>
      <c r="H154" s="1">
        <v>93.2</v>
      </c>
      <c r="I154" s="1">
        <v>12</v>
      </c>
      <c r="J154" s="10">
        <v>30</v>
      </c>
      <c r="K154" s="16">
        <v>1</v>
      </c>
      <c r="L154" s="20">
        <v>336</v>
      </c>
      <c r="M154" s="196">
        <v>50197</v>
      </c>
      <c r="N154" s="101">
        <f>'CDM Activity'!N56</f>
        <v>640411.73624082177</v>
      </c>
      <c r="O154" s="127">
        <f t="shared" si="13"/>
        <v>108754488.13858527</v>
      </c>
      <c r="P154" s="127">
        <f t="shared" si="14"/>
        <v>-4875427.5670326054</v>
      </c>
      <c r="Q154" s="216">
        <f t="shared" si="15"/>
        <v>-4.2906197164340271E-2</v>
      </c>
      <c r="R154" s="176">
        <f t="shared" si="16"/>
        <v>4.2906197164340271E-2</v>
      </c>
      <c r="S154" s="13"/>
    </row>
    <row r="155" spans="1:19">
      <c r="A155" s="250">
        <f t="shared" si="11"/>
        <v>39752</v>
      </c>
      <c r="B155" s="90">
        <v>114890260</v>
      </c>
      <c r="D155" s="90">
        <v>8696</v>
      </c>
      <c r="F155" s="159">
        <v>160258.37414238226</v>
      </c>
      <c r="G155" s="127">
        <f t="shared" si="12"/>
        <v>114738697.62585762</v>
      </c>
      <c r="H155" s="1">
        <v>325.7</v>
      </c>
      <c r="I155" s="1">
        <v>0</v>
      </c>
      <c r="J155" s="10">
        <v>31</v>
      </c>
      <c r="K155" s="16">
        <v>1</v>
      </c>
      <c r="L155" s="20">
        <v>352</v>
      </c>
      <c r="M155" s="196">
        <v>50286</v>
      </c>
      <c r="N155" s="101">
        <f>'CDM Activity'!N57</f>
        <v>652776.30215828016</v>
      </c>
      <c r="O155" s="127">
        <f t="shared" si="13"/>
        <v>116033674.07217138</v>
      </c>
      <c r="P155" s="127">
        <f t="shared" si="14"/>
        <v>1294976.4463137537</v>
      </c>
      <c r="Q155" s="216">
        <f t="shared" si="15"/>
        <v>1.1286309441444424E-2</v>
      </c>
      <c r="R155" s="176">
        <f t="shared" si="16"/>
        <v>1.1286309441444424E-2</v>
      </c>
      <c r="S155" s="13"/>
    </row>
    <row r="156" spans="1:19">
      <c r="A156" s="250">
        <f t="shared" si="11"/>
        <v>39782</v>
      </c>
      <c r="B156" s="90">
        <v>117556400</v>
      </c>
      <c r="D156" s="90">
        <v>7348</v>
      </c>
      <c r="F156" s="159">
        <v>163977.32526701174</v>
      </c>
      <c r="G156" s="127">
        <f t="shared" si="12"/>
        <v>117399770.67473298</v>
      </c>
      <c r="H156" s="1">
        <v>499.7</v>
      </c>
      <c r="I156" s="1">
        <v>0</v>
      </c>
      <c r="J156" s="10">
        <v>30</v>
      </c>
      <c r="K156" s="16">
        <v>1</v>
      </c>
      <c r="L156" s="20">
        <v>304</v>
      </c>
      <c r="M156" s="196">
        <v>50341</v>
      </c>
      <c r="N156" s="101">
        <f>'CDM Activity'!N58</f>
        <v>665140.86807573854</v>
      </c>
      <c r="O156" s="127">
        <f t="shared" si="13"/>
        <v>115836044.67524676</v>
      </c>
      <c r="P156" s="127">
        <f t="shared" si="14"/>
        <v>-1563725.9994862229</v>
      </c>
      <c r="Q156" s="216">
        <f t="shared" si="15"/>
        <v>-1.3319668262544325E-2</v>
      </c>
      <c r="R156" s="176">
        <f t="shared" si="16"/>
        <v>1.3319668262544325E-2</v>
      </c>
      <c r="S156" s="13"/>
    </row>
    <row r="157" spans="1:19">
      <c r="A157" s="250">
        <f t="shared" si="11"/>
        <v>39813</v>
      </c>
      <c r="B157" s="90">
        <v>127583980</v>
      </c>
      <c r="D157" s="90">
        <v>10165</v>
      </c>
      <c r="F157" s="159">
        <v>177964.61772663947</v>
      </c>
      <c r="G157" s="127">
        <f t="shared" si="12"/>
        <v>127416180.38227336</v>
      </c>
      <c r="H157" s="1">
        <v>694</v>
      </c>
      <c r="I157" s="1">
        <v>0</v>
      </c>
      <c r="J157" s="10">
        <v>31</v>
      </c>
      <c r="K157" s="16">
        <v>0</v>
      </c>
      <c r="L157" s="20">
        <v>336</v>
      </c>
      <c r="M157" s="196">
        <v>50478</v>
      </c>
      <c r="N157" s="101">
        <f>'CDM Activity'!N59</f>
        <v>677505.43399319693</v>
      </c>
      <c r="O157" s="127">
        <f t="shared" si="13"/>
        <v>128020053.92838624</v>
      </c>
      <c r="P157" s="127">
        <f t="shared" si="14"/>
        <v>603873.54611288011</v>
      </c>
      <c r="Q157" s="216">
        <f t="shared" si="15"/>
        <v>4.7393788159489783E-3</v>
      </c>
      <c r="R157" s="176">
        <f t="shared" si="16"/>
        <v>4.7393788159489783E-3</v>
      </c>
      <c r="S157" s="13"/>
    </row>
    <row r="158" spans="1:19">
      <c r="A158" s="250">
        <f t="shared" si="11"/>
        <v>39844</v>
      </c>
      <c r="B158" s="90">
        <v>133644440</v>
      </c>
      <c r="D158" s="90">
        <v>5405</v>
      </c>
      <c r="F158" s="159">
        <v>201793.81042380023</v>
      </c>
      <c r="G158" s="127">
        <f t="shared" si="12"/>
        <v>133448051.18957619</v>
      </c>
      <c r="H158" s="1">
        <v>891.8</v>
      </c>
      <c r="I158" s="1">
        <v>0</v>
      </c>
      <c r="J158" s="10">
        <v>31</v>
      </c>
      <c r="K158" s="10">
        <v>0</v>
      </c>
      <c r="L158" s="20">
        <v>336</v>
      </c>
      <c r="M158" s="196">
        <v>50522</v>
      </c>
      <c r="N158" s="101">
        <f>'CDM Activity'!N60</f>
        <v>712238.91995871672</v>
      </c>
      <c r="O158" s="127">
        <f t="shared" si="13"/>
        <v>133583598.62616281</v>
      </c>
      <c r="P158" s="127">
        <f t="shared" si="14"/>
        <v>135547.43658661842</v>
      </c>
      <c r="Q158" s="216">
        <f t="shared" si="15"/>
        <v>1.0157318550426775E-3</v>
      </c>
      <c r="R158" s="176">
        <f t="shared" si="16"/>
        <v>1.0157318550426775E-3</v>
      </c>
      <c r="S158" s="13"/>
    </row>
    <row r="159" spans="1:19">
      <c r="A159" s="250">
        <f t="shared" ref="A159:A215" si="17">EOMONTH(A158,1)</f>
        <v>39872</v>
      </c>
      <c r="B159" s="90">
        <v>116396740</v>
      </c>
      <c r="D159" s="90">
        <v>7542</v>
      </c>
      <c r="F159" s="159">
        <v>175750.98287297523</v>
      </c>
      <c r="G159" s="127">
        <f t="shared" si="12"/>
        <v>116228531.01712702</v>
      </c>
      <c r="H159" s="1">
        <v>649.6</v>
      </c>
      <c r="I159" s="1">
        <v>0</v>
      </c>
      <c r="J159" s="10">
        <v>28</v>
      </c>
      <c r="K159" s="10">
        <v>0</v>
      </c>
      <c r="L159" s="20">
        <v>304</v>
      </c>
      <c r="M159" s="196">
        <v>50567</v>
      </c>
      <c r="N159" s="101">
        <f>'CDM Activity'!N61</f>
        <v>746972.40592423652</v>
      </c>
      <c r="O159" s="127">
        <f t="shared" si="13"/>
        <v>118215902.24631934</v>
      </c>
      <c r="P159" s="127">
        <f t="shared" si="14"/>
        <v>1987371.2291923165</v>
      </c>
      <c r="Q159" s="216">
        <f t="shared" si="15"/>
        <v>1.7098824288671984E-2</v>
      </c>
      <c r="R159" s="176">
        <f t="shared" si="16"/>
        <v>1.7098824288671984E-2</v>
      </c>
      <c r="S159" s="13"/>
    </row>
    <row r="160" spans="1:19">
      <c r="A160" s="250">
        <f t="shared" si="17"/>
        <v>39903</v>
      </c>
      <c r="B160" s="90">
        <v>122514006</v>
      </c>
      <c r="D160" s="90">
        <v>7052</v>
      </c>
      <c r="F160" s="159">
        <v>184987.62912265057</v>
      </c>
      <c r="G160" s="127">
        <f t="shared" si="12"/>
        <v>122336070.37087736</v>
      </c>
      <c r="H160" s="1">
        <v>562.6</v>
      </c>
      <c r="I160" s="1">
        <v>0</v>
      </c>
      <c r="J160" s="10">
        <v>31</v>
      </c>
      <c r="K160" s="10">
        <v>1</v>
      </c>
      <c r="L160" s="20">
        <v>352</v>
      </c>
      <c r="M160" s="196">
        <v>50570</v>
      </c>
      <c r="N160" s="101">
        <f>'CDM Activity'!N62</f>
        <v>781705.89188975631</v>
      </c>
      <c r="O160" s="127">
        <f t="shared" si="13"/>
        <v>123115476.47600988</v>
      </c>
      <c r="P160" s="127">
        <f t="shared" si="14"/>
        <v>779406.1051325202</v>
      </c>
      <c r="Q160" s="216">
        <f t="shared" si="15"/>
        <v>6.3710245291486922E-3</v>
      </c>
      <c r="R160" s="176">
        <f t="shared" si="16"/>
        <v>6.3710245291486922E-3</v>
      </c>
      <c r="S160" s="13"/>
    </row>
    <row r="161" spans="1:19">
      <c r="A161" s="250">
        <f t="shared" si="17"/>
        <v>39933</v>
      </c>
      <c r="B161" s="90">
        <v>109450364</v>
      </c>
      <c r="D161" s="90">
        <v>9944</v>
      </c>
      <c r="F161" s="159">
        <v>165262.43818173005</v>
      </c>
      <c r="G161" s="127">
        <f t="shared" si="12"/>
        <v>109295045.56181827</v>
      </c>
      <c r="H161" s="1">
        <v>341.5</v>
      </c>
      <c r="I161" s="1">
        <v>3.2</v>
      </c>
      <c r="J161" s="10">
        <v>30</v>
      </c>
      <c r="K161" s="10">
        <v>1</v>
      </c>
      <c r="L161" s="20">
        <v>320</v>
      </c>
      <c r="M161" s="196">
        <v>50379</v>
      </c>
      <c r="N161" s="101">
        <f>'CDM Activity'!N63</f>
        <v>816439.37785527611</v>
      </c>
      <c r="O161" s="127">
        <f t="shared" si="13"/>
        <v>112908110.85954094</v>
      </c>
      <c r="P161" s="127">
        <f t="shared" si="14"/>
        <v>3613065.2977226675</v>
      </c>
      <c r="Q161" s="216">
        <f t="shared" si="15"/>
        <v>3.3057905590780735E-2</v>
      </c>
      <c r="R161" s="176">
        <f t="shared" si="16"/>
        <v>3.3057905590780735E-2</v>
      </c>
      <c r="S161" s="13"/>
    </row>
    <row r="162" spans="1:19">
      <c r="A162" s="250">
        <f t="shared" si="17"/>
        <v>39964</v>
      </c>
      <c r="B162" s="90">
        <v>106688597.40000001</v>
      </c>
      <c r="D162" s="90">
        <v>7866</v>
      </c>
      <c r="F162" s="159">
        <v>161092.36267604359</v>
      </c>
      <c r="G162" s="127">
        <f t="shared" si="12"/>
        <v>106535371.03732397</v>
      </c>
      <c r="H162" s="1">
        <v>192.8</v>
      </c>
      <c r="I162" s="1">
        <v>2.2999999999999998</v>
      </c>
      <c r="J162" s="10">
        <v>31</v>
      </c>
      <c r="K162" s="10">
        <v>1</v>
      </c>
      <c r="L162" s="20">
        <v>320</v>
      </c>
      <c r="M162" s="196">
        <v>50556</v>
      </c>
      <c r="N162" s="101">
        <f>'CDM Activity'!N64</f>
        <v>851172.8638207959</v>
      </c>
      <c r="O162" s="127">
        <f t="shared" si="13"/>
        <v>111178565.8390182</v>
      </c>
      <c r="P162" s="127">
        <f t="shared" si="14"/>
        <v>4643194.8016942292</v>
      </c>
      <c r="Q162" s="216">
        <f t="shared" si="15"/>
        <v>4.3583598165416036E-2</v>
      </c>
      <c r="R162" s="176">
        <f t="shared" si="16"/>
        <v>4.3583598165416036E-2</v>
      </c>
      <c r="S162" s="13"/>
    </row>
    <row r="163" spans="1:19">
      <c r="A163" s="250">
        <f t="shared" si="17"/>
        <v>39994</v>
      </c>
      <c r="B163" s="90">
        <v>112029483.90000001</v>
      </c>
      <c r="D163" s="90">
        <v>3162</v>
      </c>
      <c r="F163" s="159">
        <v>169156.72987213518</v>
      </c>
      <c r="G163" s="127">
        <f t="shared" si="12"/>
        <v>111863489.17012787</v>
      </c>
      <c r="H163" s="1">
        <v>75.7</v>
      </c>
      <c r="I163" s="1">
        <v>26.2</v>
      </c>
      <c r="J163" s="10">
        <v>30</v>
      </c>
      <c r="K163" s="10">
        <v>0</v>
      </c>
      <c r="L163" s="20">
        <v>352</v>
      </c>
      <c r="M163" s="196">
        <v>50618</v>
      </c>
      <c r="N163" s="101">
        <f>'CDM Activity'!N65</f>
        <v>885906.3497863157</v>
      </c>
      <c r="O163" s="127">
        <f t="shared" si="13"/>
        <v>115193664.31160873</v>
      </c>
      <c r="P163" s="127">
        <f t="shared" si="14"/>
        <v>3330175.1414808631</v>
      </c>
      <c r="Q163" s="216">
        <f t="shared" si="15"/>
        <v>2.9769991676338273E-2</v>
      </c>
      <c r="R163" s="176">
        <f t="shared" si="16"/>
        <v>2.9769991676338273E-2</v>
      </c>
      <c r="S163" s="13"/>
    </row>
    <row r="164" spans="1:19">
      <c r="A164" s="250">
        <f t="shared" si="17"/>
        <v>40025</v>
      </c>
      <c r="B164" s="90">
        <v>113742744.5</v>
      </c>
      <c r="D164" s="90">
        <v>3355</v>
      </c>
      <c r="F164" s="159">
        <v>171743.63423361082</v>
      </c>
      <c r="G164" s="127">
        <f t="shared" si="12"/>
        <v>113574355.86576639</v>
      </c>
      <c r="H164" s="1">
        <v>37.6</v>
      </c>
      <c r="I164" s="1">
        <v>14.5</v>
      </c>
      <c r="J164" s="10">
        <v>31</v>
      </c>
      <c r="K164" s="10">
        <v>0</v>
      </c>
      <c r="L164" s="20">
        <v>352</v>
      </c>
      <c r="M164" s="196">
        <v>50688</v>
      </c>
      <c r="N164" s="101">
        <f>'CDM Activity'!N66</f>
        <v>920639.83575183549</v>
      </c>
      <c r="O164" s="127">
        <f t="shared" si="13"/>
        <v>113921027.77493604</v>
      </c>
      <c r="P164" s="127">
        <f t="shared" si="14"/>
        <v>346671.90916964412</v>
      </c>
      <c r="Q164" s="216">
        <f t="shared" si="15"/>
        <v>3.0523783870663188E-3</v>
      </c>
      <c r="R164" s="176">
        <f t="shared" si="16"/>
        <v>3.0523783870663188E-3</v>
      </c>
      <c r="S164" s="13"/>
    </row>
    <row r="165" spans="1:19">
      <c r="A165" s="250">
        <f t="shared" si="17"/>
        <v>40056</v>
      </c>
      <c r="B165" s="90">
        <v>121976828.7</v>
      </c>
      <c r="D165" s="90">
        <v>3504</v>
      </c>
      <c r="F165" s="159">
        <v>184176.52875633401</v>
      </c>
      <c r="G165" s="127">
        <f t="shared" si="12"/>
        <v>121796156.17124367</v>
      </c>
      <c r="H165" s="1">
        <v>18.2</v>
      </c>
      <c r="I165" s="1">
        <v>57.3</v>
      </c>
      <c r="J165" s="10">
        <v>31</v>
      </c>
      <c r="K165" s="10">
        <v>0</v>
      </c>
      <c r="L165" s="20">
        <v>320</v>
      </c>
      <c r="M165" s="196">
        <v>50788</v>
      </c>
      <c r="N165" s="101">
        <f>'CDM Activity'!N67</f>
        <v>955373.32171735528</v>
      </c>
      <c r="O165" s="127">
        <f t="shared" si="13"/>
        <v>120957650.97249845</v>
      </c>
      <c r="P165" s="127">
        <f t="shared" si="14"/>
        <v>-838505.1987452209</v>
      </c>
      <c r="Q165" s="216">
        <f t="shared" si="15"/>
        <v>-6.8844964004142663E-3</v>
      </c>
      <c r="R165" s="176">
        <f t="shared" si="16"/>
        <v>6.8844964004142663E-3</v>
      </c>
      <c r="S165" s="13"/>
    </row>
    <row r="166" spans="1:19">
      <c r="A166" s="250">
        <f t="shared" si="17"/>
        <v>40086</v>
      </c>
      <c r="B166" s="90">
        <v>113325953.3</v>
      </c>
      <c r="D166" s="90">
        <v>3212</v>
      </c>
      <c r="F166" s="159">
        <v>171114.30850633694</v>
      </c>
      <c r="G166" s="127">
        <f t="shared" si="12"/>
        <v>113158050.99149366</v>
      </c>
      <c r="H166" s="1">
        <v>88.8</v>
      </c>
      <c r="I166" s="1">
        <v>5.5</v>
      </c>
      <c r="J166" s="10">
        <v>30</v>
      </c>
      <c r="K166" s="10">
        <v>1</v>
      </c>
      <c r="L166" s="20">
        <v>336</v>
      </c>
      <c r="M166" s="196">
        <v>50947</v>
      </c>
      <c r="N166" s="101">
        <f>'CDM Activity'!N68</f>
        <v>990106.80768287508</v>
      </c>
      <c r="O166" s="127">
        <f t="shared" si="13"/>
        <v>108443114.51325026</v>
      </c>
      <c r="P166" s="127">
        <f t="shared" si="14"/>
        <v>-4714936.4782433957</v>
      </c>
      <c r="Q166" s="216">
        <f t="shared" si="15"/>
        <v>-4.1666822969563415E-2</v>
      </c>
      <c r="R166" s="176">
        <f t="shared" si="16"/>
        <v>4.1666822969563415E-2</v>
      </c>
      <c r="S166" s="13"/>
    </row>
    <row r="167" spans="1:19">
      <c r="A167" s="250">
        <f t="shared" si="17"/>
        <v>40117</v>
      </c>
      <c r="B167" s="90">
        <v>117459965.8</v>
      </c>
      <c r="D167" s="90">
        <v>4686</v>
      </c>
      <c r="F167" s="159">
        <v>177356.37989153352</v>
      </c>
      <c r="G167" s="127">
        <f t="shared" si="12"/>
        <v>117287295.42010847</v>
      </c>
      <c r="H167" s="1">
        <v>329.1</v>
      </c>
      <c r="I167" s="1">
        <v>0</v>
      </c>
      <c r="J167" s="10">
        <v>31</v>
      </c>
      <c r="K167" s="10">
        <v>1</v>
      </c>
      <c r="L167" s="20">
        <v>336</v>
      </c>
      <c r="M167" s="196">
        <v>51006</v>
      </c>
      <c r="N167" s="101">
        <f>'CDM Activity'!N69</f>
        <v>1024840.2936483949</v>
      </c>
      <c r="O167" s="127">
        <f t="shared" si="13"/>
        <v>116263534.40463296</v>
      </c>
      <c r="P167" s="127">
        <f t="shared" si="14"/>
        <v>-1023761.0154755116</v>
      </c>
      <c r="Q167" s="216">
        <f t="shared" si="15"/>
        <v>-8.7286607795714552E-3</v>
      </c>
      <c r="R167" s="176">
        <f t="shared" si="16"/>
        <v>8.7286607795714552E-3</v>
      </c>
      <c r="S167" s="13"/>
    </row>
    <row r="168" spans="1:19">
      <c r="A168" s="250">
        <f t="shared" si="17"/>
        <v>40147</v>
      </c>
      <c r="B168" s="90">
        <v>117285788.90000001</v>
      </c>
      <c r="D168" s="90">
        <v>2430</v>
      </c>
      <c r="F168" s="159">
        <v>177093.3848852407</v>
      </c>
      <c r="G168" s="127">
        <f t="shared" si="12"/>
        <v>117111125.51511477</v>
      </c>
      <c r="H168" s="1">
        <v>396.5</v>
      </c>
      <c r="I168" s="1">
        <v>0</v>
      </c>
      <c r="J168" s="10">
        <v>30</v>
      </c>
      <c r="K168" s="10">
        <v>1</v>
      </c>
      <c r="L168" s="20">
        <v>320</v>
      </c>
      <c r="M168" s="196">
        <v>51052</v>
      </c>
      <c r="N168" s="101">
        <f>'CDM Activity'!N70</f>
        <v>1059573.7796139147</v>
      </c>
      <c r="O168" s="127">
        <f t="shared" si="13"/>
        <v>114982132.84215948</v>
      </c>
      <c r="P168" s="127">
        <f t="shared" si="14"/>
        <v>-2128992.6729552895</v>
      </c>
      <c r="Q168" s="216">
        <f t="shared" si="15"/>
        <v>-1.8179252087202547E-2</v>
      </c>
      <c r="R168" s="176">
        <f t="shared" si="16"/>
        <v>1.8179252087202547E-2</v>
      </c>
      <c r="S168" s="13"/>
    </row>
    <row r="169" spans="1:19">
      <c r="A169" s="250">
        <f t="shared" si="17"/>
        <v>40178</v>
      </c>
      <c r="B169" s="90">
        <v>129320399.90000001</v>
      </c>
      <c r="D169" s="90">
        <v>6003</v>
      </c>
      <c r="F169" s="159">
        <v>195264.81057760902</v>
      </c>
      <c r="G169" s="127">
        <f t="shared" si="12"/>
        <v>129131138.08942239</v>
      </c>
      <c r="H169" s="1">
        <v>669.5</v>
      </c>
      <c r="I169" s="1">
        <v>0</v>
      </c>
      <c r="J169" s="10">
        <v>31</v>
      </c>
      <c r="K169" s="10">
        <v>0</v>
      </c>
      <c r="L169" s="20">
        <v>352</v>
      </c>
      <c r="M169" s="196">
        <v>51089</v>
      </c>
      <c r="N169" s="101">
        <f>'CDM Activity'!N71</f>
        <v>1094307.2655794346</v>
      </c>
      <c r="O169" s="127">
        <f t="shared" si="13"/>
        <v>129066828.58706838</v>
      </c>
      <c r="P169" s="127">
        <f t="shared" si="14"/>
        <v>-64309.50235401094</v>
      </c>
      <c r="Q169" s="216">
        <f t="shared" si="15"/>
        <v>-4.9801700275790232E-4</v>
      </c>
      <c r="R169" s="176">
        <f t="shared" si="16"/>
        <v>4.9801700275790232E-4</v>
      </c>
      <c r="S169" s="13"/>
    </row>
    <row r="170" spans="1:19">
      <c r="A170" s="250">
        <f>EOMONTH(A169,1)</f>
        <v>40209</v>
      </c>
      <c r="B170" s="90">
        <v>133979177</v>
      </c>
      <c r="D170" s="90">
        <v>7400.57</v>
      </c>
      <c r="F170" s="159">
        <v>251570.11614636646</v>
      </c>
      <c r="G170" s="127">
        <f t="shared" si="12"/>
        <v>133735007.45385362</v>
      </c>
      <c r="H170" s="1">
        <v>721.1</v>
      </c>
      <c r="I170" s="1">
        <v>0</v>
      </c>
      <c r="J170" s="10">
        <v>31</v>
      </c>
      <c r="K170" s="10">
        <v>0</v>
      </c>
      <c r="L170" s="113">
        <v>320</v>
      </c>
      <c r="M170" s="197">
        <v>51151</v>
      </c>
      <c r="N170" s="101">
        <f>'CDM Activity'!N72</f>
        <v>1103678.6636397019</v>
      </c>
      <c r="O170" s="127">
        <f t="shared" si="13"/>
        <v>128689845.75704615</v>
      </c>
      <c r="P170" s="127">
        <f t="shared" si="14"/>
        <v>-5045161.6968074739</v>
      </c>
      <c r="Q170" s="216">
        <f t="shared" si="15"/>
        <v>-3.7725063862192917E-2</v>
      </c>
      <c r="R170" s="176">
        <f t="shared" si="16"/>
        <v>3.7725063862192917E-2</v>
      </c>
      <c r="S170" s="13"/>
    </row>
    <row r="171" spans="1:19">
      <c r="A171" s="250">
        <f t="shared" si="17"/>
        <v>40237</v>
      </c>
      <c r="B171" s="90">
        <v>119946771</v>
      </c>
      <c r="D171" s="90">
        <v>5836.05</v>
      </c>
      <c r="F171" s="159">
        <v>225221.73809032745</v>
      </c>
      <c r="G171" s="127">
        <f t="shared" si="12"/>
        <v>119727385.31190968</v>
      </c>
      <c r="H171" s="1">
        <v>644.70000000000005</v>
      </c>
      <c r="I171" s="1">
        <v>0</v>
      </c>
      <c r="J171" s="10">
        <v>28</v>
      </c>
      <c r="K171" s="10">
        <v>0</v>
      </c>
      <c r="L171" s="113">
        <v>304</v>
      </c>
      <c r="M171" s="197">
        <v>51173</v>
      </c>
      <c r="N171" s="101">
        <f>'CDM Activity'!N73</f>
        <v>1113050.0616999692</v>
      </c>
      <c r="O171" s="127">
        <f t="shared" si="13"/>
        <v>118915361.47078791</v>
      </c>
      <c r="P171" s="127">
        <f t="shared" si="14"/>
        <v>-812023.84112176299</v>
      </c>
      <c r="Q171" s="216">
        <f t="shared" si="15"/>
        <v>-6.7822732368731375E-3</v>
      </c>
      <c r="R171" s="176">
        <f t="shared" si="16"/>
        <v>6.7822732368731375E-3</v>
      </c>
      <c r="S171" s="13"/>
    </row>
    <row r="172" spans="1:19">
      <c r="A172" s="250">
        <f t="shared" si="17"/>
        <v>40268</v>
      </c>
      <c r="B172" s="90">
        <v>123452454</v>
      </c>
      <c r="D172" s="90">
        <v>5028.53</v>
      </c>
      <c r="F172" s="159">
        <v>231804.2914335409</v>
      </c>
      <c r="G172" s="127">
        <f t="shared" si="12"/>
        <v>123225678.23856646</v>
      </c>
      <c r="H172" s="1">
        <v>470.9</v>
      </c>
      <c r="I172" s="1">
        <v>0</v>
      </c>
      <c r="J172" s="10">
        <v>31</v>
      </c>
      <c r="K172" s="10">
        <v>1</v>
      </c>
      <c r="L172" s="113">
        <v>368</v>
      </c>
      <c r="M172" s="197">
        <v>51218</v>
      </c>
      <c r="N172" s="101">
        <f>'CDM Activity'!N74</f>
        <v>1122421.4597602366</v>
      </c>
      <c r="O172" s="127">
        <f t="shared" si="13"/>
        <v>122525156.08062018</v>
      </c>
      <c r="P172" s="127">
        <f t="shared" si="14"/>
        <v>-700522.15794627368</v>
      </c>
      <c r="Q172" s="216">
        <f t="shared" si="15"/>
        <v>-5.6848715946205145E-3</v>
      </c>
      <c r="R172" s="176">
        <f t="shared" si="16"/>
        <v>5.6848715946205145E-3</v>
      </c>
      <c r="S172" s="13"/>
    </row>
    <row r="173" spans="1:19">
      <c r="A173" s="250">
        <f t="shared" si="17"/>
        <v>40298</v>
      </c>
      <c r="B173" s="90">
        <v>109614094</v>
      </c>
      <c r="D173" s="90">
        <v>7763.33</v>
      </c>
      <c r="F173" s="159">
        <v>205820.26980848474</v>
      </c>
      <c r="G173" s="127">
        <f t="shared" si="12"/>
        <v>109416037.06019151</v>
      </c>
      <c r="H173" s="1">
        <v>260.60000000000002</v>
      </c>
      <c r="I173" s="1">
        <v>0</v>
      </c>
      <c r="J173" s="10">
        <v>30</v>
      </c>
      <c r="K173" s="10">
        <v>1</v>
      </c>
      <c r="L173" s="113">
        <v>320</v>
      </c>
      <c r="M173" s="197">
        <v>51206</v>
      </c>
      <c r="N173" s="101">
        <f>'CDM Activity'!N75</f>
        <v>1131792.8578205039</v>
      </c>
      <c r="O173" s="127">
        <f t="shared" si="13"/>
        <v>111442691.77948439</v>
      </c>
      <c r="P173" s="127">
        <f t="shared" si="14"/>
        <v>2026654.7192928791</v>
      </c>
      <c r="Q173" s="216">
        <f t="shared" si="15"/>
        <v>1.8522465021996583E-2</v>
      </c>
      <c r="R173" s="176">
        <f t="shared" si="16"/>
        <v>1.8522465021996583E-2</v>
      </c>
      <c r="S173" s="13"/>
    </row>
    <row r="174" spans="1:19">
      <c r="A174" s="250">
        <f t="shared" si="17"/>
        <v>40329</v>
      </c>
      <c r="B174" s="90">
        <v>117656799</v>
      </c>
      <c r="D174" s="90">
        <v>7340.97</v>
      </c>
      <c r="F174" s="159">
        <v>220921.90184031127</v>
      </c>
      <c r="G174" s="127">
        <f t="shared" si="12"/>
        <v>117443218.06815968</v>
      </c>
      <c r="H174" s="1">
        <v>144.69999999999999</v>
      </c>
      <c r="I174" s="1">
        <v>21</v>
      </c>
      <c r="J174" s="10">
        <v>31</v>
      </c>
      <c r="K174" s="10">
        <v>1</v>
      </c>
      <c r="L174" s="113">
        <v>320</v>
      </c>
      <c r="M174" s="197">
        <v>51250</v>
      </c>
      <c r="N174" s="101">
        <f>'CDM Activity'!N76</f>
        <v>1141164.2558807712</v>
      </c>
      <c r="O174" s="127">
        <f t="shared" si="13"/>
        <v>115122909.97255617</v>
      </c>
      <c r="P174" s="127">
        <f t="shared" si="14"/>
        <v>-2320308.0956035107</v>
      </c>
      <c r="Q174" s="216">
        <f t="shared" si="15"/>
        <v>-1.9756850448843202E-2</v>
      </c>
      <c r="R174" s="176">
        <f t="shared" si="16"/>
        <v>1.9756850448843202E-2</v>
      </c>
      <c r="S174" s="13"/>
    </row>
    <row r="175" spans="1:19">
      <c r="A175" s="250">
        <f t="shared" si="17"/>
        <v>40359</v>
      </c>
      <c r="B175" s="90">
        <v>120954770</v>
      </c>
      <c r="D175" s="90">
        <v>5298.36</v>
      </c>
      <c r="F175" s="159">
        <v>227114.43836796403</v>
      </c>
      <c r="G175" s="127">
        <f t="shared" si="12"/>
        <v>120732953.92163204</v>
      </c>
      <c r="H175" s="1">
        <v>37.700000000000003</v>
      </c>
      <c r="I175" s="1">
        <v>32.6</v>
      </c>
      <c r="J175" s="10">
        <v>30</v>
      </c>
      <c r="K175" s="10">
        <v>0</v>
      </c>
      <c r="L175" s="113">
        <v>352</v>
      </c>
      <c r="M175" s="197">
        <v>51383</v>
      </c>
      <c r="N175" s="101">
        <f>'CDM Activity'!N77</f>
        <v>1150535.6539410385</v>
      </c>
      <c r="O175" s="127">
        <f t="shared" si="13"/>
        <v>116961110.27484682</v>
      </c>
      <c r="P175" s="127">
        <f t="shared" si="14"/>
        <v>-3771843.6467852145</v>
      </c>
      <c r="Q175" s="216">
        <f t="shared" si="15"/>
        <v>-3.1241210657643022E-2</v>
      </c>
      <c r="R175" s="176">
        <f t="shared" si="16"/>
        <v>3.1241210657643022E-2</v>
      </c>
      <c r="S175" s="13"/>
    </row>
    <row r="176" spans="1:19">
      <c r="A176" s="250">
        <f t="shared" si="17"/>
        <v>40390</v>
      </c>
      <c r="B176" s="90">
        <v>135775256</v>
      </c>
      <c r="D176" s="90">
        <v>2287.8200000000002</v>
      </c>
      <c r="F176" s="159">
        <v>254942.57903765628</v>
      </c>
      <c r="G176" s="127">
        <f t="shared" si="12"/>
        <v>135522601.24096233</v>
      </c>
      <c r="H176" s="1">
        <v>6.7</v>
      </c>
      <c r="I176" s="1">
        <v>106.6</v>
      </c>
      <c r="J176" s="10">
        <v>31</v>
      </c>
      <c r="K176" s="10">
        <v>0</v>
      </c>
      <c r="L176" s="113">
        <v>336</v>
      </c>
      <c r="M176" s="197">
        <v>51449</v>
      </c>
      <c r="N176" s="101">
        <f>'CDM Activity'!N78</f>
        <v>1159907.0520013059</v>
      </c>
      <c r="O176" s="127">
        <f t="shared" si="13"/>
        <v>133661746.01302606</v>
      </c>
      <c r="P176" s="127">
        <f t="shared" si="14"/>
        <v>-1860855.2279362679</v>
      </c>
      <c r="Q176" s="216">
        <f t="shared" si="15"/>
        <v>-1.3730958606879336E-2</v>
      </c>
      <c r="R176" s="176">
        <f t="shared" si="16"/>
        <v>1.3730958606879336E-2</v>
      </c>
      <c r="S176" s="13"/>
    </row>
    <row r="177" spans="1:19">
      <c r="A177" s="250">
        <f t="shared" si="17"/>
        <v>40421</v>
      </c>
      <c r="B177" s="90">
        <v>132798939</v>
      </c>
      <c r="D177" s="90">
        <v>31996</v>
      </c>
      <c r="F177" s="159">
        <v>249354.00602098217</v>
      </c>
      <c r="G177" s="127">
        <f t="shared" si="12"/>
        <v>132581580.99397902</v>
      </c>
      <c r="H177" s="1">
        <v>14.2</v>
      </c>
      <c r="I177" s="1">
        <v>85.3</v>
      </c>
      <c r="J177" s="10">
        <v>31</v>
      </c>
      <c r="K177" s="10">
        <v>0</v>
      </c>
      <c r="L177" s="113">
        <v>336</v>
      </c>
      <c r="M177" s="197">
        <v>51540</v>
      </c>
      <c r="N177" s="101">
        <f>'CDM Activity'!N79</f>
        <v>1169278.4500615732</v>
      </c>
      <c r="O177" s="127">
        <f t="shared" si="13"/>
        <v>129431575.19027646</v>
      </c>
      <c r="P177" s="127">
        <f t="shared" si="14"/>
        <v>-3150005.803702563</v>
      </c>
      <c r="Q177" s="216">
        <f t="shared" si="15"/>
        <v>-2.3759000157386988E-2</v>
      </c>
      <c r="R177" s="176">
        <f t="shared" si="16"/>
        <v>2.3759000157386988E-2</v>
      </c>
      <c r="S177" s="13"/>
    </row>
    <row r="178" spans="1:19">
      <c r="A178" s="250">
        <f t="shared" si="17"/>
        <v>40451</v>
      </c>
      <c r="B178" s="90">
        <v>116946781</v>
      </c>
      <c r="D178" s="90">
        <v>21551.63</v>
      </c>
      <c r="F178" s="159">
        <v>219588.71473821398</v>
      </c>
      <c r="G178" s="127">
        <f t="shared" si="12"/>
        <v>116748743.91526178</v>
      </c>
      <c r="H178" s="1">
        <v>122.7</v>
      </c>
      <c r="I178" s="1">
        <v>23</v>
      </c>
      <c r="J178" s="10">
        <v>30</v>
      </c>
      <c r="K178" s="10">
        <v>1</v>
      </c>
      <c r="L178" s="113">
        <v>336</v>
      </c>
      <c r="M178" s="197">
        <v>51730</v>
      </c>
      <c r="N178" s="101">
        <f>'CDM Activity'!N80</f>
        <v>1178649.8481218405</v>
      </c>
      <c r="O178" s="127">
        <f t="shared" si="13"/>
        <v>114830128.35935944</v>
      </c>
      <c r="P178" s="127">
        <f t="shared" si="14"/>
        <v>-1918615.5559023321</v>
      </c>
      <c r="Q178" s="216">
        <f t="shared" si="15"/>
        <v>-1.6433714758378008E-2</v>
      </c>
      <c r="R178" s="176">
        <f t="shared" si="16"/>
        <v>1.6433714758378008E-2</v>
      </c>
      <c r="S178" s="13"/>
    </row>
    <row r="179" spans="1:19">
      <c r="A179" s="250">
        <f t="shared" si="17"/>
        <v>40482</v>
      </c>
      <c r="B179" s="90">
        <v>116794004</v>
      </c>
      <c r="D179" s="90">
        <v>33695.379999999997</v>
      </c>
      <c r="F179" s="159">
        <v>219301.8483124373</v>
      </c>
      <c r="G179" s="127">
        <f t="shared" si="12"/>
        <v>116608397.53168756</v>
      </c>
      <c r="H179" s="1">
        <v>284.60000000000002</v>
      </c>
      <c r="I179" s="1">
        <v>0</v>
      </c>
      <c r="J179" s="10">
        <v>31</v>
      </c>
      <c r="K179" s="10">
        <v>1</v>
      </c>
      <c r="L179" s="113">
        <v>320</v>
      </c>
      <c r="M179" s="197">
        <v>51802</v>
      </c>
      <c r="N179" s="101">
        <f>'CDM Activity'!N81</f>
        <v>1188021.2461821078</v>
      </c>
      <c r="O179" s="127">
        <f t="shared" si="13"/>
        <v>115744974.18731247</v>
      </c>
      <c r="P179" s="127">
        <f t="shared" si="14"/>
        <v>-863423.34437508881</v>
      </c>
      <c r="Q179" s="216">
        <f t="shared" si="15"/>
        <v>-7.404469683587404E-3</v>
      </c>
      <c r="R179" s="176">
        <f t="shared" si="16"/>
        <v>7.404469683587404E-3</v>
      </c>
      <c r="S179" s="13"/>
    </row>
    <row r="180" spans="1:19">
      <c r="A180" s="250">
        <f t="shared" si="17"/>
        <v>40512</v>
      </c>
      <c r="B180" s="90">
        <v>121142765</v>
      </c>
      <c r="D180" s="90">
        <v>26466.9</v>
      </c>
      <c r="F180" s="159">
        <v>227467.4329529728</v>
      </c>
      <c r="G180" s="127">
        <f t="shared" si="12"/>
        <v>120941764.46704704</v>
      </c>
      <c r="H180" s="1">
        <v>424.1</v>
      </c>
      <c r="I180" s="1">
        <v>0</v>
      </c>
      <c r="J180" s="10">
        <v>30</v>
      </c>
      <c r="K180" s="10">
        <v>1</v>
      </c>
      <c r="L180" s="113">
        <v>336</v>
      </c>
      <c r="M180" s="197">
        <v>51876</v>
      </c>
      <c r="N180" s="101">
        <f>'CDM Activity'!N82</f>
        <v>1197392.6442423752</v>
      </c>
      <c r="O180" s="127">
        <f t="shared" si="13"/>
        <v>118549149.91437769</v>
      </c>
      <c r="P180" s="127">
        <f t="shared" si="14"/>
        <v>-2392614.5526693463</v>
      </c>
      <c r="Q180" s="216">
        <f t="shared" si="15"/>
        <v>-1.9783195352018047E-2</v>
      </c>
      <c r="R180" s="176">
        <f t="shared" si="16"/>
        <v>1.9783195352018047E-2</v>
      </c>
      <c r="S180" s="13"/>
    </row>
    <row r="181" spans="1:19">
      <c r="A181" s="250">
        <f t="shared" si="17"/>
        <v>40543</v>
      </c>
      <c r="B181" s="90">
        <v>132686798</v>
      </c>
      <c r="D181" s="90">
        <v>8842.7000000000007</v>
      </c>
      <c r="F181" s="159">
        <v>249143.44102852239</v>
      </c>
      <c r="G181" s="127">
        <f t="shared" si="12"/>
        <v>132446497.25897148</v>
      </c>
      <c r="H181" s="1">
        <v>719.4</v>
      </c>
      <c r="I181" s="1">
        <v>0</v>
      </c>
      <c r="J181" s="10">
        <v>31</v>
      </c>
      <c r="K181" s="10">
        <v>0</v>
      </c>
      <c r="L181" s="113">
        <v>368</v>
      </c>
      <c r="M181" s="197">
        <v>51942</v>
      </c>
      <c r="N181" s="101">
        <f>'CDM Activity'!N83</f>
        <v>1206764.0423026425</v>
      </c>
      <c r="O181" s="127">
        <f t="shared" si="13"/>
        <v>133377287.16457112</v>
      </c>
      <c r="P181" s="127">
        <f t="shared" si="14"/>
        <v>930789.90559963882</v>
      </c>
      <c r="Q181" s="216">
        <f t="shared" si="15"/>
        <v>7.0276672079871878E-3</v>
      </c>
      <c r="R181" s="176">
        <f t="shared" si="16"/>
        <v>7.0276672079871878E-3</v>
      </c>
      <c r="S181" s="13"/>
    </row>
    <row r="182" spans="1:19">
      <c r="A182" s="250">
        <f t="shared" si="17"/>
        <v>40574</v>
      </c>
      <c r="B182" s="90">
        <v>136994789</v>
      </c>
      <c r="D182" s="90">
        <v>17067.150000000001</v>
      </c>
      <c r="F182" s="159">
        <v>62828.275482695193</v>
      </c>
      <c r="G182" s="127">
        <f t="shared" si="12"/>
        <v>136949027.87451732</v>
      </c>
      <c r="H182" s="20">
        <v>822</v>
      </c>
      <c r="I182" s="20">
        <v>0</v>
      </c>
      <c r="J182" s="10">
        <v>31</v>
      </c>
      <c r="K182" s="10">
        <v>0</v>
      </c>
      <c r="L182" s="113">
        <v>336</v>
      </c>
      <c r="M182" s="197">
        <v>51912</v>
      </c>
      <c r="N182" s="101">
        <f>'CDM Activity'!N84</f>
        <v>1230960.1780413017</v>
      </c>
      <c r="O182" s="127">
        <f t="shared" si="13"/>
        <v>134162709.74716523</v>
      </c>
      <c r="P182" s="127">
        <f t="shared" si="14"/>
        <v>-2786318.1273520887</v>
      </c>
      <c r="Q182" s="216">
        <f t="shared" si="15"/>
        <v>-2.0345658312413261E-2</v>
      </c>
      <c r="R182" s="176">
        <f t="shared" si="16"/>
        <v>2.0345658312413261E-2</v>
      </c>
      <c r="S182"/>
    </row>
    <row r="183" spans="1:19">
      <c r="A183" s="250">
        <f t="shared" si="17"/>
        <v>40602</v>
      </c>
      <c r="B183" s="90">
        <v>122135594</v>
      </c>
      <c r="D183" s="90">
        <v>32586.51</v>
      </c>
      <c r="F183" s="159">
        <v>56013.581261653788</v>
      </c>
      <c r="G183" s="127">
        <f t="shared" si="12"/>
        <v>122112166.92873836</v>
      </c>
      <c r="H183" s="20">
        <v>689.3</v>
      </c>
      <c r="I183" s="20">
        <v>0</v>
      </c>
      <c r="J183" s="113">
        <v>28</v>
      </c>
      <c r="K183" s="10">
        <v>0</v>
      </c>
      <c r="L183" s="113">
        <v>304</v>
      </c>
      <c r="M183" s="197">
        <v>51951</v>
      </c>
      <c r="N183" s="101">
        <f>'CDM Activity'!N85</f>
        <v>1255156.3137799609</v>
      </c>
      <c r="O183" s="127">
        <f t="shared" si="13"/>
        <v>121854707.98583017</v>
      </c>
      <c r="P183" s="127">
        <f t="shared" si="14"/>
        <v>-257458.94290818274</v>
      </c>
      <c r="Q183" s="216">
        <f t="shared" si="15"/>
        <v>-2.1083807566729153E-3</v>
      </c>
      <c r="R183" s="176">
        <f t="shared" si="16"/>
        <v>2.1083807566729153E-3</v>
      </c>
      <c r="S183"/>
    </row>
    <row r="184" spans="1:19">
      <c r="A184" s="250">
        <f t="shared" si="17"/>
        <v>40633</v>
      </c>
      <c r="B184" s="90">
        <v>130238805</v>
      </c>
      <c r="D184" s="90">
        <v>68579.12</v>
      </c>
      <c r="F184" s="159">
        <v>59729.859645077595</v>
      </c>
      <c r="G184" s="127">
        <f t="shared" si="12"/>
        <v>130247654.26035492</v>
      </c>
      <c r="H184" s="20">
        <v>622.29999999999995</v>
      </c>
      <c r="I184" s="20">
        <v>0</v>
      </c>
      <c r="J184" s="10">
        <v>31</v>
      </c>
      <c r="K184" s="10">
        <v>1</v>
      </c>
      <c r="L184" s="113">
        <v>368</v>
      </c>
      <c r="M184" s="197">
        <v>52013</v>
      </c>
      <c r="N184" s="101">
        <f>'CDM Activity'!N86</f>
        <v>1279352.44951862</v>
      </c>
      <c r="O184" s="127">
        <f t="shared" si="13"/>
        <v>128458865.75643328</v>
      </c>
      <c r="P184" s="127">
        <f t="shared" si="14"/>
        <v>-1788788.5039216429</v>
      </c>
      <c r="Q184" s="216">
        <f t="shared" si="15"/>
        <v>-1.3733748327981354E-2</v>
      </c>
      <c r="R184" s="176">
        <f t="shared" si="16"/>
        <v>1.3733748327981354E-2</v>
      </c>
      <c r="S184"/>
    </row>
    <row r="185" spans="1:19">
      <c r="A185" s="250">
        <f t="shared" si="17"/>
        <v>40663</v>
      </c>
      <c r="B185" s="90">
        <v>114649106</v>
      </c>
      <c r="D185" s="90">
        <v>88855.08</v>
      </c>
      <c r="F185" s="159">
        <v>52580.143144077716</v>
      </c>
      <c r="G185" s="127">
        <f t="shared" si="12"/>
        <v>114685380.93685593</v>
      </c>
      <c r="H185" s="20">
        <v>349.6</v>
      </c>
      <c r="I185" s="20">
        <v>0</v>
      </c>
      <c r="J185" s="10">
        <v>30</v>
      </c>
      <c r="K185" s="10">
        <v>1</v>
      </c>
      <c r="L185" s="113">
        <v>320</v>
      </c>
      <c r="M185" s="197">
        <v>51974</v>
      </c>
      <c r="N185" s="101">
        <f>'CDM Activity'!N87</f>
        <v>1303548.5852572792</v>
      </c>
      <c r="O185" s="127">
        <f t="shared" si="13"/>
        <v>115539263.71017042</v>
      </c>
      <c r="P185" s="127">
        <f t="shared" si="14"/>
        <v>853882.77331449091</v>
      </c>
      <c r="Q185" s="216">
        <f t="shared" si="15"/>
        <v>7.4454369540318845E-3</v>
      </c>
      <c r="R185" s="176">
        <f t="shared" si="16"/>
        <v>7.4454369540318845E-3</v>
      </c>
      <c r="S185"/>
    </row>
    <row r="186" spans="1:19">
      <c r="A186" s="250">
        <f t="shared" si="17"/>
        <v>40694</v>
      </c>
      <c r="B186" s="90">
        <v>115314928</v>
      </c>
      <c r="D186" s="90">
        <v>92813.42</v>
      </c>
      <c r="F186" s="159">
        <v>52885.501094871295</v>
      </c>
      <c r="G186" s="127">
        <f t="shared" si="12"/>
        <v>115354855.91890512</v>
      </c>
      <c r="H186" s="20">
        <v>156.69999999999999</v>
      </c>
      <c r="I186" s="20">
        <v>13.2</v>
      </c>
      <c r="J186" s="10">
        <v>31</v>
      </c>
      <c r="K186" s="10">
        <v>1</v>
      </c>
      <c r="L186" s="113">
        <v>336</v>
      </c>
      <c r="M186" s="197">
        <v>51904</v>
      </c>
      <c r="N186" s="101">
        <f>'CDM Activity'!N88</f>
        <v>1327744.7209959384</v>
      </c>
      <c r="O186" s="127">
        <f t="shared" si="13"/>
        <v>116029673.41859452</v>
      </c>
      <c r="P186" s="127">
        <f t="shared" si="14"/>
        <v>674817.4996894002</v>
      </c>
      <c r="Q186" s="216">
        <f t="shared" si="15"/>
        <v>5.8499271167552699E-3</v>
      </c>
      <c r="R186" s="176">
        <f t="shared" si="16"/>
        <v>5.8499271167552699E-3</v>
      </c>
      <c r="S186"/>
    </row>
    <row r="187" spans="1:19">
      <c r="A187" s="250">
        <f t="shared" si="17"/>
        <v>40724</v>
      </c>
      <c r="B187" s="90">
        <v>119042433</v>
      </c>
      <c r="D187" s="90">
        <v>166961.99</v>
      </c>
      <c r="F187" s="159">
        <v>54595.001965033029</v>
      </c>
      <c r="G187" s="127">
        <f t="shared" si="12"/>
        <v>119154799.98803496</v>
      </c>
      <c r="H187" s="20">
        <v>48.5</v>
      </c>
      <c r="I187" s="20">
        <v>21.6</v>
      </c>
      <c r="J187" s="10">
        <v>30</v>
      </c>
      <c r="K187" s="10">
        <v>0</v>
      </c>
      <c r="L187" s="113">
        <v>352</v>
      </c>
      <c r="M187" s="197">
        <v>52117</v>
      </c>
      <c r="N187" s="101">
        <f>'CDM Activity'!N89</f>
        <v>1351940.8567345976</v>
      </c>
      <c r="O187" s="127">
        <f t="shared" si="13"/>
        <v>116331827.72962247</v>
      </c>
      <c r="P187" s="127">
        <f t="shared" si="14"/>
        <v>-2822972.2584124953</v>
      </c>
      <c r="Q187" s="216">
        <f t="shared" si="15"/>
        <v>-2.369163691849566E-2</v>
      </c>
      <c r="R187" s="176">
        <f t="shared" si="16"/>
        <v>2.369163691849566E-2</v>
      </c>
      <c r="S187"/>
    </row>
    <row r="188" spans="1:19">
      <c r="A188" s="250">
        <f t="shared" si="17"/>
        <v>40755</v>
      </c>
      <c r="B188" s="90">
        <v>138200903</v>
      </c>
      <c r="D188" s="90">
        <v>177167.57</v>
      </c>
      <c r="F188" s="159">
        <v>63381.42106734612</v>
      </c>
      <c r="G188" s="127">
        <f t="shared" si="12"/>
        <v>138314689.14893264</v>
      </c>
      <c r="H188" s="20">
        <v>0.8</v>
      </c>
      <c r="I188" s="20">
        <v>129.69999999999999</v>
      </c>
      <c r="J188" s="10">
        <v>31</v>
      </c>
      <c r="K188" s="10">
        <v>0</v>
      </c>
      <c r="L188" s="113">
        <v>320</v>
      </c>
      <c r="M188" s="197">
        <v>52228</v>
      </c>
      <c r="N188" s="101">
        <f>'CDM Activity'!N90</f>
        <v>1376136.9924732568</v>
      </c>
      <c r="O188" s="127">
        <f t="shared" si="13"/>
        <v>139121063.37863135</v>
      </c>
      <c r="P188" s="127">
        <f t="shared" si="14"/>
        <v>806374.22969871759</v>
      </c>
      <c r="Q188" s="216">
        <f t="shared" si="15"/>
        <v>5.829997049918832E-3</v>
      </c>
      <c r="R188" s="176">
        <f t="shared" si="16"/>
        <v>5.829997049918832E-3</v>
      </c>
      <c r="S188"/>
    </row>
    <row r="189" spans="1:19">
      <c r="A189" s="250">
        <f t="shared" si="17"/>
        <v>40786</v>
      </c>
      <c r="B189" s="90">
        <v>129680676</v>
      </c>
      <c r="D189" s="90">
        <v>212743.12</v>
      </c>
      <c r="F189" s="159">
        <v>59473.891642040049</v>
      </c>
      <c r="G189" s="127">
        <f t="shared" si="12"/>
        <v>129833945.22835797</v>
      </c>
      <c r="H189" s="20">
        <v>6.9</v>
      </c>
      <c r="I189" s="20">
        <v>60.1</v>
      </c>
      <c r="J189" s="10">
        <v>31</v>
      </c>
      <c r="K189" s="10">
        <v>0</v>
      </c>
      <c r="L189" s="113">
        <v>352</v>
      </c>
      <c r="M189" s="197">
        <v>52272</v>
      </c>
      <c r="N189" s="101">
        <f>'CDM Activity'!N91</f>
        <v>1400333.128211916</v>
      </c>
      <c r="O189" s="127">
        <f t="shared" si="13"/>
        <v>126112786.58620998</v>
      </c>
      <c r="P189" s="127">
        <f t="shared" si="14"/>
        <v>-3721158.6421479881</v>
      </c>
      <c r="Q189" s="216">
        <f t="shared" si="15"/>
        <v>-2.866090709639179E-2</v>
      </c>
      <c r="R189" s="176">
        <f t="shared" si="16"/>
        <v>2.866090709639179E-2</v>
      </c>
      <c r="S189"/>
    </row>
    <row r="190" spans="1:19">
      <c r="A190" s="250">
        <f t="shared" si="17"/>
        <v>40816</v>
      </c>
      <c r="B190" s="90">
        <v>118359468</v>
      </c>
      <c r="D190" s="90">
        <v>149717.82999999999</v>
      </c>
      <c r="F190" s="159">
        <v>54281.7819259479</v>
      </c>
      <c r="G190" s="127">
        <f t="shared" si="12"/>
        <v>118454904.04807405</v>
      </c>
      <c r="H190" s="20">
        <v>98.4</v>
      </c>
      <c r="I190" s="20">
        <v>19.7</v>
      </c>
      <c r="J190" s="10">
        <v>30</v>
      </c>
      <c r="K190" s="10">
        <v>1</v>
      </c>
      <c r="L190" s="113">
        <v>336</v>
      </c>
      <c r="M190" s="197">
        <v>52370</v>
      </c>
      <c r="N190" s="101">
        <f>'CDM Activity'!N92</f>
        <v>1424529.2639505751</v>
      </c>
      <c r="O190" s="127">
        <f t="shared" si="13"/>
        <v>114581443.79015875</v>
      </c>
      <c r="P190" s="127">
        <f t="shared" si="14"/>
        <v>-3873460.2579153031</v>
      </c>
      <c r="Q190" s="216">
        <f t="shared" si="15"/>
        <v>-3.2699872487704583E-2</v>
      </c>
      <c r="R190" s="176">
        <f t="shared" si="16"/>
        <v>3.2699872487704583E-2</v>
      </c>
      <c r="S190"/>
    </row>
    <row r="191" spans="1:19">
      <c r="A191" s="250">
        <f t="shared" si="17"/>
        <v>40847</v>
      </c>
      <c r="B191" s="90">
        <v>117222379</v>
      </c>
      <c r="D191" s="90">
        <v>125527.19</v>
      </c>
      <c r="F191" s="159">
        <v>53760.292448414984</v>
      </c>
      <c r="G191" s="127">
        <f t="shared" si="12"/>
        <v>117294145.89755158</v>
      </c>
      <c r="H191" s="20">
        <v>279.89999999999998</v>
      </c>
      <c r="I191" s="20">
        <v>0</v>
      </c>
      <c r="J191" s="10">
        <v>31</v>
      </c>
      <c r="K191" s="10">
        <v>1</v>
      </c>
      <c r="L191" s="113">
        <v>320</v>
      </c>
      <c r="M191" s="197">
        <v>52540</v>
      </c>
      <c r="N191" s="101">
        <f>'CDM Activity'!N93</f>
        <v>1448725.3996892343</v>
      </c>
      <c r="O191" s="127">
        <f t="shared" si="13"/>
        <v>116983089.62578928</v>
      </c>
      <c r="P191" s="127">
        <f t="shared" si="14"/>
        <v>-311056.27176229656</v>
      </c>
      <c r="Q191" s="216">
        <f t="shared" si="15"/>
        <v>-2.651933473593669E-3</v>
      </c>
      <c r="R191" s="176">
        <f t="shared" si="16"/>
        <v>2.651933473593669E-3</v>
      </c>
      <c r="S191"/>
    </row>
    <row r="192" spans="1:19">
      <c r="A192" s="250">
        <f t="shared" si="17"/>
        <v>40877</v>
      </c>
      <c r="B192" s="90">
        <v>119814510</v>
      </c>
      <c r="D192" s="90">
        <v>107275.55</v>
      </c>
      <c r="F192" s="159">
        <v>54949.090370905556</v>
      </c>
      <c r="G192" s="127">
        <f t="shared" si="12"/>
        <v>119866836.45962909</v>
      </c>
      <c r="H192" s="20">
        <v>382.4</v>
      </c>
      <c r="I192" s="20">
        <v>0</v>
      </c>
      <c r="J192" s="10">
        <v>30</v>
      </c>
      <c r="K192" s="10">
        <v>1</v>
      </c>
      <c r="L192" s="113">
        <v>352</v>
      </c>
      <c r="M192" s="197">
        <v>52585</v>
      </c>
      <c r="N192" s="101">
        <f>'CDM Activity'!N94</f>
        <v>1472921.5354278935</v>
      </c>
      <c r="O192" s="127">
        <f t="shared" si="13"/>
        <v>119631357.09247972</v>
      </c>
      <c r="P192" s="127">
        <f t="shared" si="14"/>
        <v>-235479.36714936793</v>
      </c>
      <c r="Q192" s="216">
        <f t="shared" si="15"/>
        <v>-1.964508066655091E-3</v>
      </c>
      <c r="R192" s="176">
        <f t="shared" si="16"/>
        <v>1.964508066655091E-3</v>
      </c>
      <c r="S192"/>
    </row>
    <row r="193" spans="1:19">
      <c r="A193" s="250">
        <f t="shared" si="17"/>
        <v>40908</v>
      </c>
      <c r="B193" s="90">
        <v>126569739</v>
      </c>
      <c r="D193" s="90">
        <v>61882.26</v>
      </c>
      <c r="F193" s="159">
        <v>58047.159951936781</v>
      </c>
      <c r="G193" s="127">
        <f t="shared" si="12"/>
        <v>126573574.10004807</v>
      </c>
      <c r="H193" s="20">
        <v>574.79999999999995</v>
      </c>
      <c r="I193" s="20">
        <v>0</v>
      </c>
      <c r="J193" s="10">
        <v>31</v>
      </c>
      <c r="K193" s="10">
        <v>0</v>
      </c>
      <c r="L193" s="113">
        <v>336</v>
      </c>
      <c r="M193" s="197">
        <v>52626</v>
      </c>
      <c r="N193" s="101">
        <f>'CDM Activity'!N95</f>
        <v>1497117.6711665527</v>
      </c>
      <c r="O193" s="127">
        <f t="shared" si="13"/>
        <v>128564538.58304043</v>
      </c>
      <c r="P193" s="127">
        <f t="shared" si="14"/>
        <v>1990964.482992366</v>
      </c>
      <c r="Q193" s="216">
        <f t="shared" si="15"/>
        <v>1.572970106239269E-2</v>
      </c>
      <c r="R193" s="176">
        <f t="shared" si="16"/>
        <v>1.572970106239269E-2</v>
      </c>
      <c r="S193"/>
    </row>
    <row r="194" spans="1:19">
      <c r="A194" s="250">
        <f t="shared" si="17"/>
        <v>40939</v>
      </c>
      <c r="B194" s="90">
        <v>133054011.81999999</v>
      </c>
      <c r="D194" s="90">
        <v>90401.13</v>
      </c>
      <c r="F194" s="159">
        <v>78253.575510724666</v>
      </c>
      <c r="G194" s="127">
        <f t="shared" ref="G194:G257" si="18">+B194-C194+D194+E194-F194</f>
        <v>133066159.37448926</v>
      </c>
      <c r="H194" s="20">
        <v>657.3</v>
      </c>
      <c r="I194" s="20">
        <v>0</v>
      </c>
      <c r="J194" s="10">
        <v>31</v>
      </c>
      <c r="K194" s="16">
        <v>0</v>
      </c>
      <c r="L194" s="113">
        <v>336</v>
      </c>
      <c r="M194" s="197">
        <v>52669</v>
      </c>
      <c r="N194" s="101">
        <f>'CDM Activity'!N96</f>
        <v>1545001.090427398</v>
      </c>
      <c r="O194" s="127">
        <f t="shared" ref="O194:O257" si="19">$V$17+$V$18*H194+$V$19*I194+$V$20*J194+$V$21*K194+$V$22*L194+$V$23*M194+$V$24*N194</f>
        <v>130883949.94732881</v>
      </c>
      <c r="P194" s="127">
        <f t="shared" ref="P194:P257" si="20">O194-G194</f>
        <v>-2182209.4271604568</v>
      </c>
      <c r="Q194" s="216">
        <f t="shared" ref="Q194:Q257" si="21">P194/G194</f>
        <v>-1.6399431962404849E-2</v>
      </c>
      <c r="R194" s="176">
        <f t="shared" si="16"/>
        <v>1.6399431962404849E-2</v>
      </c>
      <c r="S194"/>
    </row>
    <row r="195" spans="1:19">
      <c r="A195" s="250">
        <f t="shared" si="17"/>
        <v>40968</v>
      </c>
      <c r="B195" s="90">
        <v>120941248.5</v>
      </c>
      <c r="D195" s="90">
        <v>141343.04999999999</v>
      </c>
      <c r="F195" s="159">
        <v>71132.555639916769</v>
      </c>
      <c r="G195" s="127">
        <f t="shared" si="18"/>
        <v>121011458.99436007</v>
      </c>
      <c r="H195" s="20">
        <v>573</v>
      </c>
      <c r="I195" s="20">
        <v>0</v>
      </c>
      <c r="J195" s="10">
        <v>29</v>
      </c>
      <c r="K195" s="16">
        <v>0</v>
      </c>
      <c r="L195" s="113">
        <v>320</v>
      </c>
      <c r="M195" s="197">
        <v>52705</v>
      </c>
      <c r="N195" s="101">
        <f>'CDM Activity'!N97</f>
        <v>1592884.5096882433</v>
      </c>
      <c r="O195" s="127">
        <f t="shared" si="19"/>
        <v>123085798.76016866</v>
      </c>
      <c r="P195" s="127">
        <f t="shared" si="20"/>
        <v>2074339.7658085823</v>
      </c>
      <c r="Q195" s="216">
        <f t="shared" si="21"/>
        <v>1.714168049081418E-2</v>
      </c>
      <c r="R195" s="176">
        <f t="shared" ref="R195:R258" si="22">ABS(Q195)</f>
        <v>1.714168049081418E-2</v>
      </c>
      <c r="S195"/>
    </row>
    <row r="196" spans="1:19">
      <c r="A196" s="250">
        <f t="shared" si="17"/>
        <v>40999</v>
      </c>
      <c r="B196" s="90">
        <v>123000174.03</v>
      </c>
      <c r="D196" s="90">
        <v>223985.92000000001</v>
      </c>
      <c r="F196" s="159">
        <v>72348.318779709851</v>
      </c>
      <c r="G196" s="127">
        <f t="shared" si="18"/>
        <v>123151811.6312203</v>
      </c>
      <c r="H196" s="20">
        <v>370.1</v>
      </c>
      <c r="I196" s="20">
        <v>0</v>
      </c>
      <c r="J196" s="10">
        <v>31</v>
      </c>
      <c r="K196" s="16">
        <v>1</v>
      </c>
      <c r="L196" s="113">
        <v>352</v>
      </c>
      <c r="M196" s="197">
        <v>52764</v>
      </c>
      <c r="N196" s="101">
        <f>'CDM Activity'!N98</f>
        <v>1640767.9289490886</v>
      </c>
      <c r="O196" s="127">
        <f t="shared" si="19"/>
        <v>121656375.36900552</v>
      </c>
      <c r="P196" s="127">
        <f t="shared" si="20"/>
        <v>-1495436.2622147799</v>
      </c>
      <c r="Q196" s="216">
        <f t="shared" si="21"/>
        <v>-1.2143030966469931E-2</v>
      </c>
      <c r="R196" s="176">
        <f t="shared" si="22"/>
        <v>1.2143030966469931E-2</v>
      </c>
      <c r="S196"/>
    </row>
    <row r="197" spans="1:19">
      <c r="A197" s="250">
        <f t="shared" si="17"/>
        <v>41029</v>
      </c>
      <c r="B197" s="90">
        <v>112691603.01000001</v>
      </c>
      <c r="D197" s="90">
        <v>259168.1</v>
      </c>
      <c r="F197" s="159">
        <v>66287.639477736928</v>
      </c>
      <c r="G197" s="127">
        <f t="shared" si="18"/>
        <v>112884483.47052227</v>
      </c>
      <c r="H197" s="20">
        <v>365.3</v>
      </c>
      <c r="I197" s="20">
        <v>0</v>
      </c>
      <c r="J197" s="10">
        <v>30</v>
      </c>
      <c r="K197" s="16">
        <v>1</v>
      </c>
      <c r="L197" s="113">
        <v>320</v>
      </c>
      <c r="M197" s="197">
        <v>52792</v>
      </c>
      <c r="N197" s="101">
        <f>'CDM Activity'!N99</f>
        <v>1688651.3482099338</v>
      </c>
      <c r="O197" s="127">
        <f t="shared" si="19"/>
        <v>117312671.13194133</v>
      </c>
      <c r="P197" s="127">
        <f t="shared" si="20"/>
        <v>4428187.6614190638</v>
      </c>
      <c r="Q197" s="216">
        <f t="shared" si="21"/>
        <v>3.9227602636596234E-2</v>
      </c>
      <c r="R197" s="176">
        <f t="shared" si="22"/>
        <v>3.9227602636596234E-2</v>
      </c>
      <c r="S197"/>
    </row>
    <row r="198" spans="1:19">
      <c r="A198" s="250">
        <f t="shared" si="17"/>
        <v>41060</v>
      </c>
      <c r="B198" s="90">
        <v>119335240.28</v>
      </c>
      <c r="D198" s="90">
        <v>411773.63</v>
      </c>
      <c r="F198" s="159">
        <v>70250.926210694175</v>
      </c>
      <c r="G198" s="127">
        <f t="shared" si="18"/>
        <v>119676762.98378929</v>
      </c>
      <c r="H198" s="20">
        <v>105.8</v>
      </c>
      <c r="I198" s="20">
        <v>18.2</v>
      </c>
      <c r="J198" s="10">
        <v>31</v>
      </c>
      <c r="K198" s="16">
        <v>1</v>
      </c>
      <c r="L198" s="113">
        <v>352</v>
      </c>
      <c r="M198" s="197">
        <v>52765</v>
      </c>
      <c r="N198" s="101">
        <f>'CDM Activity'!N100</f>
        <v>1736534.7674707791</v>
      </c>
      <c r="O198" s="127">
        <f t="shared" si="19"/>
        <v>118078266.56072253</v>
      </c>
      <c r="P198" s="127">
        <f t="shared" si="20"/>
        <v>-1598496.4230667651</v>
      </c>
      <c r="Q198" s="216">
        <f t="shared" si="21"/>
        <v>-1.3356781911650534E-2</v>
      </c>
      <c r="R198" s="176">
        <f t="shared" si="22"/>
        <v>1.3356781911650534E-2</v>
      </c>
      <c r="S198"/>
    </row>
    <row r="199" spans="1:19">
      <c r="A199" s="250">
        <f t="shared" si="17"/>
        <v>41090</v>
      </c>
      <c r="B199" s="90">
        <v>125981960.38</v>
      </c>
      <c r="D199" s="90">
        <v>351650.88</v>
      </c>
      <c r="E199" s="101">
        <v>156552.046776</v>
      </c>
      <c r="F199" s="159">
        <v>74123.085781888672</v>
      </c>
      <c r="G199" s="127">
        <f t="shared" si="18"/>
        <v>126416040.2209941</v>
      </c>
      <c r="H199" s="20">
        <v>42.1</v>
      </c>
      <c r="I199" s="20">
        <v>61.2</v>
      </c>
      <c r="J199" s="10">
        <v>30</v>
      </c>
      <c r="K199" s="16">
        <v>0</v>
      </c>
      <c r="L199" s="113">
        <v>336</v>
      </c>
      <c r="M199" s="197">
        <v>52838</v>
      </c>
      <c r="N199" s="101">
        <f>'CDM Activity'!N101</f>
        <v>1784418.1867316244</v>
      </c>
      <c r="O199" s="127">
        <f t="shared" si="19"/>
        <v>124823989.27981994</v>
      </c>
      <c r="P199" s="127">
        <f t="shared" si="20"/>
        <v>-1592050.9411741644</v>
      </c>
      <c r="Q199" s="216">
        <f t="shared" si="21"/>
        <v>-1.2593741572596498E-2</v>
      </c>
      <c r="R199" s="176">
        <f t="shared" si="22"/>
        <v>1.2593741572596498E-2</v>
      </c>
      <c r="S199"/>
    </row>
    <row r="200" spans="1:19">
      <c r="A200" s="250">
        <f t="shared" si="17"/>
        <v>41121</v>
      </c>
      <c r="B200" s="90">
        <v>142079563.15000001</v>
      </c>
      <c r="D200" s="90">
        <v>366752.48</v>
      </c>
      <c r="E200" s="101">
        <v>830327.64440400002</v>
      </c>
      <c r="F200" s="159">
        <v>83591.32179756074</v>
      </c>
      <c r="G200" s="127">
        <f t="shared" si="18"/>
        <v>143193051.95260644</v>
      </c>
      <c r="H200" s="20">
        <v>0</v>
      </c>
      <c r="I200" s="20">
        <v>128.19999999999999</v>
      </c>
      <c r="J200" s="10">
        <v>31</v>
      </c>
      <c r="K200" s="16">
        <v>0</v>
      </c>
      <c r="L200" s="113">
        <v>336</v>
      </c>
      <c r="M200" s="197">
        <v>52881</v>
      </c>
      <c r="N200" s="101">
        <f>'CDM Activity'!N102</f>
        <v>1832301.6059924697</v>
      </c>
      <c r="O200" s="127">
        <f t="shared" si="19"/>
        <v>140532890.87544268</v>
      </c>
      <c r="P200" s="127">
        <f t="shared" si="20"/>
        <v>-2660161.0771637559</v>
      </c>
      <c r="Q200" s="216">
        <f t="shared" si="21"/>
        <v>-1.8577445210429672E-2</v>
      </c>
      <c r="R200" s="176">
        <f t="shared" si="22"/>
        <v>1.8577445210429672E-2</v>
      </c>
      <c r="S200"/>
    </row>
    <row r="201" spans="1:19">
      <c r="A201" s="250">
        <f t="shared" si="17"/>
        <v>41152</v>
      </c>
      <c r="B201" s="90">
        <v>130563175.68000001</v>
      </c>
      <c r="D201" s="90">
        <v>347062.71</v>
      </c>
      <c r="E201" s="101">
        <v>746851.44171600009</v>
      </c>
      <c r="F201" s="159">
        <v>76824.832615056366</v>
      </c>
      <c r="G201" s="127">
        <f t="shared" si="18"/>
        <v>131580264.99910094</v>
      </c>
      <c r="H201" s="20">
        <v>19.399999999999999</v>
      </c>
      <c r="I201" s="20">
        <v>59.1</v>
      </c>
      <c r="J201" s="10">
        <v>31</v>
      </c>
      <c r="K201" s="16">
        <v>0</v>
      </c>
      <c r="L201" s="113">
        <v>352</v>
      </c>
      <c r="M201" s="197">
        <v>52971</v>
      </c>
      <c r="N201" s="101">
        <f>'CDM Activity'!N103</f>
        <v>1880185.025253315</v>
      </c>
      <c r="O201" s="127">
        <f t="shared" si="19"/>
        <v>127098433.80481155</v>
      </c>
      <c r="P201" s="127">
        <f t="shared" si="20"/>
        <v>-4481831.1942893863</v>
      </c>
      <c r="Q201" s="216">
        <f t="shared" si="21"/>
        <v>-3.4061575984210168E-2</v>
      </c>
      <c r="R201" s="176">
        <f t="shared" si="22"/>
        <v>3.4061575984210168E-2</v>
      </c>
      <c r="S201"/>
    </row>
    <row r="202" spans="1:19">
      <c r="A202" s="250">
        <f t="shared" si="17"/>
        <v>41182</v>
      </c>
      <c r="B202" s="90">
        <v>117194517.90000001</v>
      </c>
      <c r="D202" s="90">
        <v>351466.88</v>
      </c>
      <c r="E202" s="101">
        <v>704058.98860799999</v>
      </c>
      <c r="F202" s="159">
        <v>68994.615521088068</v>
      </c>
      <c r="G202" s="127">
        <f t="shared" si="18"/>
        <v>118181049.15308692</v>
      </c>
      <c r="H202" s="20">
        <v>125.4</v>
      </c>
      <c r="I202" s="20">
        <v>16.399999999999999</v>
      </c>
      <c r="J202" s="10">
        <v>30</v>
      </c>
      <c r="K202" s="16">
        <v>1</v>
      </c>
      <c r="L202" s="113">
        <v>304</v>
      </c>
      <c r="M202" s="197">
        <v>53174</v>
      </c>
      <c r="N202" s="101">
        <f>'CDM Activity'!N104</f>
        <v>1928068.4445141603</v>
      </c>
      <c r="O202" s="127">
        <f t="shared" si="19"/>
        <v>113734250.44873674</v>
      </c>
      <c r="P202" s="127">
        <f t="shared" si="20"/>
        <v>-4446798.7043501735</v>
      </c>
      <c r="Q202" s="216">
        <f t="shared" si="21"/>
        <v>-3.7627003112740788E-2</v>
      </c>
      <c r="R202" s="176">
        <f t="shared" si="22"/>
        <v>3.7627003112740788E-2</v>
      </c>
      <c r="S202"/>
    </row>
    <row r="203" spans="1:19">
      <c r="A203" s="250">
        <f t="shared" si="17"/>
        <v>41213</v>
      </c>
      <c r="B203" s="90">
        <v>119510341.43000001</v>
      </c>
      <c r="D203" s="90">
        <v>182984.21</v>
      </c>
      <c r="E203" s="101">
        <v>627856.1703</v>
      </c>
      <c r="F203" s="159">
        <v>70319.675152134136</v>
      </c>
      <c r="G203" s="127">
        <f t="shared" si="18"/>
        <v>120250862.13514787</v>
      </c>
      <c r="H203" s="20">
        <v>279.2</v>
      </c>
      <c r="I203" s="20">
        <v>0</v>
      </c>
      <c r="J203" s="10">
        <v>31</v>
      </c>
      <c r="K203" s="16">
        <v>1</v>
      </c>
      <c r="L203" s="113">
        <v>352</v>
      </c>
      <c r="M203" s="197">
        <v>53346</v>
      </c>
      <c r="N203" s="101">
        <f>'CDM Activity'!N105</f>
        <v>1975951.8637750056</v>
      </c>
      <c r="O203" s="127">
        <f t="shared" si="19"/>
        <v>119954545.49507359</v>
      </c>
      <c r="P203" s="127">
        <f t="shared" si="20"/>
        <v>-296316.64007428288</v>
      </c>
      <c r="Q203" s="216">
        <f t="shared" si="21"/>
        <v>-2.4641539762206253E-3</v>
      </c>
      <c r="R203" s="176">
        <f t="shared" si="22"/>
        <v>2.4641539762206253E-3</v>
      </c>
      <c r="S203"/>
    </row>
    <row r="204" spans="1:19">
      <c r="A204" s="250">
        <f t="shared" si="17"/>
        <v>41243</v>
      </c>
      <c r="B204" s="90">
        <v>122632476.68000001</v>
      </c>
      <c r="D204" s="90">
        <v>157709.44</v>
      </c>
      <c r="E204" s="101">
        <v>630415.49187599996</v>
      </c>
      <c r="F204" s="159">
        <v>72148.005685793789</v>
      </c>
      <c r="G204" s="127">
        <f t="shared" si="18"/>
        <v>123348453.60619022</v>
      </c>
      <c r="H204" s="20">
        <v>483.6</v>
      </c>
      <c r="I204" s="20">
        <v>0</v>
      </c>
      <c r="J204" s="10">
        <v>30</v>
      </c>
      <c r="K204" s="16">
        <v>1</v>
      </c>
      <c r="L204" s="113">
        <v>352</v>
      </c>
      <c r="M204" s="197">
        <v>53452</v>
      </c>
      <c r="N204" s="101">
        <f>'CDM Activity'!N106</f>
        <v>2023835.2830358509</v>
      </c>
      <c r="O204" s="127">
        <f t="shared" si="19"/>
        <v>123599451.01658173</v>
      </c>
      <c r="P204" s="127">
        <f t="shared" si="20"/>
        <v>250997.41039150953</v>
      </c>
      <c r="Q204" s="216">
        <f t="shared" si="21"/>
        <v>2.0348646703983752E-3</v>
      </c>
      <c r="R204" s="176">
        <f t="shared" si="22"/>
        <v>2.0348646703983752E-3</v>
      </c>
      <c r="S204"/>
    </row>
    <row r="205" spans="1:19">
      <c r="A205" s="250">
        <f t="shared" si="17"/>
        <v>41274</v>
      </c>
      <c r="B205" s="90">
        <v>125695219.19</v>
      </c>
      <c r="D205" s="90">
        <v>89826.67</v>
      </c>
      <c r="E205" s="101">
        <v>617717.21219999995</v>
      </c>
      <c r="F205" s="159">
        <v>73943.447827695854</v>
      </c>
      <c r="G205" s="127">
        <f t="shared" si="18"/>
        <v>126328819.6243723</v>
      </c>
      <c r="H205" s="20">
        <v>565.5</v>
      </c>
      <c r="I205" s="20">
        <v>0</v>
      </c>
      <c r="J205" s="10">
        <v>31</v>
      </c>
      <c r="K205" s="16">
        <v>0</v>
      </c>
      <c r="L205" s="113">
        <v>304</v>
      </c>
      <c r="M205" s="197">
        <v>53402</v>
      </c>
      <c r="N205" s="101">
        <f>'CDM Activity'!N107</f>
        <v>2071718.7022966961</v>
      </c>
      <c r="O205" s="127">
        <f t="shared" si="19"/>
        <v>127219856.00889997</v>
      </c>
      <c r="P205" s="127">
        <f t="shared" si="20"/>
        <v>891036.38452766836</v>
      </c>
      <c r="Q205" s="216">
        <f t="shared" si="21"/>
        <v>7.0533104574006713E-3</v>
      </c>
      <c r="R205" s="176">
        <f t="shared" si="22"/>
        <v>7.0533104574006713E-3</v>
      </c>
      <c r="S205"/>
    </row>
    <row r="206" spans="1:19">
      <c r="A206" s="250">
        <f t="shared" si="17"/>
        <v>41305</v>
      </c>
      <c r="B206" s="90">
        <v>133527422.16</v>
      </c>
      <c r="D206" s="90">
        <v>136113.82999999999</v>
      </c>
      <c r="E206" s="101">
        <v>524897.4</v>
      </c>
      <c r="F206" s="159">
        <v>102861.81649220374</v>
      </c>
      <c r="G206" s="127">
        <f t="shared" si="18"/>
        <v>134085571.5735078</v>
      </c>
      <c r="H206" s="20">
        <v>681.3</v>
      </c>
      <c r="I206" s="20">
        <v>0</v>
      </c>
      <c r="J206" s="10">
        <v>31</v>
      </c>
      <c r="K206" s="16">
        <v>0</v>
      </c>
      <c r="L206" s="113">
        <v>352</v>
      </c>
      <c r="M206" s="197">
        <v>53502</v>
      </c>
      <c r="N206" s="101">
        <f>'CDM Activity'!N108</f>
        <v>2116838.0137448539</v>
      </c>
      <c r="O206" s="127">
        <f t="shared" si="19"/>
        <v>133550435.6180044</v>
      </c>
      <c r="P206" s="127">
        <f t="shared" si="20"/>
        <v>-535135.95550340414</v>
      </c>
      <c r="Q206" s="216">
        <f t="shared" si="21"/>
        <v>-3.9910032766652618E-3</v>
      </c>
      <c r="R206" s="176">
        <f t="shared" si="22"/>
        <v>3.9910032766652618E-3</v>
      </c>
      <c r="S206"/>
    </row>
    <row r="207" spans="1:19">
      <c r="A207" s="250">
        <f t="shared" si="17"/>
        <v>41333</v>
      </c>
      <c r="B207" s="90">
        <v>121236985.34</v>
      </c>
      <c r="D207" s="90">
        <v>123471.97</v>
      </c>
      <c r="E207" s="101">
        <v>580823.6</v>
      </c>
      <c r="F207" s="159">
        <v>93387.673403278764</v>
      </c>
      <c r="G207" s="127">
        <f t="shared" si="18"/>
        <v>121847893.23659672</v>
      </c>
      <c r="H207" s="20">
        <v>697.9</v>
      </c>
      <c r="I207" s="20">
        <v>0</v>
      </c>
      <c r="J207" s="10">
        <v>28</v>
      </c>
      <c r="K207" s="16">
        <v>0</v>
      </c>
      <c r="L207" s="113">
        <v>304</v>
      </c>
      <c r="M207" s="197">
        <v>53528</v>
      </c>
      <c r="N207" s="101">
        <f>'CDM Activity'!N109</f>
        <v>2161957.3251930117</v>
      </c>
      <c r="O207" s="127">
        <f t="shared" si="19"/>
        <v>124357501.43583953</v>
      </c>
      <c r="P207" s="127">
        <f t="shared" si="20"/>
        <v>2509608.1992428154</v>
      </c>
      <c r="Q207" s="216">
        <f t="shared" si="21"/>
        <v>2.0596237920747738E-2</v>
      </c>
      <c r="R207" s="176">
        <f t="shared" si="22"/>
        <v>2.0596237920747738E-2</v>
      </c>
      <c r="S207"/>
    </row>
    <row r="208" spans="1:19">
      <c r="A208" s="250">
        <f t="shared" si="17"/>
        <v>41364</v>
      </c>
      <c r="B208" s="90">
        <v>127539934.63500001</v>
      </c>
      <c r="D208" s="90">
        <v>308772.53000000003</v>
      </c>
      <c r="E208" s="101">
        <v>576251.30000000005</v>
      </c>
      <c r="F208" s="159">
        <v>98290.588108096243</v>
      </c>
      <c r="G208" s="127">
        <f t="shared" si="18"/>
        <v>128326667.87689191</v>
      </c>
      <c r="H208" s="20">
        <v>612</v>
      </c>
      <c r="I208" s="20">
        <v>0</v>
      </c>
      <c r="J208" s="10">
        <v>31</v>
      </c>
      <c r="K208" s="16">
        <v>1</v>
      </c>
      <c r="L208" s="113">
        <v>320</v>
      </c>
      <c r="M208" s="197">
        <v>53536</v>
      </c>
      <c r="N208" s="101">
        <f>'CDM Activity'!N110</f>
        <v>2207076.6366411694</v>
      </c>
      <c r="O208" s="127">
        <f t="shared" si="19"/>
        <v>127325375.73297606</v>
      </c>
      <c r="P208" s="127">
        <f t="shared" si="20"/>
        <v>-1001292.1439158469</v>
      </c>
      <c r="Q208" s="216">
        <f t="shared" si="21"/>
        <v>-7.8026817066303017E-3</v>
      </c>
      <c r="R208" s="176">
        <f t="shared" si="22"/>
        <v>7.8026817066303017E-3</v>
      </c>
      <c r="S208"/>
    </row>
    <row r="209" spans="1:19">
      <c r="A209" s="250">
        <f t="shared" si="17"/>
        <v>41394</v>
      </c>
      <c r="B209" s="90">
        <v>116521543.889</v>
      </c>
      <c r="D209" s="90">
        <v>352455.16</v>
      </c>
      <c r="E209" s="101">
        <v>648360.9</v>
      </c>
      <c r="F209" s="159">
        <v>89816.032839715932</v>
      </c>
      <c r="G209" s="127">
        <f t="shared" si="18"/>
        <v>117432543.91616029</v>
      </c>
      <c r="H209" s="20">
        <v>384.7</v>
      </c>
      <c r="I209" s="20">
        <v>0</v>
      </c>
      <c r="J209" s="10">
        <v>30</v>
      </c>
      <c r="K209" s="16">
        <v>1</v>
      </c>
      <c r="L209" s="113">
        <v>352</v>
      </c>
      <c r="M209" s="197">
        <v>53508</v>
      </c>
      <c r="N209" s="101">
        <f>'CDM Activity'!N111</f>
        <v>2252195.9480893272</v>
      </c>
      <c r="O209" s="127">
        <f t="shared" si="19"/>
        <v>120548776.14279005</v>
      </c>
      <c r="P209" s="127">
        <f t="shared" si="20"/>
        <v>3116232.2266297638</v>
      </c>
      <c r="Q209" s="216">
        <f t="shared" si="21"/>
        <v>2.6536359706680328E-2</v>
      </c>
      <c r="R209" s="176">
        <f t="shared" si="22"/>
        <v>2.6536359706680328E-2</v>
      </c>
      <c r="S209"/>
    </row>
    <row r="210" spans="1:19">
      <c r="A210" s="250">
        <f t="shared" si="17"/>
        <v>41425</v>
      </c>
      <c r="B210" s="90">
        <v>116582496.69400001</v>
      </c>
      <c r="D210" s="90">
        <v>494154.6</v>
      </c>
      <c r="E210" s="101">
        <v>652218.69999999995</v>
      </c>
      <c r="F210" s="159">
        <v>89892.820900924111</v>
      </c>
      <c r="G210" s="127">
        <f t="shared" si="18"/>
        <v>117638977.17309909</v>
      </c>
      <c r="H210" s="20">
        <v>152.1</v>
      </c>
      <c r="I210" s="20">
        <v>19.600000000000001</v>
      </c>
      <c r="J210" s="10">
        <v>31</v>
      </c>
      <c r="K210" s="16">
        <v>1</v>
      </c>
      <c r="L210" s="113">
        <v>352</v>
      </c>
      <c r="M210" s="197">
        <v>53565</v>
      </c>
      <c r="N210" s="101">
        <f>'CDM Activity'!N112</f>
        <v>2297315.259537485</v>
      </c>
      <c r="O210" s="127">
        <f t="shared" si="19"/>
        <v>120632584.96550441</v>
      </c>
      <c r="P210" s="127">
        <f t="shared" si="20"/>
        <v>2993607.7924053222</v>
      </c>
      <c r="Q210" s="216">
        <f t="shared" si="21"/>
        <v>2.5447414320853862E-2</v>
      </c>
      <c r="R210" s="176">
        <f t="shared" si="22"/>
        <v>2.5447414320853862E-2</v>
      </c>
      <c r="S210"/>
    </row>
    <row r="211" spans="1:19">
      <c r="A211" s="250">
        <f t="shared" si="17"/>
        <v>41455</v>
      </c>
      <c r="B211" s="90">
        <v>120362903.43099999</v>
      </c>
      <c r="D211" s="90">
        <v>431927.94</v>
      </c>
      <c r="E211" s="101">
        <v>699684.2</v>
      </c>
      <c r="F211" s="159">
        <v>92778.459162571336</v>
      </c>
      <c r="G211" s="127">
        <f t="shared" si="18"/>
        <v>121401737.11183742</v>
      </c>
      <c r="H211" s="20">
        <v>52.6</v>
      </c>
      <c r="I211" s="20">
        <v>31.3</v>
      </c>
      <c r="J211" s="10">
        <v>30</v>
      </c>
      <c r="K211" s="16">
        <v>0</v>
      </c>
      <c r="L211" s="113">
        <v>320</v>
      </c>
      <c r="M211" s="197">
        <v>53760</v>
      </c>
      <c r="N211" s="101">
        <f>'CDM Activity'!N113</f>
        <v>2342434.5709856427</v>
      </c>
      <c r="O211" s="127">
        <f t="shared" si="19"/>
        <v>118879994.49380556</v>
      </c>
      <c r="P211" s="127">
        <f t="shared" si="20"/>
        <v>-2521742.6180318594</v>
      </c>
      <c r="Q211" s="216">
        <f t="shared" si="21"/>
        <v>-2.0771882495460386E-2</v>
      </c>
      <c r="R211" s="176">
        <f t="shared" si="22"/>
        <v>2.0771882495460386E-2</v>
      </c>
      <c r="S211"/>
    </row>
    <row r="212" spans="1:19">
      <c r="A212" s="250">
        <f t="shared" si="17"/>
        <v>41486</v>
      </c>
      <c r="B212" s="90">
        <v>135783425.20100001</v>
      </c>
      <c r="D212" s="90">
        <v>475817.76</v>
      </c>
      <c r="E212" s="101">
        <v>695737.4</v>
      </c>
      <c r="F212" s="159">
        <v>104676.70740910769</v>
      </c>
      <c r="G212" s="127">
        <f t="shared" si="18"/>
        <v>136850303.65359089</v>
      </c>
      <c r="H212" s="20">
        <v>15.1</v>
      </c>
      <c r="I212" s="20">
        <v>86.5</v>
      </c>
      <c r="J212" s="10">
        <v>31</v>
      </c>
      <c r="K212" s="16">
        <v>0</v>
      </c>
      <c r="L212" s="113">
        <v>352</v>
      </c>
      <c r="M212" s="197">
        <v>53909</v>
      </c>
      <c r="N212" s="101">
        <f>'CDM Activity'!N114</f>
        <v>2387553.8824338005</v>
      </c>
      <c r="O212" s="127">
        <f t="shared" si="19"/>
        <v>134368603.92587405</v>
      </c>
      <c r="P212" s="127">
        <f t="shared" si="20"/>
        <v>-2481699.7277168334</v>
      </c>
      <c r="Q212" s="216">
        <f t="shared" si="21"/>
        <v>-1.8134411553800852E-2</v>
      </c>
      <c r="R212" s="176">
        <f t="shared" si="22"/>
        <v>1.8134411553800852E-2</v>
      </c>
      <c r="S212"/>
    </row>
    <row r="213" spans="1:19">
      <c r="A213" s="250">
        <f t="shared" si="17"/>
        <v>41517</v>
      </c>
      <c r="B213" s="90">
        <v>126492701.765</v>
      </c>
      <c r="D213" s="90">
        <v>509729.72</v>
      </c>
      <c r="E213" s="101">
        <v>637368.19999999995</v>
      </c>
      <c r="F213" s="159">
        <v>97538.029838452552</v>
      </c>
      <c r="G213" s="127">
        <f t="shared" si="18"/>
        <v>127542261.65516154</v>
      </c>
      <c r="H213" s="20">
        <v>32.700000000000003</v>
      </c>
      <c r="I213" s="20">
        <v>42.1</v>
      </c>
      <c r="J213" s="10">
        <v>31</v>
      </c>
      <c r="K213" s="16">
        <v>0</v>
      </c>
      <c r="L213" s="113">
        <v>336</v>
      </c>
      <c r="M213" s="197">
        <v>54009</v>
      </c>
      <c r="N213" s="101">
        <f>'CDM Activity'!N115</f>
        <v>2432673.1938819583</v>
      </c>
      <c r="O213" s="127">
        <f t="shared" si="19"/>
        <v>124352998.82487138</v>
      </c>
      <c r="P213" s="127">
        <f t="shared" si="20"/>
        <v>-3189262.8302901685</v>
      </c>
      <c r="Q213" s="216">
        <f t="shared" si="21"/>
        <v>-2.5005537685328486E-2</v>
      </c>
      <c r="R213" s="176">
        <f t="shared" si="22"/>
        <v>2.5005537685328486E-2</v>
      </c>
      <c r="S213"/>
    </row>
    <row r="214" spans="1:19">
      <c r="A214" s="250">
        <f t="shared" si="17"/>
        <v>41547</v>
      </c>
      <c r="B214" s="90">
        <v>117625578.88600001</v>
      </c>
      <c r="D214" s="90">
        <v>424342.78700000007</v>
      </c>
      <c r="E214" s="101">
        <v>617905.6</v>
      </c>
      <c r="F214" s="159">
        <v>90691.092070475308</v>
      </c>
      <c r="G214" s="127">
        <f t="shared" si="18"/>
        <v>118577136.18092953</v>
      </c>
      <c r="H214" s="20">
        <v>128.1</v>
      </c>
      <c r="I214" s="20">
        <v>20.5</v>
      </c>
      <c r="J214" s="10">
        <v>30</v>
      </c>
      <c r="K214" s="16">
        <v>1</v>
      </c>
      <c r="L214" s="113">
        <v>320</v>
      </c>
      <c r="M214" s="197">
        <v>54040</v>
      </c>
      <c r="N214" s="101">
        <f>'CDM Activity'!N116</f>
        <v>2477792.505330116</v>
      </c>
      <c r="O214" s="127">
        <f t="shared" si="19"/>
        <v>116827094.38290693</v>
      </c>
      <c r="P214" s="127">
        <f t="shared" si="20"/>
        <v>-1750041.798022598</v>
      </c>
      <c r="Q214" s="216">
        <f t="shared" si="21"/>
        <v>-1.4758678227414073E-2</v>
      </c>
      <c r="R214" s="176">
        <f t="shared" si="22"/>
        <v>1.4758678227414073E-2</v>
      </c>
      <c r="S214"/>
    </row>
    <row r="215" spans="1:19">
      <c r="A215" s="250">
        <f t="shared" si="17"/>
        <v>41578</v>
      </c>
      <c r="B215" s="90">
        <v>119218590.758</v>
      </c>
      <c r="D215" s="90">
        <v>309217.72024999984</v>
      </c>
      <c r="E215" s="101">
        <v>566636.30000000005</v>
      </c>
      <c r="F215" s="159">
        <v>91888.028304058811</v>
      </c>
      <c r="G215" s="127">
        <f t="shared" si="18"/>
        <v>120002556.74994594</v>
      </c>
      <c r="H215" s="20">
        <v>262.10000000000002</v>
      </c>
      <c r="I215" s="20">
        <v>0</v>
      </c>
      <c r="J215" s="10">
        <v>31</v>
      </c>
      <c r="K215" s="16">
        <v>1</v>
      </c>
      <c r="L215" s="113">
        <v>352</v>
      </c>
      <c r="M215" s="197">
        <v>54113</v>
      </c>
      <c r="N215" s="101">
        <f>'CDM Activity'!N117</f>
        <v>2522911.8167782738</v>
      </c>
      <c r="O215" s="127">
        <f t="shared" si="19"/>
        <v>120377256.75214007</v>
      </c>
      <c r="P215" s="127">
        <f t="shared" si="20"/>
        <v>374700.00219413638</v>
      </c>
      <c r="Q215" s="216">
        <f t="shared" si="21"/>
        <v>3.1224334909373103E-3</v>
      </c>
      <c r="R215" s="176">
        <f t="shared" si="22"/>
        <v>3.1224334909373103E-3</v>
      </c>
      <c r="S215"/>
    </row>
    <row r="216" spans="1:19">
      <c r="A216" s="250">
        <f t="shared" ref="A216:A305" si="23">EOMONTH(A215,1)</f>
        <v>41608</v>
      </c>
      <c r="B216" s="90">
        <v>123170571.955</v>
      </c>
      <c r="D216" s="90">
        <v>222932.06299999999</v>
      </c>
      <c r="E216" s="101">
        <v>591294.30000000005</v>
      </c>
      <c r="F216" s="159">
        <v>94916.711802419042</v>
      </c>
      <c r="G216" s="127">
        <f t="shared" si="18"/>
        <v>123889881.60619757</v>
      </c>
      <c r="H216" s="20">
        <v>517.70000000000005</v>
      </c>
      <c r="I216" s="20">
        <v>0</v>
      </c>
      <c r="J216" s="10">
        <v>30</v>
      </c>
      <c r="K216" s="16">
        <v>1</v>
      </c>
      <c r="L216" s="113">
        <v>336</v>
      </c>
      <c r="M216" s="197">
        <v>54156</v>
      </c>
      <c r="N216" s="101">
        <f>'CDM Activity'!N118</f>
        <v>2568031.1282264316</v>
      </c>
      <c r="O216" s="127">
        <f t="shared" si="19"/>
        <v>124319057.40130664</v>
      </c>
      <c r="P216" s="127">
        <f t="shared" si="20"/>
        <v>429175.79510907829</v>
      </c>
      <c r="Q216" s="216">
        <f t="shared" si="21"/>
        <v>3.4641714847486694E-3</v>
      </c>
      <c r="R216" s="176">
        <f t="shared" si="22"/>
        <v>3.4641714847486694E-3</v>
      </c>
      <c r="S216"/>
    </row>
    <row r="217" spans="1:19">
      <c r="A217" s="250">
        <f t="shared" si="23"/>
        <v>41639</v>
      </c>
      <c r="B217" s="90">
        <v>130983697.318</v>
      </c>
      <c r="D217" s="90">
        <v>112429.68199999994</v>
      </c>
      <c r="E217" s="101">
        <v>589492.80000000005</v>
      </c>
      <c r="F217" s="159">
        <v>100909.18313046635</v>
      </c>
      <c r="G217" s="127">
        <f t="shared" si="18"/>
        <v>131584710.61686952</v>
      </c>
      <c r="H217" s="20">
        <v>727.3</v>
      </c>
      <c r="I217" s="20">
        <v>0</v>
      </c>
      <c r="J217" s="10">
        <v>31</v>
      </c>
      <c r="K217" s="16">
        <v>0</v>
      </c>
      <c r="L217" s="113">
        <v>320</v>
      </c>
      <c r="M217" s="197">
        <v>54180</v>
      </c>
      <c r="N217" s="101">
        <f>'CDM Activity'!N119</f>
        <v>2613150.4396745893</v>
      </c>
      <c r="O217" s="127">
        <f t="shared" si="19"/>
        <v>133649497.72565088</v>
      </c>
      <c r="P217" s="127">
        <f t="shared" si="20"/>
        <v>2064787.1087813526</v>
      </c>
      <c r="Q217" s="216">
        <f t="shared" si="21"/>
        <v>1.5691694719710401E-2</v>
      </c>
      <c r="R217" s="176">
        <f t="shared" si="22"/>
        <v>1.5691694719710401E-2</v>
      </c>
      <c r="S217"/>
    </row>
    <row r="218" spans="1:19">
      <c r="A218" s="250">
        <f t="shared" si="23"/>
        <v>41670</v>
      </c>
      <c r="B218" s="159">
        <v>141106088.15799999</v>
      </c>
      <c r="C218" s="159"/>
      <c r="D218" s="159">
        <v>163374.88599999991</v>
      </c>
      <c r="E218" s="159">
        <v>524192.18000000005</v>
      </c>
      <c r="F218" s="159">
        <v>143310.54482971807</v>
      </c>
      <c r="G218" s="127">
        <f t="shared" si="18"/>
        <v>141650344.67917028</v>
      </c>
      <c r="H218" s="20">
        <v>865.9</v>
      </c>
      <c r="I218" s="20">
        <v>0</v>
      </c>
      <c r="J218" s="10">
        <v>31</v>
      </c>
      <c r="K218" s="16">
        <v>0</v>
      </c>
      <c r="L218" s="113">
        <v>352</v>
      </c>
      <c r="M218" s="197">
        <v>54216</v>
      </c>
      <c r="N218" s="101">
        <f>'CDM Activity'!N120</f>
        <v>2667284.5981038604</v>
      </c>
      <c r="O218" s="127">
        <f t="shared" si="19"/>
        <v>139459803.77958348</v>
      </c>
      <c r="P218" s="127">
        <f t="shared" si="20"/>
        <v>-2190540.8995867968</v>
      </c>
      <c r="Q218" s="216">
        <f t="shared" si="21"/>
        <v>-1.5464423362669844E-2</v>
      </c>
      <c r="R218" s="176">
        <f t="shared" si="22"/>
        <v>1.5464423362669844E-2</v>
      </c>
      <c r="S218"/>
    </row>
    <row r="219" spans="1:19">
      <c r="A219" s="250">
        <f t="shared" si="23"/>
        <v>41698</v>
      </c>
      <c r="B219" s="159">
        <v>125257308.675</v>
      </c>
      <c r="C219" s="159"/>
      <c r="D219" s="159">
        <v>151108.86300000004</v>
      </c>
      <c r="E219" s="159">
        <v>578733.67000000004</v>
      </c>
      <c r="F219" s="159">
        <v>127225.3506835416</v>
      </c>
      <c r="G219" s="127">
        <f t="shared" si="18"/>
        <v>125859925.85731646</v>
      </c>
      <c r="H219" s="20">
        <v>831.2</v>
      </c>
      <c r="I219" s="20">
        <v>0</v>
      </c>
      <c r="J219" s="113">
        <v>28</v>
      </c>
      <c r="K219" s="16">
        <v>0</v>
      </c>
      <c r="L219" s="113">
        <v>304</v>
      </c>
      <c r="M219" s="197">
        <v>54225</v>
      </c>
      <c r="N219" s="101">
        <f>'CDM Activity'!N121</f>
        <v>2721418.7565331315</v>
      </c>
      <c r="O219" s="127">
        <f t="shared" si="19"/>
        <v>128775668.44701199</v>
      </c>
      <c r="P219" s="127">
        <f t="shared" si="20"/>
        <v>2915742.5896955281</v>
      </c>
      <c r="Q219" s="216">
        <f t="shared" si="21"/>
        <v>2.316656846755985E-2</v>
      </c>
      <c r="R219" s="176">
        <f t="shared" si="22"/>
        <v>2.316656846755985E-2</v>
      </c>
      <c r="S219"/>
    </row>
    <row r="220" spans="1:19">
      <c r="A220" s="250">
        <f t="shared" si="23"/>
        <v>41729</v>
      </c>
      <c r="B220" s="159">
        <v>133125383.19599999</v>
      </c>
      <c r="C220" s="159"/>
      <c r="D220" s="159">
        <v>492909.32799999975</v>
      </c>
      <c r="E220" s="159">
        <v>565100.07000000007</v>
      </c>
      <c r="F220" s="159">
        <v>135575.41399242729</v>
      </c>
      <c r="G220" s="127">
        <f t="shared" si="18"/>
        <v>134047817.18000755</v>
      </c>
      <c r="H220" s="20">
        <v>757</v>
      </c>
      <c r="I220" s="20">
        <v>0</v>
      </c>
      <c r="J220" s="10">
        <v>31</v>
      </c>
      <c r="K220" s="16">
        <v>1</v>
      </c>
      <c r="L220" s="113">
        <v>336</v>
      </c>
      <c r="M220" s="197">
        <v>54242</v>
      </c>
      <c r="N220" s="101">
        <f>'CDM Activity'!N122</f>
        <v>2775552.9149624025</v>
      </c>
      <c r="O220" s="127">
        <f t="shared" si="19"/>
        <v>133053249.98129797</v>
      </c>
      <c r="P220" s="127">
        <f t="shared" si="20"/>
        <v>-994567.19870957732</v>
      </c>
      <c r="Q220" s="216">
        <f t="shared" si="21"/>
        <v>-7.4194956667889052E-3</v>
      </c>
      <c r="R220" s="176">
        <f t="shared" si="22"/>
        <v>7.4194956667889052E-3</v>
      </c>
      <c r="S220"/>
    </row>
    <row r="221" spans="1:19">
      <c r="A221" s="250">
        <f t="shared" si="23"/>
        <v>41759</v>
      </c>
      <c r="B221" s="159">
        <v>114620651.168</v>
      </c>
      <c r="C221" s="159"/>
      <c r="D221" s="159">
        <v>543975.7921000002</v>
      </c>
      <c r="E221" s="159">
        <v>631838.14</v>
      </c>
      <c r="F221" s="159">
        <v>116907.68559547195</v>
      </c>
      <c r="G221" s="127">
        <f t="shared" si="18"/>
        <v>115679557.41450453</v>
      </c>
      <c r="H221" s="20">
        <v>389.9</v>
      </c>
      <c r="I221" s="20">
        <v>0</v>
      </c>
      <c r="J221" s="10">
        <v>30</v>
      </c>
      <c r="K221" s="16">
        <v>1</v>
      </c>
      <c r="L221" s="113">
        <v>320</v>
      </c>
      <c r="M221" s="197">
        <v>54213</v>
      </c>
      <c r="N221" s="101">
        <f>'CDM Activity'!N123</f>
        <v>2829687.0733916736</v>
      </c>
      <c r="O221" s="127">
        <f t="shared" si="19"/>
        <v>119423861.7442627</v>
      </c>
      <c r="P221" s="127">
        <f t="shared" si="20"/>
        <v>3744304.3297581673</v>
      </c>
      <c r="Q221" s="216">
        <f t="shared" si="21"/>
        <v>3.2367899855819178E-2</v>
      </c>
      <c r="R221" s="176">
        <f t="shared" si="22"/>
        <v>3.2367899855819178E-2</v>
      </c>
      <c r="S221"/>
    </row>
    <row r="222" spans="1:19">
      <c r="A222" s="250">
        <f t="shared" si="23"/>
        <v>41790</v>
      </c>
      <c r="B222" s="159">
        <v>114044889.17102399</v>
      </c>
      <c r="C222" s="159"/>
      <c r="D222" s="159">
        <v>695152.56099999999</v>
      </c>
      <c r="E222" s="159">
        <v>664536.48</v>
      </c>
      <c r="F222" s="159">
        <v>116526.37132825187</v>
      </c>
      <c r="G222" s="127">
        <f t="shared" si="18"/>
        <v>115288051.84069575</v>
      </c>
      <c r="H222" s="20">
        <v>168.9</v>
      </c>
      <c r="I222" s="20">
        <v>9</v>
      </c>
      <c r="J222" s="10">
        <v>31</v>
      </c>
      <c r="K222" s="16">
        <v>1</v>
      </c>
      <c r="L222" s="113">
        <v>336</v>
      </c>
      <c r="M222" s="197">
        <v>54183</v>
      </c>
      <c r="N222" s="101">
        <f>'CDM Activity'!N124</f>
        <v>2883821.2318209447</v>
      </c>
      <c r="O222" s="127">
        <f t="shared" si="19"/>
        <v>118257391.22218464</v>
      </c>
      <c r="P222" s="127">
        <f t="shared" si="20"/>
        <v>2969339.3814888895</v>
      </c>
      <c r="Q222" s="216">
        <f t="shared" si="21"/>
        <v>2.5755829282221736E-2</v>
      </c>
      <c r="R222" s="176">
        <f t="shared" si="22"/>
        <v>2.5755829282221736E-2</v>
      </c>
      <c r="S222"/>
    </row>
    <row r="223" spans="1:19">
      <c r="A223" s="250">
        <f t="shared" si="23"/>
        <v>41820</v>
      </c>
      <c r="B223" s="159">
        <v>121444961.252</v>
      </c>
      <c r="C223" s="159"/>
      <c r="D223" s="159">
        <v>756506.24999999988</v>
      </c>
      <c r="E223" s="159">
        <v>676097.69</v>
      </c>
      <c r="F223" s="159">
        <v>123900.7801393127</v>
      </c>
      <c r="G223" s="127">
        <f t="shared" si="18"/>
        <v>122753664.41186069</v>
      </c>
      <c r="H223" s="20">
        <v>37.299999999999997</v>
      </c>
      <c r="I223" s="20">
        <v>44.3</v>
      </c>
      <c r="J223" s="10">
        <v>30</v>
      </c>
      <c r="K223" s="16">
        <v>0</v>
      </c>
      <c r="L223" s="113">
        <v>336</v>
      </c>
      <c r="M223" s="197">
        <v>54246</v>
      </c>
      <c r="N223" s="101">
        <f>'CDM Activity'!N125</f>
        <v>2937955.3902502158</v>
      </c>
      <c r="O223" s="127">
        <f t="shared" si="19"/>
        <v>122367878.06922919</v>
      </c>
      <c r="P223" s="127">
        <f t="shared" si="20"/>
        <v>-385786.34263150394</v>
      </c>
      <c r="Q223" s="216">
        <f t="shared" si="21"/>
        <v>-3.142768441821184E-3</v>
      </c>
      <c r="R223" s="176">
        <f t="shared" si="22"/>
        <v>3.142768441821184E-3</v>
      </c>
      <c r="S223"/>
    </row>
    <row r="224" spans="1:19">
      <c r="A224" s="250">
        <f t="shared" si="23"/>
        <v>41851</v>
      </c>
      <c r="B224" s="159">
        <v>123954209.038</v>
      </c>
      <c r="C224" s="159"/>
      <c r="D224" s="159">
        <v>735821.31139000016</v>
      </c>
      <c r="E224" s="159">
        <v>679187.49</v>
      </c>
      <c r="F224" s="159">
        <v>126405.88023001047</v>
      </c>
      <c r="G224" s="127">
        <f t="shared" si="18"/>
        <v>125242811.95915999</v>
      </c>
      <c r="H224" s="20">
        <v>36.799999999999997</v>
      </c>
      <c r="I224" s="20">
        <v>38.799999999999997</v>
      </c>
      <c r="J224" s="10">
        <v>31</v>
      </c>
      <c r="K224" s="16">
        <v>0</v>
      </c>
      <c r="L224" s="113">
        <v>352</v>
      </c>
      <c r="M224" s="197">
        <v>54253</v>
      </c>
      <c r="N224" s="101">
        <f>'CDM Activity'!N126</f>
        <v>2992089.5486794868</v>
      </c>
      <c r="O224" s="127">
        <f t="shared" si="19"/>
        <v>124279957.20996504</v>
      </c>
      <c r="P224" s="127">
        <f t="shared" si="20"/>
        <v>-962854.74919494987</v>
      </c>
      <c r="Q224" s="216">
        <f t="shared" si="21"/>
        <v>-7.6879042727731476E-3</v>
      </c>
      <c r="R224" s="176">
        <f t="shared" si="22"/>
        <v>7.6879042727731476E-3</v>
      </c>
      <c r="S224"/>
    </row>
    <row r="225" spans="1:19">
      <c r="A225" s="250">
        <f t="shared" si="23"/>
        <v>41882</v>
      </c>
      <c r="B225" s="159">
        <v>120437155.71600001</v>
      </c>
      <c r="C225" s="159"/>
      <c r="D225" s="159">
        <v>1761479.4469999999</v>
      </c>
      <c r="E225" s="159">
        <v>629395.01</v>
      </c>
      <c r="F225" s="159">
        <v>124815.82399069035</v>
      </c>
      <c r="G225" s="127">
        <f t="shared" si="18"/>
        <v>122703214.34900932</v>
      </c>
      <c r="H225" s="20">
        <v>31.1</v>
      </c>
      <c r="I225" s="20">
        <v>28.5</v>
      </c>
      <c r="J225" s="10">
        <v>31</v>
      </c>
      <c r="K225" s="16">
        <v>0</v>
      </c>
      <c r="L225" s="113">
        <v>320</v>
      </c>
      <c r="M225" s="197">
        <v>54296</v>
      </c>
      <c r="N225" s="101">
        <f>'CDM Activity'!N127</f>
        <v>3046223.7071087579</v>
      </c>
      <c r="O225" s="127">
        <f t="shared" si="19"/>
        <v>119922282.36638182</v>
      </c>
      <c r="P225" s="127">
        <f t="shared" si="20"/>
        <v>-2780931.9826274961</v>
      </c>
      <c r="Q225" s="216">
        <f t="shared" si="21"/>
        <v>-2.2663888614340516E-2</v>
      </c>
      <c r="R225" s="176">
        <f t="shared" si="22"/>
        <v>2.2663888614340516E-2</v>
      </c>
      <c r="S225"/>
    </row>
    <row r="226" spans="1:19">
      <c r="A226" s="250">
        <f t="shared" si="23"/>
        <v>41912</v>
      </c>
      <c r="B226" s="159">
        <v>116189300.245</v>
      </c>
      <c r="C226" s="159"/>
      <c r="D226" s="159">
        <v>1477827.5699999998</v>
      </c>
      <c r="E226" s="159">
        <v>607774.69999999995</v>
      </c>
      <c r="F226" s="159">
        <v>119627.01061615761</v>
      </c>
      <c r="G226" s="127">
        <f t="shared" si="18"/>
        <v>118155275.50438385</v>
      </c>
      <c r="H226" s="20">
        <v>117.7</v>
      </c>
      <c r="I226" s="20">
        <v>11.4</v>
      </c>
      <c r="J226" s="10">
        <v>30</v>
      </c>
      <c r="K226" s="16">
        <v>1</v>
      </c>
      <c r="L226" s="113">
        <v>336</v>
      </c>
      <c r="M226" s="197">
        <v>54497</v>
      </c>
      <c r="N226" s="101">
        <f>'CDM Activity'!N128</f>
        <v>3100357.865538029</v>
      </c>
      <c r="O226" s="127">
        <f t="shared" si="19"/>
        <v>115501058.89263347</v>
      </c>
      <c r="P226" s="127">
        <f t="shared" si="20"/>
        <v>-2654216.6117503792</v>
      </c>
      <c r="Q226" s="216">
        <f t="shared" si="21"/>
        <v>-2.2463801133042947E-2</v>
      </c>
      <c r="R226" s="176">
        <f t="shared" si="22"/>
        <v>2.2463801133042947E-2</v>
      </c>
      <c r="S226"/>
    </row>
    <row r="227" spans="1:19">
      <c r="A227" s="250">
        <f t="shared" si="23"/>
        <v>41943</v>
      </c>
      <c r="B227" s="159">
        <v>115219054.75899999</v>
      </c>
      <c r="C227" s="159"/>
      <c r="D227" s="159">
        <v>1428423.7040000001</v>
      </c>
      <c r="E227" s="159">
        <v>558747.47</v>
      </c>
      <c r="F227" s="159">
        <v>118525.26872486075</v>
      </c>
      <c r="G227" s="127">
        <f t="shared" si="18"/>
        <v>117087700.66427512</v>
      </c>
      <c r="H227" s="20">
        <v>257.10000000000002</v>
      </c>
      <c r="I227" s="20">
        <v>0</v>
      </c>
      <c r="J227" s="10">
        <v>31</v>
      </c>
      <c r="K227" s="16">
        <v>1</v>
      </c>
      <c r="L227" s="113">
        <v>352</v>
      </c>
      <c r="M227" s="197">
        <v>54599</v>
      </c>
      <c r="N227" s="101">
        <f>'CDM Activity'!N129</f>
        <v>3154492.0239673001</v>
      </c>
      <c r="O227" s="127">
        <f t="shared" si="19"/>
        <v>120267573.34443176</v>
      </c>
      <c r="P227" s="127">
        <f t="shared" si="20"/>
        <v>3179872.6801566333</v>
      </c>
      <c r="Q227" s="216">
        <f t="shared" si="21"/>
        <v>2.7158041896084915E-2</v>
      </c>
      <c r="R227" s="176">
        <f t="shared" si="22"/>
        <v>2.7158041896084915E-2</v>
      </c>
      <c r="S227"/>
    </row>
    <row r="228" spans="1:19">
      <c r="A228" s="250">
        <f t="shared" si="23"/>
        <v>41973</v>
      </c>
      <c r="B228" s="159">
        <v>121370698.748</v>
      </c>
      <c r="C228" s="159"/>
      <c r="D228" s="159">
        <v>1164888.1840000001</v>
      </c>
      <c r="E228" s="159">
        <v>580527.33000000007</v>
      </c>
      <c r="F228" s="159">
        <v>124433.83826832066</v>
      </c>
      <c r="G228" s="127">
        <f t="shared" si="18"/>
        <v>122991680.42373167</v>
      </c>
      <c r="H228" s="20">
        <v>529.9</v>
      </c>
      <c r="I228" s="20">
        <v>0</v>
      </c>
      <c r="J228" s="10">
        <v>30</v>
      </c>
      <c r="K228" s="16">
        <v>1</v>
      </c>
      <c r="L228" s="113">
        <v>304</v>
      </c>
      <c r="M228" s="197">
        <v>54669</v>
      </c>
      <c r="N228" s="101">
        <f>'CDM Activity'!N130</f>
        <v>3208626.1823965712</v>
      </c>
      <c r="O228" s="127">
        <f t="shared" si="19"/>
        <v>122784987.54427913</v>
      </c>
      <c r="P228" s="127">
        <f t="shared" si="20"/>
        <v>-206692.87945254147</v>
      </c>
      <c r="Q228" s="216">
        <f t="shared" si="21"/>
        <v>-1.680543584252544E-3</v>
      </c>
      <c r="R228" s="176">
        <f t="shared" si="22"/>
        <v>1.680543584252544E-3</v>
      </c>
      <c r="S228"/>
    </row>
    <row r="229" spans="1:19">
      <c r="A229" s="250">
        <f t="shared" si="23"/>
        <v>42004</v>
      </c>
      <c r="B229" s="257">
        <v>126395819.02220599</v>
      </c>
      <c r="C229" s="159"/>
      <c r="D229" s="159">
        <v>1624797</v>
      </c>
      <c r="E229" s="159">
        <v>591687.87000000011</v>
      </c>
      <c r="F229" s="159">
        <v>130103.03160123648</v>
      </c>
      <c r="G229" s="127">
        <f t="shared" si="18"/>
        <v>128482200.86060476</v>
      </c>
      <c r="H229" s="20">
        <v>597.6</v>
      </c>
      <c r="I229" s="20">
        <v>0</v>
      </c>
      <c r="J229" s="10">
        <v>31</v>
      </c>
      <c r="K229" s="16">
        <v>0</v>
      </c>
      <c r="L229" s="113">
        <v>336</v>
      </c>
      <c r="M229" s="197">
        <v>54692</v>
      </c>
      <c r="N229" s="101">
        <f>'CDM Activity'!N131</f>
        <v>3262760.3408258422</v>
      </c>
      <c r="O229" s="127">
        <f t="shared" si="19"/>
        <v>131070023.62180893</v>
      </c>
      <c r="P229" s="127">
        <f t="shared" si="20"/>
        <v>2587822.7612041682</v>
      </c>
      <c r="Q229" s="216">
        <f t="shared" si="21"/>
        <v>2.0141488423068E-2</v>
      </c>
      <c r="R229" s="176">
        <f t="shared" si="22"/>
        <v>2.0141488423068E-2</v>
      </c>
      <c r="S229"/>
    </row>
    <row r="230" spans="1:19" s="162" customFormat="1">
      <c r="A230" s="250">
        <f t="shared" si="23"/>
        <v>42035</v>
      </c>
      <c r="B230" s="257">
        <v>136069000.97999999</v>
      </c>
      <c r="C230" s="159"/>
      <c r="D230" s="159">
        <v>1640685.5465500001</v>
      </c>
      <c r="E230" s="159">
        <v>524679.55000000005</v>
      </c>
      <c r="F230" s="159">
        <v>124022.56802717886</v>
      </c>
      <c r="G230" s="127">
        <f t="shared" si="18"/>
        <v>138110343.50852284</v>
      </c>
      <c r="H230" s="129">
        <v>800.80000000000018</v>
      </c>
      <c r="I230" s="129">
        <v>0</v>
      </c>
      <c r="J230" s="10">
        <v>31</v>
      </c>
      <c r="K230" s="16">
        <v>0</v>
      </c>
      <c r="L230" s="113">
        <v>336</v>
      </c>
      <c r="M230" s="231">
        <v>54798</v>
      </c>
      <c r="N230" s="101">
        <f>'CDM Activity'!N132</f>
        <v>3341793.6717175385</v>
      </c>
      <c r="O230" s="127">
        <f t="shared" si="19"/>
        <v>136856787.6736398</v>
      </c>
      <c r="P230" s="127">
        <f t="shared" si="20"/>
        <v>-1253555.8348830342</v>
      </c>
      <c r="Q230" s="216">
        <f t="shared" si="21"/>
        <v>-9.0764804650976545E-3</v>
      </c>
      <c r="R230" s="176">
        <f t="shared" si="22"/>
        <v>9.0764804650976545E-3</v>
      </c>
      <c r="S230"/>
    </row>
    <row r="231" spans="1:19" s="162" customFormat="1">
      <c r="A231" s="250">
        <f t="shared" si="23"/>
        <v>42063</v>
      </c>
      <c r="B231" s="257">
        <v>126839322.69</v>
      </c>
      <c r="C231" s="159"/>
      <c r="D231" s="159">
        <v>1299789.8416200001</v>
      </c>
      <c r="E231" s="159">
        <v>593761.41999999993</v>
      </c>
      <c r="F231" s="159">
        <v>115380.0096282983</v>
      </c>
      <c r="G231" s="127">
        <f t="shared" si="18"/>
        <v>128617493.9419917</v>
      </c>
      <c r="H231" s="129">
        <v>917.5</v>
      </c>
      <c r="I231" s="129">
        <v>0</v>
      </c>
      <c r="J231" s="10">
        <v>28</v>
      </c>
      <c r="K231" s="16">
        <v>0</v>
      </c>
      <c r="L231" s="113">
        <v>304</v>
      </c>
      <c r="M231" s="231">
        <v>54813</v>
      </c>
      <c r="N231" s="101">
        <f>'CDM Activity'!N133</f>
        <v>3420827.0026092348</v>
      </c>
      <c r="O231" s="127">
        <f t="shared" si="19"/>
        <v>131342068.22875424</v>
      </c>
      <c r="P231" s="127">
        <f t="shared" si="20"/>
        <v>2724574.2867625356</v>
      </c>
      <c r="Q231" s="216">
        <f t="shared" si="21"/>
        <v>2.1183543569830064E-2</v>
      </c>
      <c r="R231" s="176">
        <f t="shared" si="22"/>
        <v>2.1183543569830064E-2</v>
      </c>
      <c r="S231"/>
    </row>
    <row r="232" spans="1:19" s="162" customFormat="1">
      <c r="A232" s="250">
        <f t="shared" si="23"/>
        <v>42094</v>
      </c>
      <c r="B232" s="257">
        <v>127155193.45</v>
      </c>
      <c r="C232" s="159"/>
      <c r="D232" s="159">
        <v>2415035.1839399994</v>
      </c>
      <c r="E232" s="159">
        <v>589701</v>
      </c>
      <c r="F232" s="159">
        <v>116725.32056685306</v>
      </c>
      <c r="G232" s="127">
        <f t="shared" si="18"/>
        <v>130043204.31337315</v>
      </c>
      <c r="H232" s="129">
        <v>538</v>
      </c>
      <c r="I232" s="129">
        <v>0</v>
      </c>
      <c r="J232" s="10">
        <v>31</v>
      </c>
      <c r="K232" s="16">
        <v>1</v>
      </c>
      <c r="L232" s="113">
        <v>352</v>
      </c>
      <c r="M232" s="231">
        <v>54851</v>
      </c>
      <c r="N232" s="101">
        <f>'CDM Activity'!N134</f>
        <v>3499860.333500931</v>
      </c>
      <c r="O232" s="127">
        <f t="shared" si="19"/>
        <v>128085770.75457704</v>
      </c>
      <c r="P232" s="127">
        <f t="shared" si="20"/>
        <v>-1957433.5587961078</v>
      </c>
      <c r="Q232" s="216">
        <f t="shared" si="21"/>
        <v>-1.5052178767289977E-2</v>
      </c>
      <c r="R232" s="176">
        <f t="shared" si="22"/>
        <v>1.5052178767289977E-2</v>
      </c>
      <c r="S232"/>
    </row>
    <row r="233" spans="1:19" s="162" customFormat="1">
      <c r="A233" s="250">
        <f t="shared" si="23"/>
        <v>42124</v>
      </c>
      <c r="B233" s="257">
        <v>110931008.40000001</v>
      </c>
      <c r="C233" s="159"/>
      <c r="D233" s="159">
        <v>2428305.3285800004</v>
      </c>
      <c r="E233" s="159">
        <v>666704.97</v>
      </c>
      <c r="F233" s="159">
        <v>102184.44628338418</v>
      </c>
      <c r="G233" s="127">
        <f t="shared" si="18"/>
        <v>113923834.25229663</v>
      </c>
      <c r="H233" s="129">
        <v>359.00000000000011</v>
      </c>
      <c r="I233" s="129">
        <v>0</v>
      </c>
      <c r="J233" s="10">
        <v>30</v>
      </c>
      <c r="K233" s="16">
        <v>1</v>
      </c>
      <c r="L233" s="113">
        <v>336</v>
      </c>
      <c r="M233" s="231">
        <v>54842</v>
      </c>
      <c r="N233" s="101">
        <f>'CDM Activity'!N135</f>
        <v>3578893.6643926273</v>
      </c>
      <c r="O233" s="127">
        <f t="shared" si="19"/>
        <v>119707356.27668519</v>
      </c>
      <c r="P233" s="127">
        <f t="shared" si="20"/>
        <v>5783522.0243885666</v>
      </c>
      <c r="Q233" s="216">
        <f t="shared" si="21"/>
        <v>5.0766567525986996E-2</v>
      </c>
      <c r="R233" s="176">
        <f t="shared" si="22"/>
        <v>5.0766567525986996E-2</v>
      </c>
      <c r="S233"/>
    </row>
    <row r="234" spans="1:19" s="162" customFormat="1">
      <c r="A234" s="250">
        <f t="shared" si="23"/>
        <v>42155</v>
      </c>
      <c r="B234" s="257">
        <v>114125838.25</v>
      </c>
      <c r="C234" s="159"/>
      <c r="D234" s="159">
        <v>2618859.6638700003</v>
      </c>
      <c r="E234" s="159">
        <v>627432.71</v>
      </c>
      <c r="F234" s="159">
        <v>105289.36297894316</v>
      </c>
      <c r="G234" s="127">
        <f t="shared" si="18"/>
        <v>117266841.26089105</v>
      </c>
      <c r="H234" s="129">
        <v>116.20000000000002</v>
      </c>
      <c r="I234" s="129">
        <v>29.8</v>
      </c>
      <c r="J234" s="10">
        <v>31</v>
      </c>
      <c r="K234" s="16">
        <v>1</v>
      </c>
      <c r="L234" s="113">
        <v>320</v>
      </c>
      <c r="M234" s="231">
        <v>54836</v>
      </c>
      <c r="N234" s="101">
        <f>'CDM Activity'!N136</f>
        <v>3657926.9952843236</v>
      </c>
      <c r="O234" s="127">
        <f t="shared" si="19"/>
        <v>120533008.20233276</v>
      </c>
      <c r="P234" s="127">
        <f t="shared" si="20"/>
        <v>3266166.9414417148</v>
      </c>
      <c r="Q234" s="216">
        <f t="shared" si="21"/>
        <v>2.7852433870673331E-2</v>
      </c>
      <c r="R234" s="176">
        <f t="shared" si="22"/>
        <v>2.7852433870673331E-2</v>
      </c>
      <c r="S234"/>
    </row>
    <row r="235" spans="1:19" s="162" customFormat="1">
      <c r="A235" s="250">
        <f t="shared" si="23"/>
        <v>42185</v>
      </c>
      <c r="B235" s="257">
        <v>116243974.73999999</v>
      </c>
      <c r="C235" s="159"/>
      <c r="D235" s="159">
        <v>2221967.1503699999</v>
      </c>
      <c r="E235" s="159">
        <v>655439.75</v>
      </c>
      <c r="F235" s="159">
        <v>106797.6810625736</v>
      </c>
      <c r="G235" s="127">
        <f t="shared" si="18"/>
        <v>119014583.95930742</v>
      </c>
      <c r="H235" s="129">
        <v>54.699999999999996</v>
      </c>
      <c r="I235" s="129">
        <v>15</v>
      </c>
      <c r="J235" s="10">
        <v>30</v>
      </c>
      <c r="K235" s="16">
        <v>0</v>
      </c>
      <c r="L235" s="113">
        <v>352</v>
      </c>
      <c r="M235" s="231">
        <v>54885</v>
      </c>
      <c r="N235" s="101">
        <f>'CDM Activity'!N137</f>
        <v>3736960.3261760199</v>
      </c>
      <c r="O235" s="127">
        <f t="shared" si="19"/>
        <v>117531269.62631819</v>
      </c>
      <c r="P235" s="127">
        <f t="shared" si="20"/>
        <v>-1483314.3329892308</v>
      </c>
      <c r="Q235" s="216">
        <f t="shared" si="21"/>
        <v>-1.2463298897019163E-2</v>
      </c>
      <c r="R235" s="176">
        <f t="shared" si="22"/>
        <v>1.2463298897019163E-2</v>
      </c>
      <c r="S235"/>
    </row>
    <row r="236" spans="1:19" s="162" customFormat="1">
      <c r="A236" s="250">
        <f t="shared" si="23"/>
        <v>42216</v>
      </c>
      <c r="B236" s="258">
        <v>128559157.70999999</v>
      </c>
      <c r="C236" s="159"/>
      <c r="D236" s="159">
        <v>2704738.9</v>
      </c>
      <c r="E236" s="159">
        <v>641713.90999999992</v>
      </c>
      <c r="F236" s="159">
        <v>118299.43790180328</v>
      </c>
      <c r="G236" s="127">
        <f t="shared" si="18"/>
        <v>131787311.08209819</v>
      </c>
      <c r="H236" s="129">
        <v>19.3</v>
      </c>
      <c r="I236" s="129">
        <v>57.70000000000001</v>
      </c>
      <c r="J236" s="10">
        <v>31</v>
      </c>
      <c r="K236" s="16">
        <v>0</v>
      </c>
      <c r="L236" s="113">
        <v>352</v>
      </c>
      <c r="M236" s="231">
        <v>54995</v>
      </c>
      <c r="N236" s="101">
        <f>'CDM Activity'!N138</f>
        <v>3815993.6570677161</v>
      </c>
      <c r="O236" s="127">
        <f t="shared" si="19"/>
        <v>128230662.45640674</v>
      </c>
      <c r="P236" s="127">
        <f t="shared" si="20"/>
        <v>-3556648.6256914437</v>
      </c>
      <c r="Q236" s="216">
        <f t="shared" si="21"/>
        <v>-2.6987792652327466E-2</v>
      </c>
      <c r="R236" s="176">
        <f t="shared" si="22"/>
        <v>2.6987792652327466E-2</v>
      </c>
      <c r="S236"/>
    </row>
    <row r="237" spans="1:19" s="162" customFormat="1">
      <c r="A237" s="250">
        <f t="shared" si="23"/>
        <v>42247</v>
      </c>
      <c r="B237" s="258">
        <v>122276965.79000001</v>
      </c>
      <c r="C237" s="159"/>
      <c r="D237" s="159">
        <v>2398600.7057099999</v>
      </c>
      <c r="E237" s="159">
        <v>614038.39999999991</v>
      </c>
      <c r="F237" s="159">
        <v>112379.00512998455</v>
      </c>
      <c r="G237" s="127">
        <f t="shared" si="18"/>
        <v>125177225.89058003</v>
      </c>
      <c r="H237" s="129">
        <v>29.500000000000004</v>
      </c>
      <c r="I237" s="129">
        <v>47.899999999999991</v>
      </c>
      <c r="J237" s="10">
        <v>31</v>
      </c>
      <c r="K237" s="16">
        <v>0</v>
      </c>
      <c r="L237" s="113">
        <v>320</v>
      </c>
      <c r="M237" s="231">
        <v>54992</v>
      </c>
      <c r="N237" s="101">
        <f>'CDM Activity'!N139</f>
        <v>3895026.9879594124</v>
      </c>
      <c r="O237" s="127">
        <f t="shared" si="19"/>
        <v>124262402.63518697</v>
      </c>
      <c r="P237" s="127">
        <f t="shared" si="20"/>
        <v>-914823.25539305806</v>
      </c>
      <c r="Q237" s="216">
        <f t="shared" si="21"/>
        <v>-7.3082243905350942E-3</v>
      </c>
      <c r="R237" s="176">
        <f t="shared" si="22"/>
        <v>7.3082243905350942E-3</v>
      </c>
      <c r="S237"/>
    </row>
    <row r="238" spans="1:19" s="162" customFormat="1">
      <c r="A238" s="250">
        <f t="shared" si="23"/>
        <v>42277</v>
      </c>
      <c r="B238" s="257">
        <v>122189743.48999999</v>
      </c>
      <c r="C238" s="159"/>
      <c r="D238" s="159">
        <v>2377176.73117</v>
      </c>
      <c r="E238" s="159">
        <v>573064.55000000005</v>
      </c>
      <c r="F238" s="159">
        <v>112256.75783183739</v>
      </c>
      <c r="G238" s="127">
        <f t="shared" si="18"/>
        <v>125027728.01333815</v>
      </c>
      <c r="H238" s="129">
        <v>58.20000000000001</v>
      </c>
      <c r="I238" s="129">
        <v>45.300000000000004</v>
      </c>
      <c r="J238" s="10">
        <v>30</v>
      </c>
      <c r="K238" s="16">
        <v>1</v>
      </c>
      <c r="L238" s="113">
        <v>336</v>
      </c>
      <c r="M238" s="231">
        <v>55342</v>
      </c>
      <c r="N238" s="101">
        <f>'CDM Activity'!N140</f>
        <v>3974060.3188511087</v>
      </c>
      <c r="O238" s="127">
        <f t="shared" si="19"/>
        <v>121721354.07079187</v>
      </c>
      <c r="P238" s="127">
        <f t="shared" si="20"/>
        <v>-3306373.9425462782</v>
      </c>
      <c r="Q238" s="216">
        <f t="shared" si="21"/>
        <v>-2.644512537405742E-2</v>
      </c>
      <c r="R238" s="176">
        <f t="shared" si="22"/>
        <v>2.644512537405742E-2</v>
      </c>
      <c r="S238"/>
    </row>
    <row r="239" spans="1:19" s="162" customFormat="1">
      <c r="A239" s="250">
        <f t="shared" si="23"/>
        <v>42308</v>
      </c>
      <c r="B239" s="257">
        <v>113821112.05</v>
      </c>
      <c r="C239" s="159"/>
      <c r="D239" s="159">
        <v>2471685.9554699999</v>
      </c>
      <c r="E239" s="159">
        <v>544986.96</v>
      </c>
      <c r="F239" s="159">
        <v>104800.14680995767</v>
      </c>
      <c r="G239" s="127">
        <f t="shared" si="18"/>
        <v>116732984.81866004</v>
      </c>
      <c r="H239" s="129">
        <v>290.09999999999991</v>
      </c>
      <c r="I239" s="129">
        <v>0</v>
      </c>
      <c r="J239" s="10">
        <v>31</v>
      </c>
      <c r="K239" s="16">
        <v>1</v>
      </c>
      <c r="L239" s="113">
        <v>336</v>
      </c>
      <c r="M239" s="231">
        <v>55399</v>
      </c>
      <c r="N239" s="101">
        <f>'CDM Activity'!N141</f>
        <v>4053093.6497428049</v>
      </c>
      <c r="O239" s="127">
        <f t="shared" si="19"/>
        <v>120527004.63046494</v>
      </c>
      <c r="P239" s="127">
        <f t="shared" si="20"/>
        <v>3794019.8118049055</v>
      </c>
      <c r="Q239" s="216">
        <f t="shared" si="21"/>
        <v>3.2501694509900196E-2</v>
      </c>
      <c r="R239" s="176">
        <f t="shared" si="22"/>
        <v>3.2501694509900196E-2</v>
      </c>
      <c r="S239"/>
    </row>
    <row r="240" spans="1:19" s="162" customFormat="1">
      <c r="A240" s="250">
        <f t="shared" si="23"/>
        <v>42338</v>
      </c>
      <c r="B240" s="257">
        <v>114918427.89</v>
      </c>
      <c r="C240" s="159"/>
      <c r="D240" s="159">
        <v>2273328.9324699999</v>
      </c>
      <c r="E240" s="159">
        <v>556116.38</v>
      </c>
      <c r="F240" s="159">
        <v>105581.11482296932</v>
      </c>
      <c r="G240" s="127">
        <f t="shared" si="18"/>
        <v>117642292.08764702</v>
      </c>
      <c r="H240" s="129">
        <v>391.1</v>
      </c>
      <c r="I240" s="129">
        <v>0</v>
      </c>
      <c r="J240" s="10">
        <v>30</v>
      </c>
      <c r="K240" s="16">
        <v>1</v>
      </c>
      <c r="L240" s="113">
        <v>320</v>
      </c>
      <c r="M240" s="231">
        <v>55471</v>
      </c>
      <c r="N240" s="101">
        <f>'CDM Activity'!N142</f>
        <v>4132126.9806345012</v>
      </c>
      <c r="O240" s="127">
        <f t="shared" si="19"/>
        <v>120164653.7097217</v>
      </c>
      <c r="P240" s="127">
        <f t="shared" si="20"/>
        <v>2522361.6220746785</v>
      </c>
      <c r="Q240" s="216">
        <f t="shared" si="21"/>
        <v>2.1440942515770126E-2</v>
      </c>
      <c r="R240" s="176">
        <f t="shared" si="22"/>
        <v>2.1440942515770126E-2</v>
      </c>
      <c r="S240"/>
    </row>
    <row r="241" spans="1:19" s="162" customFormat="1">
      <c r="A241" s="250">
        <f t="shared" si="23"/>
        <v>42369</v>
      </c>
      <c r="B241" s="257">
        <v>120146923.91</v>
      </c>
      <c r="C241" s="159"/>
      <c r="D241" s="159">
        <v>1984795.6867099998</v>
      </c>
      <c r="E241" s="159">
        <v>545683.17999999993</v>
      </c>
      <c r="F241" s="159">
        <v>110021.03595621673</v>
      </c>
      <c r="G241" s="127">
        <f t="shared" si="18"/>
        <v>122567381.74075378</v>
      </c>
      <c r="H241" s="129">
        <v>452.99999999999994</v>
      </c>
      <c r="I241" s="129">
        <v>0</v>
      </c>
      <c r="J241" s="10">
        <v>31</v>
      </c>
      <c r="K241" s="16">
        <v>0</v>
      </c>
      <c r="L241" s="113">
        <v>352</v>
      </c>
      <c r="M241" s="231">
        <v>55481</v>
      </c>
      <c r="N241" s="101">
        <f>'CDM Activity'!N143</f>
        <v>4211160.3115261979</v>
      </c>
      <c r="O241" s="127">
        <f t="shared" si="19"/>
        <v>128207849.26616761</v>
      </c>
      <c r="P241" s="127">
        <f t="shared" si="20"/>
        <v>5640467.5254138261</v>
      </c>
      <c r="Q241" s="216">
        <f t="shared" si="21"/>
        <v>4.601931970239978E-2</v>
      </c>
      <c r="R241" s="176">
        <f t="shared" si="22"/>
        <v>4.601931970239978E-2</v>
      </c>
      <c r="S241"/>
    </row>
    <row r="242" spans="1:19" s="162" customFormat="1">
      <c r="A242" s="250">
        <f t="shared" si="23"/>
        <v>42400</v>
      </c>
      <c r="B242" s="257">
        <v>129653336.33</v>
      </c>
      <c r="C242" s="159"/>
      <c r="D242" s="159">
        <v>1935234.5260000001</v>
      </c>
      <c r="E242" s="159">
        <v>508638.26</v>
      </c>
      <c r="F242" s="159">
        <v>147119.41420118327</v>
      </c>
      <c r="G242" s="127">
        <f t="shared" si="18"/>
        <v>131950089.70179881</v>
      </c>
      <c r="H242" s="129">
        <v>717.80000000000007</v>
      </c>
      <c r="I242" s="129">
        <v>0</v>
      </c>
      <c r="J242" s="10">
        <v>31</v>
      </c>
      <c r="K242" s="16">
        <v>0</v>
      </c>
      <c r="L242" s="113">
        <v>320</v>
      </c>
      <c r="M242" s="231">
        <v>55520</v>
      </c>
      <c r="N242" s="101">
        <f>'CDM Activity'!N144</f>
        <v>4311366.563247988</v>
      </c>
      <c r="O242" s="127">
        <f t="shared" si="19"/>
        <v>133548508.6849428</v>
      </c>
      <c r="P242" s="127">
        <f t="shared" si="20"/>
        <v>1598418.9831439853</v>
      </c>
      <c r="Q242" s="216">
        <f t="shared" si="21"/>
        <v>1.2113815055043459E-2</v>
      </c>
      <c r="R242" s="176">
        <f t="shared" si="22"/>
        <v>1.2113815055043459E-2</v>
      </c>
      <c r="S242"/>
    </row>
    <row r="243" spans="1:19" s="162" customFormat="1">
      <c r="A243" s="250">
        <f t="shared" si="23"/>
        <v>42429</v>
      </c>
      <c r="B243" s="257">
        <v>119612277.39</v>
      </c>
      <c r="C243" s="159"/>
      <c r="D243" s="159">
        <v>2180336.0521399998</v>
      </c>
      <c r="E243" s="159">
        <v>547914.02</v>
      </c>
      <c r="F243" s="159">
        <v>136171.41787433196</v>
      </c>
      <c r="G243" s="127">
        <f t="shared" si="18"/>
        <v>122204356.04426566</v>
      </c>
      <c r="H243" s="129">
        <v>627.40000000000009</v>
      </c>
      <c r="I243" s="129">
        <v>0</v>
      </c>
      <c r="J243" s="10">
        <v>29</v>
      </c>
      <c r="K243" s="16">
        <v>0</v>
      </c>
      <c r="L243" s="113">
        <v>320</v>
      </c>
      <c r="M243" s="231">
        <v>55545</v>
      </c>
      <c r="N243" s="101">
        <f>'CDM Activity'!N145</f>
        <v>4411572.8149697781</v>
      </c>
      <c r="O243" s="127">
        <f t="shared" si="19"/>
        <v>126430868.89952534</v>
      </c>
      <c r="P243" s="127">
        <f t="shared" si="20"/>
        <v>4226512.8552596867</v>
      </c>
      <c r="Q243" s="216">
        <f t="shared" si="21"/>
        <v>3.4585615374698522E-2</v>
      </c>
      <c r="R243" s="176">
        <f t="shared" si="22"/>
        <v>3.4585615374698522E-2</v>
      </c>
      <c r="S243"/>
    </row>
    <row r="244" spans="1:19" s="162" customFormat="1">
      <c r="A244" s="250">
        <f t="shared" si="23"/>
        <v>42460</v>
      </c>
      <c r="B244" s="257">
        <v>120079404.43000001</v>
      </c>
      <c r="C244" s="159"/>
      <c r="D244" s="159">
        <v>2728252.5245999997</v>
      </c>
      <c r="E244" s="159">
        <v>531797.48</v>
      </c>
      <c r="F244" s="159">
        <v>137345.46429959452</v>
      </c>
      <c r="G244" s="127">
        <f t="shared" si="18"/>
        <v>123202108.97030042</v>
      </c>
      <c r="H244" s="129">
        <v>492.6</v>
      </c>
      <c r="I244" s="129">
        <v>0</v>
      </c>
      <c r="J244" s="10">
        <v>31</v>
      </c>
      <c r="K244" s="16">
        <v>1</v>
      </c>
      <c r="L244" s="113">
        <v>352</v>
      </c>
      <c r="M244" s="231">
        <v>55580</v>
      </c>
      <c r="N244" s="101">
        <f>'CDM Activity'!N146</f>
        <v>4511779.0666915681</v>
      </c>
      <c r="O244" s="127">
        <f t="shared" si="19"/>
        <v>126741526.06259011</v>
      </c>
      <c r="P244" s="127">
        <f t="shared" si="20"/>
        <v>3539417.0922896862</v>
      </c>
      <c r="Q244" s="216">
        <f t="shared" si="21"/>
        <v>2.8728543057188347E-2</v>
      </c>
      <c r="R244" s="176">
        <f t="shared" si="22"/>
        <v>2.8728543057188347E-2</v>
      </c>
      <c r="S244"/>
    </row>
    <row r="245" spans="1:19" s="162" customFormat="1">
      <c r="A245" s="250">
        <f t="shared" si="23"/>
        <v>42490</v>
      </c>
      <c r="B245" s="257">
        <v>111544560.34999999</v>
      </c>
      <c r="C245" s="159"/>
      <c r="D245" s="159">
        <v>2986522.7262599994</v>
      </c>
      <c r="E245" s="159">
        <v>466187.5</v>
      </c>
      <c r="F245" s="159">
        <v>128112.52608086359</v>
      </c>
      <c r="G245" s="127">
        <f t="shared" si="18"/>
        <v>114869158.05017914</v>
      </c>
      <c r="H245" s="129">
        <v>431.80000000000007</v>
      </c>
      <c r="I245" s="129">
        <v>0</v>
      </c>
      <c r="J245" s="10">
        <v>30</v>
      </c>
      <c r="K245" s="16">
        <v>1</v>
      </c>
      <c r="L245" s="113">
        <v>336</v>
      </c>
      <c r="M245" s="231">
        <v>55679</v>
      </c>
      <c r="N245" s="101">
        <f>'CDM Activity'!N147</f>
        <v>4611985.3184133582</v>
      </c>
      <c r="O245" s="127">
        <f t="shared" si="19"/>
        <v>121893260.35144904</v>
      </c>
      <c r="P245" s="127">
        <f t="shared" si="20"/>
        <v>7024102.3012699038</v>
      </c>
      <c r="Q245" s="216">
        <f t="shared" si="21"/>
        <v>6.1148722777279466E-2</v>
      </c>
      <c r="R245" s="176">
        <f t="shared" si="22"/>
        <v>6.1148722777279466E-2</v>
      </c>
      <c r="S245"/>
    </row>
    <row r="246" spans="1:19" s="162" customFormat="1">
      <c r="A246" s="250">
        <f t="shared" si="23"/>
        <v>42521</v>
      </c>
      <c r="B246" s="257">
        <v>112996489.06999999</v>
      </c>
      <c r="C246" s="159"/>
      <c r="D246" s="159">
        <v>3280150.9202000001</v>
      </c>
      <c r="E246" s="159">
        <v>611452.43999999994</v>
      </c>
      <c r="F246" s="159">
        <v>129983.07594680859</v>
      </c>
      <c r="G246" s="127">
        <f t="shared" si="18"/>
        <v>116758109.35425319</v>
      </c>
      <c r="H246" s="129">
        <v>174.59999999999997</v>
      </c>
      <c r="I246" s="129">
        <v>18.399999999999999</v>
      </c>
      <c r="J246" s="10">
        <v>31</v>
      </c>
      <c r="K246" s="16">
        <v>1</v>
      </c>
      <c r="L246" s="113">
        <v>336</v>
      </c>
      <c r="M246" s="231">
        <v>55676</v>
      </c>
      <c r="N246" s="101">
        <f>'CDM Activity'!N148</f>
        <v>4712191.5701351482</v>
      </c>
      <c r="O246" s="127">
        <f t="shared" si="19"/>
        <v>120772779.85403161</v>
      </c>
      <c r="P246" s="127">
        <f t="shared" si="20"/>
        <v>4014670.4997784197</v>
      </c>
      <c r="Q246" s="216">
        <f t="shared" si="21"/>
        <v>3.438451103723851E-2</v>
      </c>
      <c r="R246" s="176">
        <f t="shared" si="22"/>
        <v>3.438451103723851E-2</v>
      </c>
      <c r="S246"/>
    </row>
    <row r="247" spans="1:19" s="162" customFormat="1">
      <c r="A247" s="250">
        <f t="shared" si="23"/>
        <v>42551</v>
      </c>
      <c r="B247" s="257">
        <v>118112991.27</v>
      </c>
      <c r="C247" s="159"/>
      <c r="D247" s="159">
        <v>3308476.4431799999</v>
      </c>
      <c r="E247" s="159">
        <v>670707.54</v>
      </c>
      <c r="F247" s="159">
        <v>135873.36862791283</v>
      </c>
      <c r="G247" s="127">
        <f t="shared" si="18"/>
        <v>121956301.88455209</v>
      </c>
      <c r="H247" s="129">
        <v>51.2</v>
      </c>
      <c r="I247" s="129">
        <v>34.300000000000004</v>
      </c>
      <c r="J247" s="10">
        <v>30</v>
      </c>
      <c r="K247" s="16">
        <v>0</v>
      </c>
      <c r="L247" s="113">
        <v>352</v>
      </c>
      <c r="M247" s="231">
        <v>55710</v>
      </c>
      <c r="N247" s="101">
        <f>'CDM Activity'!N149</f>
        <v>4812397.8218569383</v>
      </c>
      <c r="O247" s="127">
        <f t="shared" si="19"/>
        <v>121692617.83284152</v>
      </c>
      <c r="P247" s="127">
        <f t="shared" si="20"/>
        <v>-263684.05171057582</v>
      </c>
      <c r="Q247" s="216">
        <f t="shared" si="21"/>
        <v>-2.1621191167323847E-3</v>
      </c>
      <c r="R247" s="176">
        <f t="shared" si="22"/>
        <v>2.1621191167323847E-3</v>
      </c>
      <c r="S247"/>
    </row>
    <row r="248" spans="1:19" s="162" customFormat="1">
      <c r="A248" s="250">
        <f t="shared" si="23"/>
        <v>42582</v>
      </c>
      <c r="B248" s="258">
        <v>132759091.78</v>
      </c>
      <c r="C248" s="159"/>
      <c r="D248" s="159">
        <v>3078626.3218600005</v>
      </c>
      <c r="E248" s="159">
        <v>628636.92999999993</v>
      </c>
      <c r="F248" s="159">
        <v>151990.35206595389</v>
      </c>
      <c r="G248" s="127">
        <f t="shared" si="18"/>
        <v>136314364.67979404</v>
      </c>
      <c r="H248" s="129">
        <v>4.8</v>
      </c>
      <c r="I248" s="129">
        <v>101.2</v>
      </c>
      <c r="J248" s="10">
        <v>31</v>
      </c>
      <c r="K248" s="16">
        <v>0</v>
      </c>
      <c r="L248" s="113">
        <v>320</v>
      </c>
      <c r="M248" s="231">
        <v>55811</v>
      </c>
      <c r="N248" s="101">
        <f>'CDM Activity'!N150</f>
        <v>4912604.0735787284</v>
      </c>
      <c r="O248" s="127">
        <f t="shared" si="19"/>
        <v>135351653.2216486</v>
      </c>
      <c r="P248" s="127">
        <f t="shared" si="20"/>
        <v>-962711.45814543962</v>
      </c>
      <c r="Q248" s="216">
        <f t="shared" si="21"/>
        <v>-7.0624358658522429E-3</v>
      </c>
      <c r="R248" s="176">
        <f t="shared" si="22"/>
        <v>7.0624358658522429E-3</v>
      </c>
      <c r="S248"/>
    </row>
    <row r="249" spans="1:19" s="162" customFormat="1">
      <c r="A249" s="250">
        <f t="shared" si="23"/>
        <v>42613</v>
      </c>
      <c r="B249" s="258">
        <v>136846965.53999999</v>
      </c>
      <c r="C249" s="159"/>
      <c r="D249" s="159">
        <v>3163200.2535900008</v>
      </c>
      <c r="E249" s="159">
        <v>603675.88</v>
      </c>
      <c r="F249" s="159">
        <v>156589.06930780268</v>
      </c>
      <c r="G249" s="127">
        <f t="shared" si="18"/>
        <v>140457252.60428217</v>
      </c>
      <c r="H249" s="129">
        <v>2.1</v>
      </c>
      <c r="I249" s="129">
        <v>105</v>
      </c>
      <c r="J249" s="10">
        <v>31</v>
      </c>
      <c r="K249" s="16">
        <v>0</v>
      </c>
      <c r="L249" s="113">
        <v>352</v>
      </c>
      <c r="M249" s="231">
        <v>55592</v>
      </c>
      <c r="N249" s="101">
        <f>'CDM Activity'!N151</f>
        <v>5012810.3253005184</v>
      </c>
      <c r="O249" s="127">
        <f t="shared" si="19"/>
        <v>137318522.65165916</v>
      </c>
      <c r="P249" s="127">
        <f t="shared" si="20"/>
        <v>-3138729.9526230097</v>
      </c>
      <c r="Q249" s="216">
        <f t="shared" si="21"/>
        <v>-2.2346513935210761E-2</v>
      </c>
      <c r="R249" s="176">
        <f t="shared" si="22"/>
        <v>2.2346513935210761E-2</v>
      </c>
      <c r="S249"/>
    </row>
    <row r="250" spans="1:19" s="162" customFormat="1">
      <c r="A250" s="250">
        <f t="shared" si="23"/>
        <v>42643</v>
      </c>
      <c r="B250" s="257">
        <v>120474538.56999999</v>
      </c>
      <c r="C250" s="159"/>
      <c r="D250" s="159">
        <v>2927608.9530000002</v>
      </c>
      <c r="E250" s="159">
        <v>584671.74</v>
      </c>
      <c r="F250" s="159">
        <v>138069.66383278562</v>
      </c>
      <c r="G250" s="127">
        <f t="shared" si="18"/>
        <v>123848749.5991672</v>
      </c>
      <c r="H250" s="129">
        <v>68.600000000000009</v>
      </c>
      <c r="I250" s="129">
        <v>26.6</v>
      </c>
      <c r="J250" s="10">
        <v>30</v>
      </c>
      <c r="K250" s="16">
        <v>1</v>
      </c>
      <c r="L250" s="113">
        <v>336</v>
      </c>
      <c r="M250" s="231">
        <v>55903</v>
      </c>
      <c r="N250" s="101">
        <f>'CDM Activity'!N152</f>
        <v>5113016.5770223085</v>
      </c>
      <c r="O250" s="127">
        <f t="shared" si="19"/>
        <v>117185144.72439077</v>
      </c>
      <c r="P250" s="127">
        <f t="shared" si="20"/>
        <v>-6663604.874776423</v>
      </c>
      <c r="Q250" s="216">
        <f t="shared" si="21"/>
        <v>-5.3804377487402841E-2</v>
      </c>
      <c r="R250" s="176">
        <f t="shared" si="22"/>
        <v>5.3804377487402841E-2</v>
      </c>
      <c r="S250"/>
    </row>
    <row r="251" spans="1:19" s="162" customFormat="1">
      <c r="A251" s="250">
        <f t="shared" si="23"/>
        <v>42674</v>
      </c>
      <c r="B251" s="257">
        <v>114277151.48999999</v>
      </c>
      <c r="C251" s="159"/>
      <c r="D251" s="159">
        <v>2742054.4863299998</v>
      </c>
      <c r="E251" s="159">
        <v>543214.82000000007</v>
      </c>
      <c r="F251" s="159">
        <v>130941.56619527175</v>
      </c>
      <c r="G251" s="127">
        <f t="shared" si="18"/>
        <v>117431479.23013473</v>
      </c>
      <c r="H251" s="129">
        <v>242.10000000000002</v>
      </c>
      <c r="I251" s="129">
        <v>1.9</v>
      </c>
      <c r="J251" s="10">
        <v>31</v>
      </c>
      <c r="K251" s="16">
        <v>1</v>
      </c>
      <c r="L251" s="113">
        <v>320</v>
      </c>
      <c r="M251" s="231">
        <v>56053</v>
      </c>
      <c r="N251" s="101">
        <f>'CDM Activity'!N153</f>
        <v>5213222.8287440985</v>
      </c>
      <c r="O251" s="127">
        <f t="shared" si="19"/>
        <v>118077117.90873651</v>
      </c>
      <c r="P251" s="127">
        <f t="shared" si="20"/>
        <v>645638.67860178649</v>
      </c>
      <c r="Q251" s="216">
        <f t="shared" si="21"/>
        <v>5.4980034555854058E-3</v>
      </c>
      <c r="R251" s="176">
        <f t="shared" si="22"/>
        <v>5.4980034555854058E-3</v>
      </c>
      <c r="S251"/>
    </row>
    <row r="252" spans="1:19" s="162" customFormat="1">
      <c r="A252" s="250">
        <f t="shared" si="23"/>
        <v>42704</v>
      </c>
      <c r="B252" s="257">
        <v>114905950.25</v>
      </c>
      <c r="C252" s="159"/>
      <c r="D252" s="159">
        <v>2513269.96582</v>
      </c>
      <c r="E252" s="159">
        <v>538539.23</v>
      </c>
      <c r="F252" s="159">
        <v>131340.63022734923</v>
      </c>
      <c r="G252" s="127">
        <f t="shared" si="18"/>
        <v>117826418.81559266</v>
      </c>
      <c r="H252" s="129">
        <v>388.20000000000005</v>
      </c>
      <c r="I252" s="129">
        <v>0</v>
      </c>
      <c r="J252" s="10">
        <v>30</v>
      </c>
      <c r="K252" s="16">
        <v>1</v>
      </c>
      <c r="L252" s="113">
        <v>336</v>
      </c>
      <c r="M252" s="231">
        <v>56155</v>
      </c>
      <c r="N252" s="101">
        <f>'CDM Activity'!N154</f>
        <v>5313429.0804658886</v>
      </c>
      <c r="O252" s="127">
        <f t="shared" si="19"/>
        <v>120549001.45245764</v>
      </c>
      <c r="P252" s="127">
        <f t="shared" si="20"/>
        <v>2722582.6368649751</v>
      </c>
      <c r="Q252" s="216">
        <f t="shared" si="21"/>
        <v>2.310672482650962E-2</v>
      </c>
      <c r="R252" s="176">
        <f t="shared" si="22"/>
        <v>2.310672482650962E-2</v>
      </c>
      <c r="S252"/>
    </row>
    <row r="253" spans="1:19" s="162" customFormat="1">
      <c r="A253" s="250">
        <f t="shared" si="23"/>
        <v>42735</v>
      </c>
      <c r="B253" s="257">
        <v>125678936.38</v>
      </c>
      <c r="C253" s="159"/>
      <c r="D253" s="159">
        <v>2009570.7910199999</v>
      </c>
      <c r="E253" s="159">
        <v>536053.87</v>
      </c>
      <c r="F253" s="159">
        <v>142769.01800680894</v>
      </c>
      <c r="G253" s="127">
        <f t="shared" si="18"/>
        <v>128081792.0230132</v>
      </c>
      <c r="H253" s="129">
        <v>647.79999999999984</v>
      </c>
      <c r="I253" s="129">
        <v>0</v>
      </c>
      <c r="J253" s="10">
        <v>31</v>
      </c>
      <c r="K253" s="16">
        <v>0</v>
      </c>
      <c r="L253" s="113">
        <v>336</v>
      </c>
      <c r="M253" s="231">
        <v>56244</v>
      </c>
      <c r="N253" s="101">
        <f>'CDM Activity'!N155</f>
        <v>5413635.3321876787</v>
      </c>
      <c r="O253" s="127">
        <f t="shared" si="19"/>
        <v>132311713.4868274</v>
      </c>
      <c r="P253" s="127">
        <f t="shared" si="20"/>
        <v>4229921.463814199</v>
      </c>
      <c r="Q253" s="216">
        <f t="shared" si="21"/>
        <v>3.3025158353922661E-2</v>
      </c>
      <c r="R253" s="176">
        <f t="shared" si="22"/>
        <v>3.3025158353922661E-2</v>
      </c>
      <c r="S253"/>
    </row>
    <row r="254" spans="1:19" s="162" customFormat="1">
      <c r="A254" s="250">
        <f t="shared" si="23"/>
        <v>42766</v>
      </c>
      <c r="B254" s="257">
        <v>128734996.59</v>
      </c>
      <c r="C254" s="159"/>
      <c r="D254" s="159">
        <v>2046970.3632399999</v>
      </c>
      <c r="E254" s="159">
        <v>462300.38131199998</v>
      </c>
      <c r="F254" s="159">
        <v>195309.76387576255</v>
      </c>
      <c r="G254" s="127">
        <f t="shared" si="18"/>
        <v>131048957.57067624</v>
      </c>
      <c r="H254" s="129">
        <v>635.1</v>
      </c>
      <c r="I254" s="129">
        <v>0</v>
      </c>
      <c r="J254" s="10">
        <v>31</v>
      </c>
      <c r="K254" s="16">
        <v>0</v>
      </c>
      <c r="L254" s="113">
        <v>336</v>
      </c>
      <c r="M254" s="231">
        <v>56330</v>
      </c>
      <c r="N254" s="101">
        <f>'CDM Activity'!N156</f>
        <v>5557617.9348639231</v>
      </c>
      <c r="O254" s="127">
        <f t="shared" si="19"/>
        <v>131901592.95968729</v>
      </c>
      <c r="P254" s="127">
        <f t="shared" si="20"/>
        <v>852635.38901105523</v>
      </c>
      <c r="Q254" s="216">
        <f t="shared" si="21"/>
        <v>6.5062355688805763E-3</v>
      </c>
      <c r="R254" s="176">
        <f t="shared" si="22"/>
        <v>6.5062355688805763E-3</v>
      </c>
      <c r="S254"/>
    </row>
    <row r="255" spans="1:19" s="162" customFormat="1">
      <c r="A255" s="250">
        <f t="shared" si="23"/>
        <v>42794</v>
      </c>
      <c r="B255" s="257">
        <v>112440232.64</v>
      </c>
      <c r="C255" s="159"/>
      <c r="D255" s="159">
        <v>2032460.73386</v>
      </c>
      <c r="E255" s="159">
        <v>508231.90472999995</v>
      </c>
      <c r="F255" s="159">
        <v>170943.42526922905</v>
      </c>
      <c r="G255" s="127">
        <f t="shared" si="18"/>
        <v>114809981.85332078</v>
      </c>
      <c r="H255" s="129">
        <v>537.9</v>
      </c>
      <c r="I255" s="129">
        <v>0</v>
      </c>
      <c r="J255" s="10">
        <v>28</v>
      </c>
      <c r="K255" s="16">
        <v>0</v>
      </c>
      <c r="L255" s="113">
        <v>304</v>
      </c>
      <c r="M255" s="231">
        <v>56380</v>
      </c>
      <c r="N255" s="101">
        <f>'CDM Activity'!N157</f>
        <v>5701600.5375401676</v>
      </c>
      <c r="O255" s="127">
        <f t="shared" si="19"/>
        <v>120384663.39852516</v>
      </c>
      <c r="P255" s="127">
        <f t="shared" si="20"/>
        <v>5574681.5452043861</v>
      </c>
      <c r="Q255" s="216">
        <f t="shared" si="21"/>
        <v>4.8555721856367001E-2</v>
      </c>
      <c r="R255" s="176">
        <f t="shared" si="22"/>
        <v>4.8555721856367001E-2</v>
      </c>
      <c r="S255"/>
    </row>
    <row r="256" spans="1:19" s="162" customFormat="1">
      <c r="A256" s="250">
        <f t="shared" si="23"/>
        <v>42825</v>
      </c>
      <c r="B256" s="257">
        <v>123679832.08</v>
      </c>
      <c r="C256" s="159"/>
      <c r="D256" s="159">
        <v>2753229.6</v>
      </c>
      <c r="E256" s="159">
        <v>513593.66982000001</v>
      </c>
      <c r="F256" s="159">
        <v>188800.57068292616</v>
      </c>
      <c r="G256" s="127">
        <f t="shared" si="18"/>
        <v>126757854.77913706</v>
      </c>
      <c r="H256" s="129">
        <v>597.6</v>
      </c>
      <c r="I256" s="129">
        <v>0</v>
      </c>
      <c r="J256" s="10">
        <v>31</v>
      </c>
      <c r="K256" s="16">
        <v>1</v>
      </c>
      <c r="L256" s="113">
        <v>368</v>
      </c>
      <c r="M256" s="231">
        <v>56429</v>
      </c>
      <c r="N256" s="101">
        <f>'CDM Activity'!N158</f>
        <v>5845583.140216412</v>
      </c>
      <c r="O256" s="127">
        <f t="shared" si="19"/>
        <v>130263620.51677969</v>
      </c>
      <c r="P256" s="127">
        <f t="shared" si="20"/>
        <v>3505765.7376426309</v>
      </c>
      <c r="Q256" s="216">
        <f t="shared" si="21"/>
        <v>2.7657187349463104E-2</v>
      </c>
      <c r="R256" s="176">
        <f t="shared" si="22"/>
        <v>2.7657187349463104E-2</v>
      </c>
      <c r="S256"/>
    </row>
    <row r="257" spans="1:19" s="162" customFormat="1">
      <c r="A257" s="250">
        <f t="shared" si="23"/>
        <v>42855</v>
      </c>
      <c r="B257" s="257">
        <v>105359959.7</v>
      </c>
      <c r="C257" s="159"/>
      <c r="D257" s="159">
        <v>3042375.8810000005</v>
      </c>
      <c r="E257" s="159">
        <v>543909.22403399996</v>
      </c>
      <c r="F257" s="159">
        <v>161991.78232437107</v>
      </c>
      <c r="G257" s="127">
        <f t="shared" si="18"/>
        <v>108784253.02270962</v>
      </c>
      <c r="H257" s="129">
        <v>281.59999999999991</v>
      </c>
      <c r="I257" s="129">
        <v>0</v>
      </c>
      <c r="J257" s="10">
        <v>30</v>
      </c>
      <c r="K257" s="16">
        <v>1</v>
      </c>
      <c r="L257" s="113">
        <v>304</v>
      </c>
      <c r="M257" s="231">
        <v>56520</v>
      </c>
      <c r="N257" s="101">
        <f>'CDM Activity'!N159</f>
        <v>5989565.7428926565</v>
      </c>
      <c r="O257" s="127">
        <f t="shared" si="19"/>
        <v>115259520.90368836</v>
      </c>
      <c r="P257" s="127">
        <f t="shared" si="20"/>
        <v>6475267.8809787333</v>
      </c>
      <c r="Q257" s="216">
        <f t="shared" si="21"/>
        <v>5.9523944882233712E-2</v>
      </c>
      <c r="R257" s="176">
        <f t="shared" si="22"/>
        <v>5.9523944882233712E-2</v>
      </c>
      <c r="S257"/>
    </row>
    <row r="258" spans="1:19" s="162" customFormat="1">
      <c r="A258" s="250">
        <f t="shared" si="23"/>
        <v>42886</v>
      </c>
      <c r="B258" s="257">
        <v>109395984.23</v>
      </c>
      <c r="C258" s="159"/>
      <c r="D258" s="159">
        <v>3050515.2969999998</v>
      </c>
      <c r="E258" s="159">
        <v>572876.03960400005</v>
      </c>
      <c r="F258" s="159">
        <v>168051.91858670636</v>
      </c>
      <c r="G258" s="127">
        <f t="shared" ref="G258:G288" si="24">+B258-C258+D258+E258-F258</f>
        <v>112851323.6480173</v>
      </c>
      <c r="H258" s="129">
        <v>214.39999999999995</v>
      </c>
      <c r="I258" s="129">
        <v>2.7</v>
      </c>
      <c r="J258" s="10">
        <v>31</v>
      </c>
      <c r="K258" s="16">
        <v>1</v>
      </c>
      <c r="L258" s="113">
        <v>352</v>
      </c>
      <c r="M258" s="231">
        <v>56568</v>
      </c>
      <c r="N258" s="101">
        <f>'CDM Activity'!N160</f>
        <v>6133548.3455689009</v>
      </c>
      <c r="O258" s="127">
        <f t="shared" ref="O258:O313" si="25">$V$17+$V$18*H258+$V$19*I258+$V$20*J258+$V$21*K258+$V$22*L258+$V$23*M258+$V$24*N258</f>
        <v>118989982.67664689</v>
      </c>
      <c r="P258" s="127">
        <f t="shared" ref="P258:P289" si="26">O258-G258</f>
        <v>6138659.0286295861</v>
      </c>
      <c r="Q258" s="216">
        <f t="shared" ref="Q258:Q289" si="27">P258/G258</f>
        <v>5.439598606548942E-2</v>
      </c>
      <c r="R258" s="176">
        <f t="shared" si="22"/>
        <v>5.439598606548942E-2</v>
      </c>
      <c r="S258"/>
    </row>
    <row r="259" spans="1:19" s="162" customFormat="1">
      <c r="A259" s="250">
        <f t="shared" si="23"/>
        <v>42916</v>
      </c>
      <c r="B259" s="257">
        <v>116088138.73</v>
      </c>
      <c r="C259" s="159"/>
      <c r="D259" s="159">
        <v>3340848.5740000005</v>
      </c>
      <c r="E259" s="159">
        <v>614956.26667200006</v>
      </c>
      <c r="F259" s="159">
        <v>178480.14533705966</v>
      </c>
      <c r="G259" s="127">
        <f t="shared" si="24"/>
        <v>119865463.42533495</v>
      </c>
      <c r="H259" s="129">
        <v>45.2</v>
      </c>
      <c r="I259" s="129">
        <v>43</v>
      </c>
      <c r="J259" s="10">
        <v>30</v>
      </c>
      <c r="K259" s="16">
        <v>0</v>
      </c>
      <c r="L259" s="113">
        <v>352</v>
      </c>
      <c r="M259" s="231">
        <v>56601</v>
      </c>
      <c r="N259" s="101">
        <f>'CDM Activity'!N161</f>
        <v>6277530.9482451454</v>
      </c>
      <c r="O259" s="127">
        <f t="shared" si="25"/>
        <v>122897286.44043975</v>
      </c>
      <c r="P259" s="127">
        <f t="shared" si="26"/>
        <v>3031823.0151048005</v>
      </c>
      <c r="Q259" s="216">
        <f t="shared" si="27"/>
        <v>2.5293549354967828E-2</v>
      </c>
      <c r="R259" s="176">
        <f t="shared" ref="R259:R285" si="28">ABS(Q259)</f>
        <v>2.5293549354967828E-2</v>
      </c>
      <c r="S259"/>
    </row>
    <row r="260" spans="1:19" s="162" customFormat="1">
      <c r="A260" s="250">
        <f t="shared" si="23"/>
        <v>42947</v>
      </c>
      <c r="B260" s="258">
        <v>124635649.61</v>
      </c>
      <c r="C260" s="159"/>
      <c r="D260" s="159">
        <v>3427769.1520000002</v>
      </c>
      <c r="E260" s="159">
        <v>585426.89812200004</v>
      </c>
      <c r="F260" s="159">
        <v>191384.74523643585</v>
      </c>
      <c r="G260" s="127">
        <f t="shared" si="24"/>
        <v>128457460.91488555</v>
      </c>
      <c r="H260" s="129">
        <v>3.2</v>
      </c>
      <c r="I260" s="129">
        <v>58.500000000000007</v>
      </c>
      <c r="J260" s="10">
        <v>31</v>
      </c>
      <c r="K260" s="16">
        <v>0</v>
      </c>
      <c r="L260" s="113">
        <v>320</v>
      </c>
      <c r="M260" s="231">
        <v>56737</v>
      </c>
      <c r="N260" s="101">
        <f>'CDM Activity'!N162</f>
        <v>6421513.5509213898</v>
      </c>
      <c r="O260" s="127">
        <f t="shared" si="25"/>
        <v>125459902.07009746</v>
      </c>
      <c r="P260" s="127">
        <f t="shared" si="26"/>
        <v>-2997558.8447880894</v>
      </c>
      <c r="Q260" s="216">
        <f t="shared" si="27"/>
        <v>-2.3335031094645704E-2</v>
      </c>
      <c r="R260" s="176">
        <f t="shared" si="28"/>
        <v>2.3335031094645704E-2</v>
      </c>
      <c r="S260"/>
    </row>
    <row r="261" spans="1:19" s="162" customFormat="1">
      <c r="A261" s="250">
        <f t="shared" si="23"/>
        <v>42978</v>
      </c>
      <c r="B261" s="258">
        <v>120712023.54000001</v>
      </c>
      <c r="C261" s="159"/>
      <c r="D261" s="159">
        <v>3323667.9250000007</v>
      </c>
      <c r="E261" s="159">
        <v>576572.68310400005</v>
      </c>
      <c r="F261" s="159">
        <v>185350.26459106954</v>
      </c>
      <c r="G261" s="127">
        <f t="shared" si="24"/>
        <v>124426913.88351293</v>
      </c>
      <c r="H261" s="129">
        <v>34.5</v>
      </c>
      <c r="I261" s="129">
        <v>28.6</v>
      </c>
      <c r="J261" s="10">
        <v>31</v>
      </c>
      <c r="K261" s="16">
        <v>0</v>
      </c>
      <c r="L261" s="113">
        <v>352</v>
      </c>
      <c r="M261" s="231">
        <v>56788</v>
      </c>
      <c r="N261" s="101">
        <f>'CDM Activity'!N163</f>
        <v>6565496.1535976343</v>
      </c>
      <c r="O261" s="127">
        <f t="shared" si="25"/>
        <v>121614795.12777197</v>
      </c>
      <c r="P261" s="127">
        <f t="shared" si="26"/>
        <v>-2812118.7557409555</v>
      </c>
      <c r="Q261" s="216">
        <f t="shared" si="27"/>
        <v>-2.2600566613535312E-2</v>
      </c>
      <c r="R261" s="176">
        <f t="shared" si="28"/>
        <v>2.2600566613535312E-2</v>
      </c>
      <c r="S261"/>
    </row>
    <row r="262" spans="1:19" s="162" customFormat="1">
      <c r="A262" s="250">
        <f t="shared" si="23"/>
        <v>43008</v>
      </c>
      <c r="B262" s="257">
        <v>117905218.8</v>
      </c>
      <c r="C262" s="159"/>
      <c r="D262" s="159">
        <v>2933821.8030000003</v>
      </c>
      <c r="E262" s="159">
        <v>558639.57382199995</v>
      </c>
      <c r="F262" s="159">
        <v>180582.74199730426</v>
      </c>
      <c r="G262" s="127">
        <f t="shared" si="24"/>
        <v>121217097.43482471</v>
      </c>
      <c r="H262" s="129">
        <v>81.100000000000009</v>
      </c>
      <c r="I262" s="129">
        <v>36.299999999999997</v>
      </c>
      <c r="J262" s="10">
        <v>30</v>
      </c>
      <c r="K262" s="16">
        <v>1</v>
      </c>
      <c r="L262" s="113">
        <v>320</v>
      </c>
      <c r="M262" s="231">
        <v>56822</v>
      </c>
      <c r="N262" s="101">
        <f>'CDM Activity'!N164</f>
        <v>6709478.7562738787</v>
      </c>
      <c r="O262" s="127">
        <f t="shared" si="25"/>
        <v>117968371.69615848</v>
      </c>
      <c r="P262" s="127">
        <f t="shared" si="26"/>
        <v>-3248725.7386662215</v>
      </c>
      <c r="Q262" s="216">
        <f t="shared" si="27"/>
        <v>-2.6800887064739175E-2</v>
      </c>
      <c r="R262" s="176">
        <f t="shared" si="28"/>
        <v>2.6800887064739175E-2</v>
      </c>
      <c r="S262"/>
    </row>
    <row r="263" spans="1:19" s="162" customFormat="1">
      <c r="A263" s="250">
        <f t="shared" si="23"/>
        <v>43039</v>
      </c>
      <c r="B263" s="257">
        <v>113217919.01000001</v>
      </c>
      <c r="C263" s="159"/>
      <c r="D263" s="159">
        <v>2616870.4559999998</v>
      </c>
      <c r="E263" s="159">
        <v>507996.28321200004</v>
      </c>
      <c r="F263" s="159">
        <v>173112.92765009936</v>
      </c>
      <c r="G263" s="127">
        <f t="shared" si="24"/>
        <v>116169672.82156192</v>
      </c>
      <c r="H263" s="129">
        <v>208.89999999999998</v>
      </c>
      <c r="I263" s="129">
        <v>3.2</v>
      </c>
      <c r="J263" s="10">
        <v>31</v>
      </c>
      <c r="K263" s="16">
        <v>1</v>
      </c>
      <c r="L263" s="113">
        <v>336</v>
      </c>
      <c r="M263" s="231">
        <v>56855</v>
      </c>
      <c r="N263" s="101">
        <f>'CDM Activity'!N165</f>
        <v>6853461.3589501232</v>
      </c>
      <c r="O263" s="127">
        <f t="shared" si="25"/>
        <v>117327927.83515005</v>
      </c>
      <c r="P263" s="127">
        <f t="shared" si="26"/>
        <v>1158255.0135881305</v>
      </c>
      <c r="Q263" s="216">
        <f t="shared" si="27"/>
        <v>9.9703733810736026E-3</v>
      </c>
      <c r="R263" s="176">
        <f t="shared" si="28"/>
        <v>9.9703733810736026E-3</v>
      </c>
      <c r="S263"/>
    </row>
    <row r="264" spans="1:19" s="162" customFormat="1">
      <c r="A264" s="250">
        <f t="shared" si="23"/>
        <v>43069</v>
      </c>
      <c r="B264" s="257">
        <v>118361036.48</v>
      </c>
      <c r="C264" s="159"/>
      <c r="D264" s="159">
        <v>2024980.0260000001</v>
      </c>
      <c r="E264" s="159">
        <v>505924.43239800003</v>
      </c>
      <c r="F264" s="159">
        <v>179806.28431662716</v>
      </c>
      <c r="G264" s="127">
        <f t="shared" si="24"/>
        <v>120712134.65408137</v>
      </c>
      <c r="H264" s="129">
        <v>480.00000000000006</v>
      </c>
      <c r="I264" s="129">
        <v>0</v>
      </c>
      <c r="J264" s="10">
        <v>30</v>
      </c>
      <c r="K264" s="16">
        <v>1</v>
      </c>
      <c r="L264" s="113">
        <v>352</v>
      </c>
      <c r="M264" s="231">
        <v>56903</v>
      </c>
      <c r="N264" s="101">
        <f>'CDM Activity'!N166</f>
        <v>6997443.9616263676</v>
      </c>
      <c r="O264" s="127">
        <f t="shared" si="25"/>
        <v>122783868.88003071</v>
      </c>
      <c r="P264" s="127">
        <f t="shared" si="26"/>
        <v>2071734.2259493321</v>
      </c>
      <c r="Q264" s="216">
        <f t="shared" si="27"/>
        <v>1.7162601190726975E-2</v>
      </c>
      <c r="R264" s="176">
        <f t="shared" si="28"/>
        <v>1.7162601190726975E-2</v>
      </c>
      <c r="S264"/>
    </row>
    <row r="265" spans="1:19" s="162" customFormat="1">
      <c r="A265" s="250">
        <f t="shared" si="23"/>
        <v>43100</v>
      </c>
      <c r="B265" s="257">
        <v>127458754.16</v>
      </c>
      <c r="C265" s="159"/>
      <c r="D265" s="159">
        <v>1531242.4790000001</v>
      </c>
      <c r="E265" s="159">
        <v>506768.06499000004</v>
      </c>
      <c r="F265" s="159">
        <v>192599.73362240902</v>
      </c>
      <c r="G265" s="127">
        <f t="shared" si="24"/>
        <v>129304164.9703676</v>
      </c>
      <c r="H265" s="129">
        <v>755.7</v>
      </c>
      <c r="I265" s="129">
        <v>0</v>
      </c>
      <c r="J265" s="10">
        <v>31</v>
      </c>
      <c r="K265" s="16">
        <v>0</v>
      </c>
      <c r="L265" s="113">
        <v>304</v>
      </c>
      <c r="M265" s="231">
        <v>57055</v>
      </c>
      <c r="N265" s="101">
        <f>'CDM Activity'!N167</f>
        <v>7141426.5643026121</v>
      </c>
      <c r="O265" s="127">
        <f t="shared" si="25"/>
        <v>132138844.52795061</v>
      </c>
      <c r="P265" s="127">
        <f t="shared" si="26"/>
        <v>2834679.5575830191</v>
      </c>
      <c r="Q265" s="216">
        <f t="shared" si="27"/>
        <v>2.1922569611215831E-2</v>
      </c>
      <c r="R265" s="176">
        <f t="shared" si="28"/>
        <v>2.1922569611215831E-2</v>
      </c>
      <c r="S265"/>
    </row>
    <row r="266" spans="1:19" s="162" customFormat="1">
      <c r="A266" s="250">
        <f t="shared" si="23"/>
        <v>43131</v>
      </c>
      <c r="B266" s="257">
        <v>135059210.59</v>
      </c>
      <c r="C266" s="159"/>
      <c r="D266" s="159">
        <v>1849473.0885999999</v>
      </c>
      <c r="E266" s="159">
        <v>497799.69408700004</v>
      </c>
      <c r="F266" s="159">
        <v>0</v>
      </c>
      <c r="G266" s="127">
        <f t="shared" si="24"/>
        <v>137406483.37268701</v>
      </c>
      <c r="H266" s="129">
        <v>791.1</v>
      </c>
      <c r="I266" s="129">
        <v>0</v>
      </c>
      <c r="J266" s="10">
        <v>31</v>
      </c>
      <c r="K266" s="16">
        <v>0</v>
      </c>
      <c r="L266" s="113">
        <v>352</v>
      </c>
      <c r="M266" s="231">
        <v>57069</v>
      </c>
      <c r="N266" s="101">
        <f>'CDM Activity'!N168</f>
        <v>7229731.1876758933</v>
      </c>
      <c r="O266" s="127">
        <f t="shared" si="25"/>
        <v>135927371.60717341</v>
      </c>
      <c r="P266" s="127">
        <f t="shared" si="26"/>
        <v>-1479111.7655135989</v>
      </c>
      <c r="Q266" s="216">
        <f t="shared" si="27"/>
        <v>-1.0764497636562101E-2</v>
      </c>
      <c r="R266" s="176">
        <f t="shared" si="28"/>
        <v>1.0764497636562101E-2</v>
      </c>
      <c r="S266"/>
    </row>
    <row r="267" spans="1:19" s="162" customFormat="1">
      <c r="A267" s="250">
        <f t="shared" si="23"/>
        <v>43159</v>
      </c>
      <c r="B267" s="257">
        <v>115541198.44</v>
      </c>
      <c r="C267" s="159"/>
      <c r="D267" s="159">
        <v>2220304.8587799999</v>
      </c>
      <c r="E267" s="159">
        <v>722685.80839300004</v>
      </c>
      <c r="F267" s="159">
        <v>0</v>
      </c>
      <c r="G267" s="127">
        <f t="shared" si="24"/>
        <v>118484189.107173</v>
      </c>
      <c r="H267" s="129">
        <v>594.9</v>
      </c>
      <c r="I267" s="129">
        <v>0</v>
      </c>
      <c r="J267" s="10">
        <v>28</v>
      </c>
      <c r="K267" s="16">
        <v>0</v>
      </c>
      <c r="L267" s="113">
        <v>304</v>
      </c>
      <c r="M267" s="231">
        <v>57081</v>
      </c>
      <c r="N267" s="101">
        <f>'CDM Activity'!N169</f>
        <v>7318035.8110491745</v>
      </c>
      <c r="O267" s="127">
        <f t="shared" si="25"/>
        <v>120680448.68304215</v>
      </c>
      <c r="P267" s="127">
        <f t="shared" si="26"/>
        <v>2196259.5758691579</v>
      </c>
      <c r="Q267" s="216">
        <f t="shared" si="27"/>
        <v>1.8536309295095619E-2</v>
      </c>
      <c r="R267" s="176">
        <f t="shared" si="28"/>
        <v>1.8536309295095619E-2</v>
      </c>
      <c r="S267"/>
    </row>
    <row r="268" spans="1:19" s="162" customFormat="1">
      <c r="A268" s="250">
        <f t="shared" si="23"/>
        <v>43190</v>
      </c>
      <c r="B268" s="257">
        <v>123856863.81</v>
      </c>
      <c r="C268" s="159"/>
      <c r="D268" s="159">
        <v>2153545.1002299995</v>
      </c>
      <c r="E268" s="159">
        <v>689190.05402099993</v>
      </c>
      <c r="F268" s="159">
        <v>0</v>
      </c>
      <c r="G268" s="127">
        <f t="shared" si="24"/>
        <v>126699598.964251</v>
      </c>
      <c r="H268" s="129">
        <v>591.10000000000014</v>
      </c>
      <c r="I268" s="129">
        <v>0</v>
      </c>
      <c r="J268" s="10">
        <v>31</v>
      </c>
      <c r="K268" s="16">
        <v>1</v>
      </c>
      <c r="L268" s="113">
        <v>336</v>
      </c>
      <c r="M268" s="231">
        <v>57107</v>
      </c>
      <c r="N268" s="101">
        <f>'CDM Activity'!N170</f>
        <v>7406340.4344224557</v>
      </c>
      <c r="O268" s="127">
        <f t="shared" si="25"/>
        <v>126880017.35568619</v>
      </c>
      <c r="P268" s="127">
        <f t="shared" si="26"/>
        <v>180418.39143519104</v>
      </c>
      <c r="Q268" s="216">
        <f t="shared" si="27"/>
        <v>1.4239854972713615E-3</v>
      </c>
      <c r="R268" s="176">
        <f t="shared" si="28"/>
        <v>1.4239854972713615E-3</v>
      </c>
      <c r="S268"/>
    </row>
    <row r="269" spans="1:19" s="162" customFormat="1">
      <c r="A269" s="250">
        <f t="shared" si="23"/>
        <v>43220</v>
      </c>
      <c r="B269" s="257">
        <v>115296340.13</v>
      </c>
      <c r="C269" s="159"/>
      <c r="D269" s="159">
        <v>2168049.9700100003</v>
      </c>
      <c r="E269" s="159">
        <v>778765.90154200001</v>
      </c>
      <c r="F269" s="159">
        <v>0</v>
      </c>
      <c r="G269" s="127">
        <f t="shared" si="24"/>
        <v>118243156.00155199</v>
      </c>
      <c r="H269" s="129">
        <v>474.7999999999999</v>
      </c>
      <c r="I269" s="129">
        <v>0</v>
      </c>
      <c r="J269" s="10">
        <v>30</v>
      </c>
      <c r="K269" s="16">
        <v>1</v>
      </c>
      <c r="L269" s="113">
        <v>336</v>
      </c>
      <c r="M269" s="231">
        <v>57120</v>
      </c>
      <c r="N269" s="101">
        <f>'CDM Activity'!N171</f>
        <v>7494645.0577957369</v>
      </c>
      <c r="O269" s="127">
        <f t="shared" si="25"/>
        <v>121266464.80141273</v>
      </c>
      <c r="P269" s="127">
        <f t="shared" si="26"/>
        <v>3023308.7998607457</v>
      </c>
      <c r="Q269" s="216">
        <f t="shared" si="27"/>
        <v>2.5568573286567753E-2</v>
      </c>
      <c r="R269" s="176">
        <f t="shared" si="28"/>
        <v>2.5568573286567753E-2</v>
      </c>
      <c r="S269"/>
    </row>
    <row r="270" spans="1:19" s="162" customFormat="1">
      <c r="A270" s="250">
        <f t="shared" si="23"/>
        <v>43251</v>
      </c>
      <c r="B270" s="257">
        <v>116495072.87</v>
      </c>
      <c r="C270" s="159"/>
      <c r="D270" s="159">
        <v>3234439.5768900001</v>
      </c>
      <c r="E270" s="159">
        <v>786335.26205100003</v>
      </c>
      <c r="F270" s="159">
        <v>0</v>
      </c>
      <c r="G270" s="127">
        <f t="shared" si="24"/>
        <v>120515847.70894101</v>
      </c>
      <c r="H270" s="129">
        <v>95.199999999999989</v>
      </c>
      <c r="I270" s="129">
        <v>32.5</v>
      </c>
      <c r="J270" s="10">
        <v>31</v>
      </c>
      <c r="K270" s="16">
        <v>1</v>
      </c>
      <c r="L270" s="113">
        <v>352</v>
      </c>
      <c r="M270" s="231">
        <v>57140</v>
      </c>
      <c r="N270" s="101">
        <f>'CDM Activity'!N172</f>
        <v>7582949.6811690181</v>
      </c>
      <c r="O270" s="127">
        <f t="shared" si="25"/>
        <v>120868639.17517427</v>
      </c>
      <c r="P270" s="127">
        <f t="shared" si="26"/>
        <v>352791.46623325348</v>
      </c>
      <c r="Q270" s="216">
        <f t="shared" si="27"/>
        <v>2.9273450167755827E-3</v>
      </c>
      <c r="R270" s="176">
        <f t="shared" si="28"/>
        <v>2.9273450167755827E-3</v>
      </c>
      <c r="S270"/>
    </row>
    <row r="271" spans="1:19" s="162" customFormat="1">
      <c r="A271" s="250">
        <f t="shared" si="23"/>
        <v>43281</v>
      </c>
      <c r="B271" s="257">
        <v>120027635.44</v>
      </c>
      <c r="C271" s="159"/>
      <c r="D271" s="159">
        <v>3505930.7305000015</v>
      </c>
      <c r="E271" s="159">
        <v>829844.17642700009</v>
      </c>
      <c r="F271" s="159">
        <v>0</v>
      </c>
      <c r="G271" s="127">
        <f t="shared" si="24"/>
        <v>124363410.346927</v>
      </c>
      <c r="H271" s="129">
        <v>41.000000000000007</v>
      </c>
      <c r="I271" s="129">
        <v>41.5</v>
      </c>
      <c r="J271" s="10">
        <v>30</v>
      </c>
      <c r="K271" s="16">
        <v>0</v>
      </c>
      <c r="L271" s="113">
        <v>336</v>
      </c>
      <c r="M271" s="231">
        <v>57291</v>
      </c>
      <c r="N271" s="101">
        <f>'CDM Activity'!N173</f>
        <v>7671254.3045422994</v>
      </c>
      <c r="O271" s="127">
        <f t="shared" si="25"/>
        <v>120574914.32243891</v>
      </c>
      <c r="P271" s="127">
        <f t="shared" si="26"/>
        <v>-3788496.0244880915</v>
      </c>
      <c r="Q271" s="216">
        <f t="shared" si="27"/>
        <v>-3.0463108191707004E-2</v>
      </c>
      <c r="R271" s="176">
        <f t="shared" si="28"/>
        <v>3.0463108191707004E-2</v>
      </c>
      <c r="S271"/>
    </row>
    <row r="272" spans="1:19" s="162" customFormat="1">
      <c r="A272" s="250">
        <f t="shared" si="23"/>
        <v>43312</v>
      </c>
      <c r="B272" s="258">
        <v>137353067.38</v>
      </c>
      <c r="C272" s="159"/>
      <c r="D272" s="159">
        <v>3173241.578999999</v>
      </c>
      <c r="E272" s="159">
        <v>873989.14680900006</v>
      </c>
      <c r="F272" s="159">
        <v>0</v>
      </c>
      <c r="G272" s="127">
        <f t="shared" si="24"/>
        <v>141400298.105809</v>
      </c>
      <c r="H272" s="129">
        <v>3.6000000000000005</v>
      </c>
      <c r="I272" s="129">
        <v>89.300000000000011</v>
      </c>
      <c r="J272" s="10">
        <v>31</v>
      </c>
      <c r="K272" s="16">
        <v>0</v>
      </c>
      <c r="L272" s="113">
        <v>336</v>
      </c>
      <c r="M272" s="231">
        <v>57318</v>
      </c>
      <c r="N272" s="101">
        <f>'CDM Activity'!N174</f>
        <v>7759558.9279155806</v>
      </c>
      <c r="O272" s="127">
        <f t="shared" si="25"/>
        <v>132105075.1328706</v>
      </c>
      <c r="P272" s="127">
        <f t="shared" si="26"/>
        <v>-9295222.9729384035</v>
      </c>
      <c r="Q272" s="216">
        <f t="shared" si="27"/>
        <v>-6.5736940426977336E-2</v>
      </c>
      <c r="R272" s="176">
        <f t="shared" si="28"/>
        <v>6.5736940426977336E-2</v>
      </c>
      <c r="S272"/>
    </row>
    <row r="273" spans="1:19" s="162" customFormat="1">
      <c r="A273" s="250">
        <f t="shared" si="23"/>
        <v>43343</v>
      </c>
      <c r="B273" s="258">
        <v>134389410.19</v>
      </c>
      <c r="C273" s="159"/>
      <c r="D273" s="159">
        <v>3192686.6634500008</v>
      </c>
      <c r="E273" s="159">
        <v>794970.53917200002</v>
      </c>
      <c r="F273" s="159">
        <v>0</v>
      </c>
      <c r="G273" s="127">
        <f t="shared" si="24"/>
        <v>138377067.39262199</v>
      </c>
      <c r="H273" s="129">
        <v>6.6000000000000005</v>
      </c>
      <c r="I273" s="129">
        <v>93.90000000000002</v>
      </c>
      <c r="J273" s="10">
        <v>31</v>
      </c>
      <c r="K273" s="16">
        <v>0</v>
      </c>
      <c r="L273" s="113">
        <v>352</v>
      </c>
      <c r="M273" s="231">
        <v>57346</v>
      </c>
      <c r="N273" s="101">
        <f>'CDM Activity'!N175</f>
        <v>7847863.5512888618</v>
      </c>
      <c r="O273" s="127">
        <f t="shared" si="25"/>
        <v>134074255.48236057</v>
      </c>
      <c r="P273" s="127">
        <f t="shared" si="26"/>
        <v>-4302811.9102614224</v>
      </c>
      <c r="Q273" s="216">
        <f t="shared" si="27"/>
        <v>-3.1094833785231962E-2</v>
      </c>
      <c r="R273" s="176">
        <f t="shared" si="28"/>
        <v>3.1094833785231962E-2</v>
      </c>
      <c r="S273"/>
    </row>
    <row r="274" spans="1:19" s="162" customFormat="1">
      <c r="A274" s="250">
        <f t="shared" si="23"/>
        <v>43373</v>
      </c>
      <c r="B274" s="257">
        <v>121313741.45</v>
      </c>
      <c r="C274" s="159"/>
      <c r="D274" s="159">
        <v>2979764.5559999999</v>
      </c>
      <c r="E274" s="159">
        <v>779326.81941300002</v>
      </c>
      <c r="F274" s="159">
        <v>0</v>
      </c>
      <c r="G274" s="127">
        <f t="shared" si="24"/>
        <v>125072832.825413</v>
      </c>
      <c r="H274" s="129">
        <v>77.199999999999989</v>
      </c>
      <c r="I274" s="129">
        <v>48.800000000000004</v>
      </c>
      <c r="J274" s="10">
        <v>30</v>
      </c>
      <c r="K274" s="16">
        <v>1</v>
      </c>
      <c r="L274" s="113">
        <v>304</v>
      </c>
      <c r="M274" s="231">
        <v>57391</v>
      </c>
      <c r="N274" s="101">
        <f>'CDM Activity'!N176</f>
        <v>7936168.174662143</v>
      </c>
      <c r="O274" s="127">
        <f t="shared" si="25"/>
        <v>118722777.57219352</v>
      </c>
      <c r="P274" s="127">
        <f t="shared" si="26"/>
        <v>-6350055.2532194853</v>
      </c>
      <c r="Q274" s="216">
        <f t="shared" si="27"/>
        <v>-5.0770859744445201E-2</v>
      </c>
      <c r="R274" s="176">
        <f t="shared" si="28"/>
        <v>5.0770859744445201E-2</v>
      </c>
      <c r="S274"/>
    </row>
    <row r="275" spans="1:19" s="162" customFormat="1">
      <c r="A275" s="250">
        <f t="shared" si="23"/>
        <v>43404</v>
      </c>
      <c r="B275" s="257">
        <v>115731855.84</v>
      </c>
      <c r="C275" s="159"/>
      <c r="D275" s="159">
        <v>2546634.5903499997</v>
      </c>
      <c r="E275" s="159">
        <v>710637.51454200002</v>
      </c>
      <c r="F275" s="159">
        <v>0</v>
      </c>
      <c r="G275" s="127">
        <f t="shared" si="24"/>
        <v>118989127.944892</v>
      </c>
      <c r="H275" s="129">
        <v>317.49999999999994</v>
      </c>
      <c r="I275" s="129">
        <v>5.1999999999999993</v>
      </c>
      <c r="J275" s="10">
        <v>31</v>
      </c>
      <c r="K275" s="16">
        <v>1</v>
      </c>
      <c r="L275" s="113">
        <v>352</v>
      </c>
      <c r="M275" s="231">
        <v>57428</v>
      </c>
      <c r="N275" s="101">
        <f>'CDM Activity'!N177</f>
        <v>8024472.7980354242</v>
      </c>
      <c r="O275" s="127">
        <f t="shared" si="25"/>
        <v>120998922.05326149</v>
      </c>
      <c r="P275" s="127">
        <f t="shared" si="26"/>
        <v>2009794.1083694845</v>
      </c>
      <c r="Q275" s="216">
        <f t="shared" si="27"/>
        <v>1.6890569273692719E-2</v>
      </c>
      <c r="R275" s="176">
        <f t="shared" si="28"/>
        <v>1.6890569273692719E-2</v>
      </c>
      <c r="S275"/>
    </row>
    <row r="276" spans="1:19" s="162" customFormat="1">
      <c r="A276" s="250">
        <f t="shared" si="23"/>
        <v>43434</v>
      </c>
      <c r="B276" s="257">
        <v>120612008.47</v>
      </c>
      <c r="C276" s="159"/>
      <c r="D276" s="159">
        <v>1881519.8321200002</v>
      </c>
      <c r="E276" s="159">
        <v>694712.74730500008</v>
      </c>
      <c r="F276" s="159">
        <v>0</v>
      </c>
      <c r="G276" s="127">
        <f t="shared" si="24"/>
        <v>123188241.04942501</v>
      </c>
      <c r="H276" s="129">
        <v>538.6</v>
      </c>
      <c r="I276" s="129">
        <v>0</v>
      </c>
      <c r="J276" s="10">
        <v>30</v>
      </c>
      <c r="K276" s="16">
        <v>1</v>
      </c>
      <c r="L276" s="113">
        <v>336</v>
      </c>
      <c r="M276" s="231">
        <v>57458</v>
      </c>
      <c r="N276" s="101">
        <f>'CDM Activity'!N178</f>
        <v>8112777.4214087054</v>
      </c>
      <c r="O276" s="127">
        <f t="shared" si="25"/>
        <v>122727974.27463712</v>
      </c>
      <c r="P276" s="127">
        <f t="shared" si="26"/>
        <v>-460266.77478788793</v>
      </c>
      <c r="Q276" s="216">
        <f t="shared" si="27"/>
        <v>-3.7362882274065579E-3</v>
      </c>
      <c r="R276" s="176">
        <f t="shared" si="28"/>
        <v>3.7362882274065579E-3</v>
      </c>
      <c r="S276"/>
    </row>
    <row r="277" spans="1:19" s="162" customFormat="1">
      <c r="A277" s="250">
        <f t="shared" si="23"/>
        <v>43465</v>
      </c>
      <c r="B277" s="257">
        <v>123360800.61</v>
      </c>
      <c r="C277" s="159"/>
      <c r="D277" s="159">
        <v>1690549.8348699999</v>
      </c>
      <c r="E277" s="159">
        <v>712705.25055600004</v>
      </c>
      <c r="F277" s="159">
        <v>0</v>
      </c>
      <c r="G277" s="127">
        <f t="shared" si="24"/>
        <v>125764055.695426</v>
      </c>
      <c r="H277" s="129">
        <v>600.79999999999995</v>
      </c>
      <c r="I277" s="129">
        <v>0</v>
      </c>
      <c r="J277" s="10">
        <v>31</v>
      </c>
      <c r="K277" s="16">
        <v>0</v>
      </c>
      <c r="L277" s="113">
        <v>304</v>
      </c>
      <c r="M277" s="231">
        <v>57486</v>
      </c>
      <c r="N277" s="101">
        <f>'CDM Activity'!N179</f>
        <v>8201082.0447819866</v>
      </c>
      <c r="O277" s="127">
        <f t="shared" si="25"/>
        <v>126896766.21247913</v>
      </c>
      <c r="P277" s="127">
        <f t="shared" si="26"/>
        <v>1132710.5170531273</v>
      </c>
      <c r="Q277" s="216">
        <f t="shared" si="27"/>
        <v>9.0066315911146583E-3</v>
      </c>
      <c r="R277" s="176">
        <f t="shared" si="28"/>
        <v>9.0066315911146583E-3</v>
      </c>
      <c r="S277"/>
    </row>
    <row r="278" spans="1:19" s="162" customFormat="1">
      <c r="A278" s="250">
        <f t="shared" si="23"/>
        <v>43496</v>
      </c>
      <c r="B278" s="257">
        <v>133959322.19</v>
      </c>
      <c r="C278" s="159"/>
      <c r="D278" s="159">
        <v>2282581.7499999995</v>
      </c>
      <c r="E278" s="159">
        <v>655829.83072900004</v>
      </c>
      <c r="F278" s="159">
        <v>0</v>
      </c>
      <c r="G278" s="127">
        <f t="shared" si="24"/>
        <v>136897733.77072901</v>
      </c>
      <c r="H278" s="129">
        <v>802.1</v>
      </c>
      <c r="I278" s="129">
        <v>0</v>
      </c>
      <c r="J278" s="10">
        <v>31</v>
      </c>
      <c r="K278" s="16">
        <v>0</v>
      </c>
      <c r="L278" s="113">
        <v>352</v>
      </c>
      <c r="M278" s="231">
        <v>57551</v>
      </c>
      <c r="N278" s="101">
        <f>'CDM Activity'!N180</f>
        <v>8233226.0650223335</v>
      </c>
      <c r="O278" s="127">
        <f t="shared" si="25"/>
        <v>135548875.78681284</v>
      </c>
      <c r="P278" s="127">
        <f t="shared" si="26"/>
        <v>-1348857.9839161634</v>
      </c>
      <c r="Q278" s="216">
        <f t="shared" si="27"/>
        <v>-9.8530336972208633E-3</v>
      </c>
      <c r="R278" s="176">
        <f t="shared" si="28"/>
        <v>9.8530336972208633E-3</v>
      </c>
      <c r="S278"/>
    </row>
    <row r="279" spans="1:19" s="162" customFormat="1">
      <c r="A279" s="250">
        <f t="shared" si="23"/>
        <v>43524</v>
      </c>
      <c r="B279" s="257">
        <v>118721342.88</v>
      </c>
      <c r="C279" s="159"/>
      <c r="D279" s="159">
        <v>2237328.2849999997</v>
      </c>
      <c r="E279" s="159">
        <v>755071.99401000002</v>
      </c>
      <c r="F279" s="159">
        <v>0</v>
      </c>
      <c r="G279" s="127">
        <f t="shared" si="24"/>
        <v>121713743.15900999</v>
      </c>
      <c r="H279" s="129">
        <v>659.8</v>
      </c>
      <c r="I279" s="129">
        <v>0</v>
      </c>
      <c r="J279" s="10">
        <v>28</v>
      </c>
      <c r="K279" s="16">
        <v>0</v>
      </c>
      <c r="L279" s="113">
        <v>304</v>
      </c>
      <c r="M279" s="231">
        <v>57548</v>
      </c>
      <c r="N279" s="101">
        <f>'CDM Activity'!N181</f>
        <v>8265370.0852626804</v>
      </c>
      <c r="O279" s="127">
        <f t="shared" si="25"/>
        <v>121874268.23169199</v>
      </c>
      <c r="P279" s="127">
        <f t="shared" si="26"/>
        <v>160525.07268199325</v>
      </c>
      <c r="Q279" s="216">
        <f t="shared" si="27"/>
        <v>1.318873847074764E-3</v>
      </c>
      <c r="R279" s="176">
        <f t="shared" si="28"/>
        <v>1.318873847074764E-3</v>
      </c>
      <c r="S279"/>
    </row>
    <row r="280" spans="1:19" s="162" customFormat="1">
      <c r="A280" s="250">
        <f t="shared" si="23"/>
        <v>43555</v>
      </c>
      <c r="B280" s="257">
        <v>124916908.76000001</v>
      </c>
      <c r="C280" s="159"/>
      <c r="D280" s="159">
        <v>3113194.4999999995</v>
      </c>
      <c r="E280" s="159">
        <v>681120.20926200005</v>
      </c>
      <c r="F280" s="159">
        <v>0</v>
      </c>
      <c r="G280" s="127">
        <f t="shared" si="24"/>
        <v>128711223.469262</v>
      </c>
      <c r="H280" s="129">
        <v>636.5</v>
      </c>
      <c r="I280" s="129">
        <v>0</v>
      </c>
      <c r="J280" s="10">
        <v>31</v>
      </c>
      <c r="K280" s="16">
        <v>1</v>
      </c>
      <c r="L280" s="113">
        <v>336</v>
      </c>
      <c r="M280" s="231">
        <v>57554</v>
      </c>
      <c r="N280" s="101">
        <f>'CDM Activity'!N182</f>
        <v>8297514.1055030273</v>
      </c>
      <c r="O280" s="127">
        <f t="shared" si="25"/>
        <v>127585789.06020124</v>
      </c>
      <c r="P280" s="127">
        <f t="shared" si="26"/>
        <v>-1125434.4090607613</v>
      </c>
      <c r="Q280" s="216">
        <f t="shared" si="27"/>
        <v>-8.7438715810943275E-3</v>
      </c>
      <c r="R280" s="176">
        <f t="shared" si="28"/>
        <v>8.7438715810943275E-3</v>
      </c>
      <c r="S280"/>
    </row>
    <row r="281" spans="1:19" s="162" customFormat="1">
      <c r="A281" s="250">
        <f t="shared" si="23"/>
        <v>43585</v>
      </c>
      <c r="B281" s="257">
        <v>110833583.27</v>
      </c>
      <c r="C281" s="159"/>
      <c r="D281" s="159">
        <v>2992063.0879899994</v>
      </c>
      <c r="E281" s="159">
        <v>624024.19630199997</v>
      </c>
      <c r="F281" s="159">
        <v>0</v>
      </c>
      <c r="G281" s="127">
        <f t="shared" si="24"/>
        <v>114449670.55429199</v>
      </c>
      <c r="H281" s="129">
        <v>386.8</v>
      </c>
      <c r="I281" s="129">
        <v>0</v>
      </c>
      <c r="J281" s="10">
        <v>30</v>
      </c>
      <c r="K281" s="16">
        <v>1</v>
      </c>
      <c r="L281" s="113">
        <v>336</v>
      </c>
      <c r="M281" s="231">
        <v>57554</v>
      </c>
      <c r="N281" s="101">
        <f>'CDM Activity'!N183</f>
        <v>8329658.1257433742</v>
      </c>
      <c r="O281" s="127">
        <f t="shared" si="25"/>
        <v>118324243.39526819</v>
      </c>
      <c r="P281" s="127">
        <f t="shared" si="26"/>
        <v>3874572.8409761935</v>
      </c>
      <c r="Q281" s="216">
        <f t="shared" si="27"/>
        <v>3.3853944901817742E-2</v>
      </c>
      <c r="R281" s="176">
        <f t="shared" si="28"/>
        <v>3.3853944901817742E-2</v>
      </c>
      <c r="S281"/>
    </row>
    <row r="282" spans="1:19" s="162" customFormat="1">
      <c r="A282" s="250">
        <f t="shared" si="23"/>
        <v>43616</v>
      </c>
      <c r="B282" s="257">
        <v>108883230.84</v>
      </c>
      <c r="C282" s="159"/>
      <c r="D282" s="159">
        <v>3253829.7800000003</v>
      </c>
      <c r="E282" s="159">
        <v>773487.86351799988</v>
      </c>
      <c r="F282" s="159">
        <v>0</v>
      </c>
      <c r="G282" s="127">
        <f t="shared" si="24"/>
        <v>112910548.483518</v>
      </c>
      <c r="H282" s="129">
        <v>207.5</v>
      </c>
      <c r="I282" s="129">
        <v>0</v>
      </c>
      <c r="J282" s="10">
        <v>31</v>
      </c>
      <c r="K282" s="16">
        <v>1</v>
      </c>
      <c r="L282" s="113">
        <v>352</v>
      </c>
      <c r="M282" s="231">
        <v>57572</v>
      </c>
      <c r="N282" s="101">
        <f>'CDM Activity'!N184</f>
        <v>8361802.1459837211</v>
      </c>
      <c r="O282" s="127">
        <f t="shared" si="25"/>
        <v>116518636.12122078</v>
      </c>
      <c r="P282" s="127">
        <f t="shared" si="26"/>
        <v>3608087.637702778</v>
      </c>
      <c r="Q282" s="216">
        <f t="shared" si="27"/>
        <v>3.1955275093092518E-2</v>
      </c>
      <c r="R282" s="176">
        <f t="shared" si="28"/>
        <v>3.1955275093092518E-2</v>
      </c>
      <c r="S282"/>
    </row>
    <row r="283" spans="1:19" s="162" customFormat="1">
      <c r="A283" s="250">
        <f t="shared" si="23"/>
        <v>43646</v>
      </c>
      <c r="B283" s="257">
        <v>112262653.81</v>
      </c>
      <c r="C283" s="159"/>
      <c r="D283" s="159">
        <v>3542039.2119899997</v>
      </c>
      <c r="E283" s="159">
        <v>868028.20352099999</v>
      </c>
      <c r="F283" s="159">
        <v>0</v>
      </c>
      <c r="G283" s="127">
        <f t="shared" si="24"/>
        <v>116672721.225511</v>
      </c>
      <c r="H283" s="129">
        <v>53.6</v>
      </c>
      <c r="I283" s="129">
        <v>15.700000000000001</v>
      </c>
      <c r="J283" s="10">
        <v>30</v>
      </c>
      <c r="K283" s="16">
        <v>0</v>
      </c>
      <c r="L283" s="113">
        <v>320</v>
      </c>
      <c r="M283" s="231">
        <v>57603</v>
      </c>
      <c r="N283" s="101">
        <f>'CDM Activity'!N185</f>
        <v>8393946.166224068</v>
      </c>
      <c r="O283" s="127">
        <f t="shared" si="25"/>
        <v>113732373.05418684</v>
      </c>
      <c r="P283" s="127">
        <f t="shared" si="26"/>
        <v>-2940348.1713241637</v>
      </c>
      <c r="Q283" s="216">
        <f t="shared" si="27"/>
        <v>-2.5201676453923693E-2</v>
      </c>
      <c r="R283" s="176">
        <f t="shared" si="28"/>
        <v>2.5201676453923693E-2</v>
      </c>
      <c r="S283" s="164"/>
    </row>
    <row r="284" spans="1:19" s="162" customFormat="1">
      <c r="A284" s="250">
        <f t="shared" si="23"/>
        <v>43677</v>
      </c>
      <c r="B284" s="257">
        <v>138247186.16</v>
      </c>
      <c r="C284" s="159"/>
      <c r="D284" s="159">
        <v>3744318.0030000005</v>
      </c>
      <c r="E284" s="159">
        <v>869658.50582700013</v>
      </c>
      <c r="F284" s="159">
        <v>0</v>
      </c>
      <c r="G284" s="127">
        <f t="shared" si="24"/>
        <v>142861162.668827</v>
      </c>
      <c r="H284" s="129">
        <v>2.2000000000000002</v>
      </c>
      <c r="I284" s="129">
        <v>100.10000000000001</v>
      </c>
      <c r="J284" s="10">
        <v>31</v>
      </c>
      <c r="K284" s="16">
        <v>0</v>
      </c>
      <c r="L284" s="113">
        <v>352</v>
      </c>
      <c r="M284" s="231">
        <v>57646</v>
      </c>
      <c r="N284" s="101">
        <f>'CDM Activity'!N186</f>
        <v>8426090.186464414</v>
      </c>
      <c r="O284" s="127">
        <f t="shared" si="25"/>
        <v>134966735.62682396</v>
      </c>
      <c r="P284" s="127">
        <f t="shared" si="26"/>
        <v>-7894427.0420030355</v>
      </c>
      <c r="Q284" s="216">
        <f t="shared" si="27"/>
        <v>-5.5259434366381775E-2</v>
      </c>
      <c r="R284" s="176">
        <f t="shared" si="28"/>
        <v>5.5259434366381775E-2</v>
      </c>
      <c r="S284" s="164"/>
    </row>
    <row r="285" spans="1:19" s="162" customFormat="1">
      <c r="A285" s="250">
        <f t="shared" si="23"/>
        <v>43708</v>
      </c>
      <c r="B285" s="257">
        <v>124752141.13</v>
      </c>
      <c r="C285" s="159"/>
      <c r="D285" s="159">
        <v>3631088.8011500007</v>
      </c>
      <c r="E285" s="159">
        <v>814180.38306199992</v>
      </c>
      <c r="F285" s="159">
        <v>0</v>
      </c>
      <c r="G285" s="127">
        <f t="shared" si="24"/>
        <v>129197410.31421199</v>
      </c>
      <c r="H285" s="129">
        <v>16.900000000000002</v>
      </c>
      <c r="I285" s="129">
        <v>48.3</v>
      </c>
      <c r="J285" s="10">
        <v>31</v>
      </c>
      <c r="K285" s="16">
        <v>0</v>
      </c>
      <c r="L285" s="113">
        <v>336</v>
      </c>
      <c r="M285" s="231">
        <v>57685</v>
      </c>
      <c r="N285" s="101">
        <f>'CDM Activity'!N187</f>
        <v>8458234.20670476</v>
      </c>
      <c r="O285" s="127">
        <f t="shared" si="25"/>
        <v>123124809.36808643</v>
      </c>
      <c r="P285" s="127">
        <f t="shared" si="26"/>
        <v>-6072600.946125567</v>
      </c>
      <c r="Q285" s="216">
        <f t="shared" si="27"/>
        <v>-4.7002497428987301E-2</v>
      </c>
      <c r="R285" s="176">
        <f t="shared" si="28"/>
        <v>4.7002497428987301E-2</v>
      </c>
      <c r="S285" s="164"/>
    </row>
    <row r="286" spans="1:19" s="162" customFormat="1">
      <c r="A286" s="250">
        <f t="shared" si="23"/>
        <v>43738</v>
      </c>
      <c r="B286" s="195">
        <v>112510967.76000001</v>
      </c>
      <c r="C286" s="159"/>
      <c r="D286" s="159">
        <v>2962855.0238499995</v>
      </c>
      <c r="E286" s="195">
        <v>758358.76702200004</v>
      </c>
      <c r="F286" s="159">
        <v>0</v>
      </c>
      <c r="G286" s="127">
        <f t="shared" si="24"/>
        <v>116232181.550872</v>
      </c>
      <c r="H286" s="129">
        <v>89.600000000000009</v>
      </c>
      <c r="I286" s="129">
        <v>13.8</v>
      </c>
      <c r="J286" s="10">
        <v>30</v>
      </c>
      <c r="K286" s="16">
        <v>1</v>
      </c>
      <c r="L286" s="113">
        <v>320</v>
      </c>
      <c r="M286" s="231">
        <v>57724</v>
      </c>
      <c r="N286" s="101">
        <f>'CDM Activity'!N188</f>
        <v>8490378.2269451059</v>
      </c>
      <c r="O286" s="127">
        <f t="shared" si="25"/>
        <v>112193353.92764319</v>
      </c>
      <c r="P286" s="127">
        <f t="shared" si="26"/>
        <v>-4038827.6232288033</v>
      </c>
      <c r="Q286" s="216">
        <f t="shared" si="27"/>
        <v>-3.4747929268290526E-2</v>
      </c>
      <c r="R286" s="176">
        <f t="shared" ref="R286:R289" si="29">ABS(Q286)</f>
        <v>3.4747929268290526E-2</v>
      </c>
      <c r="S286" s="164"/>
    </row>
    <row r="287" spans="1:19" s="162" customFormat="1">
      <c r="A287" s="250">
        <f t="shared" si="23"/>
        <v>43769</v>
      </c>
      <c r="B287" s="195">
        <v>112105908.84</v>
      </c>
      <c r="C287" s="159"/>
      <c r="D287" s="159">
        <v>2652141.3859999999</v>
      </c>
      <c r="E287" s="195">
        <v>722666.02191000013</v>
      </c>
      <c r="F287" s="159">
        <v>0</v>
      </c>
      <c r="G287" s="127">
        <f t="shared" si="24"/>
        <v>115480716.24791001</v>
      </c>
      <c r="H287" s="129">
        <v>294.10000000000002</v>
      </c>
      <c r="I287" s="129">
        <v>3.5</v>
      </c>
      <c r="J287" s="10">
        <v>31</v>
      </c>
      <c r="K287" s="16">
        <v>1</v>
      </c>
      <c r="L287" s="113">
        <v>352</v>
      </c>
      <c r="M287" s="231">
        <v>57762</v>
      </c>
      <c r="N287" s="101">
        <f>'CDM Activity'!N189</f>
        <v>8522522.2471854519</v>
      </c>
      <c r="O287" s="127">
        <f t="shared" si="25"/>
        <v>119874012.44698101</v>
      </c>
      <c r="P287" s="127">
        <f t="shared" si="26"/>
        <v>4393296.199071005</v>
      </c>
      <c r="Q287" s="216">
        <f t="shared" si="27"/>
        <v>3.8043548237435838E-2</v>
      </c>
      <c r="R287" s="176">
        <f t="shared" si="29"/>
        <v>3.8043548237435838E-2</v>
      </c>
      <c r="S287" s="164"/>
    </row>
    <row r="288" spans="1:19" s="162" customFormat="1">
      <c r="A288" s="250">
        <f t="shared" si="23"/>
        <v>43799</v>
      </c>
      <c r="B288" s="195">
        <v>119457295.14</v>
      </c>
      <c r="C288" s="159"/>
      <c r="D288" s="159">
        <v>2045990.96</v>
      </c>
      <c r="E288" s="195">
        <v>653236.88684599998</v>
      </c>
      <c r="F288" s="159">
        <v>0</v>
      </c>
      <c r="G288" s="127">
        <f t="shared" si="24"/>
        <v>122156522.986846</v>
      </c>
      <c r="H288" s="129">
        <v>556.9</v>
      </c>
      <c r="I288" s="129">
        <v>0</v>
      </c>
      <c r="J288" s="10">
        <v>30</v>
      </c>
      <c r="K288" s="16">
        <v>1</v>
      </c>
      <c r="L288" s="113">
        <v>320</v>
      </c>
      <c r="M288" s="123">
        <v>57804</v>
      </c>
      <c r="N288" s="101">
        <f>'CDM Activity'!N190</f>
        <v>8554666.2674257979</v>
      </c>
      <c r="O288" s="127">
        <f t="shared" si="25"/>
        <v>122296775.0800624</v>
      </c>
      <c r="P288" s="127">
        <f t="shared" si="26"/>
        <v>140252.09321640432</v>
      </c>
      <c r="Q288" s="216">
        <f t="shared" si="27"/>
        <v>1.1481342935039734E-3</v>
      </c>
      <c r="R288" s="176">
        <f t="shared" si="29"/>
        <v>1.1481342935039734E-3</v>
      </c>
      <c r="S288" s="164"/>
    </row>
    <row r="289" spans="1:19" s="162" customFormat="1">
      <c r="A289" s="250">
        <f t="shared" si="23"/>
        <v>43830</v>
      </c>
      <c r="B289" s="195">
        <v>123554820.09</v>
      </c>
      <c r="C289" s="159"/>
      <c r="D289" s="159">
        <v>1948576.439</v>
      </c>
      <c r="E289" s="195">
        <v>712705.25055600004</v>
      </c>
      <c r="F289" s="159">
        <v>0</v>
      </c>
      <c r="G289" s="127">
        <f>+B289-C289+D289+E289-F289</f>
        <v>126216101.77955601</v>
      </c>
      <c r="H289" s="129">
        <v>623.1</v>
      </c>
      <c r="I289" s="129">
        <v>0</v>
      </c>
      <c r="J289" s="10">
        <v>31</v>
      </c>
      <c r="K289" s="16">
        <v>0</v>
      </c>
      <c r="L289" s="113">
        <v>320</v>
      </c>
      <c r="M289" s="123">
        <v>57870</v>
      </c>
      <c r="N289" s="101">
        <f>'CDM Activity'!N191</f>
        <v>8586810.2876661438</v>
      </c>
      <c r="O289" s="127">
        <f t="shared" si="25"/>
        <v>128734906.67717528</v>
      </c>
      <c r="P289" s="127">
        <f t="shared" si="26"/>
        <v>2518804.8976192772</v>
      </c>
      <c r="Q289" s="216">
        <f t="shared" si="27"/>
        <v>1.9956288160590804E-2</v>
      </c>
      <c r="R289" s="176">
        <f t="shared" si="29"/>
        <v>1.9956288160590804E-2</v>
      </c>
      <c r="S289" s="164"/>
    </row>
    <row r="290" spans="1:19" s="94" customFormat="1">
      <c r="A290" s="250">
        <f t="shared" si="23"/>
        <v>43861</v>
      </c>
      <c r="B290" s="165"/>
      <c r="C290" s="165"/>
      <c r="D290" s="165"/>
      <c r="E290" s="195"/>
      <c r="F290" s="165"/>
      <c r="G290" s="128"/>
      <c r="H290" s="178">
        <f>H351</f>
        <v>755.71000000000015</v>
      </c>
      <c r="I290" s="178">
        <f>I351</f>
        <v>0</v>
      </c>
      <c r="J290" s="10">
        <v>31</v>
      </c>
      <c r="K290" s="16">
        <v>0</v>
      </c>
      <c r="L290" s="113">
        <v>336</v>
      </c>
      <c r="M290" s="197">
        <v>57902</v>
      </c>
      <c r="N290" s="101">
        <f>'CDM Activity'!N192</f>
        <v>8655739.3778914846</v>
      </c>
      <c r="O290" s="127">
        <f t="shared" si="25"/>
        <v>133362291.04912299</v>
      </c>
      <c r="R290" s="268">
        <f>AVERAGE(R26:R289)</f>
        <v>2.1020488839281176E-2</v>
      </c>
      <c r="S290" s="221" t="s">
        <v>70</v>
      </c>
    </row>
    <row r="291" spans="1:19" s="94" customFormat="1">
      <c r="A291" s="250">
        <f t="shared" si="23"/>
        <v>43890</v>
      </c>
      <c r="B291" s="165"/>
      <c r="C291" s="165"/>
      <c r="D291" s="165"/>
      <c r="E291" s="101"/>
      <c r="F291" s="165"/>
      <c r="G291" s="128"/>
      <c r="H291" s="178">
        <f t="shared" ref="H291:I301" si="30">H352</f>
        <v>677.3599999999999</v>
      </c>
      <c r="I291" s="178">
        <f t="shared" si="30"/>
        <v>0</v>
      </c>
      <c r="J291" s="10">
        <v>29</v>
      </c>
      <c r="K291" s="16">
        <v>0</v>
      </c>
      <c r="L291" s="113">
        <v>304</v>
      </c>
      <c r="M291" s="197">
        <v>57937</v>
      </c>
      <c r="N291" s="101">
        <f>'CDM Activity'!N193</f>
        <v>8724668.4681168254</v>
      </c>
      <c r="O291" s="127">
        <f t="shared" si="25"/>
        <v>124710049.16410868</v>
      </c>
      <c r="R291" s="163"/>
      <c r="S291" s="163"/>
    </row>
    <row r="292" spans="1:19" s="94" customFormat="1">
      <c r="A292" s="250">
        <f t="shared" si="23"/>
        <v>43921</v>
      </c>
      <c r="B292" s="165"/>
      <c r="C292" s="165"/>
      <c r="D292" s="165"/>
      <c r="E292" s="101"/>
      <c r="F292" s="165"/>
      <c r="G292" s="128"/>
      <c r="H292" s="178">
        <f t="shared" si="30"/>
        <v>581.26</v>
      </c>
      <c r="I292" s="178">
        <f t="shared" si="30"/>
        <v>0</v>
      </c>
      <c r="J292" s="10">
        <v>31</v>
      </c>
      <c r="K292" s="16">
        <v>1</v>
      </c>
      <c r="L292" s="113">
        <v>352</v>
      </c>
      <c r="M292" s="197">
        <v>57972</v>
      </c>
      <c r="N292" s="101">
        <f>'CDM Activity'!N194</f>
        <v>8793597.5583421662</v>
      </c>
      <c r="O292" s="127">
        <f t="shared" si="25"/>
        <v>127137329.86459148</v>
      </c>
      <c r="R292" s="163"/>
      <c r="S292" s="163"/>
    </row>
    <row r="293" spans="1:19" s="94" customFormat="1">
      <c r="A293" s="250">
        <f t="shared" si="23"/>
        <v>43951</v>
      </c>
      <c r="B293" s="165"/>
      <c r="C293" s="165"/>
      <c r="D293" s="165"/>
      <c r="E293" s="101"/>
      <c r="F293" s="165"/>
      <c r="G293" s="128"/>
      <c r="H293" s="178">
        <f t="shared" si="30"/>
        <v>368.40999999999997</v>
      </c>
      <c r="I293" s="178">
        <f t="shared" si="30"/>
        <v>0</v>
      </c>
      <c r="J293" s="10">
        <v>30</v>
      </c>
      <c r="K293" s="16">
        <v>1</v>
      </c>
      <c r="L293" s="113">
        <v>352</v>
      </c>
      <c r="M293" s="197">
        <v>58007</v>
      </c>
      <c r="N293" s="101">
        <f>'CDM Activity'!N195</f>
        <v>8862526.648567507</v>
      </c>
      <c r="O293" s="127">
        <f t="shared" si="25"/>
        <v>118922476.60177347</v>
      </c>
      <c r="R293" s="163"/>
      <c r="S293" s="163"/>
    </row>
    <row r="294" spans="1:19" s="94" customFormat="1">
      <c r="A294" s="250">
        <f t="shared" si="23"/>
        <v>43982</v>
      </c>
      <c r="B294" s="165"/>
      <c r="C294" s="165"/>
      <c r="D294" s="165"/>
      <c r="E294" s="101"/>
      <c r="F294" s="165"/>
      <c r="G294" s="128"/>
      <c r="H294" s="178">
        <f t="shared" si="30"/>
        <v>153.60999999999999</v>
      </c>
      <c r="I294" s="178">
        <f t="shared" si="30"/>
        <v>16.439999999999998</v>
      </c>
      <c r="J294" s="10">
        <v>31</v>
      </c>
      <c r="K294" s="16">
        <v>1</v>
      </c>
      <c r="L294" s="113">
        <v>320</v>
      </c>
      <c r="M294" s="197">
        <v>58042</v>
      </c>
      <c r="N294" s="101">
        <f>'CDM Activity'!N196</f>
        <v>8931455.7387928478</v>
      </c>
      <c r="O294" s="127">
        <f t="shared" si="25"/>
        <v>116756791.84041217</v>
      </c>
      <c r="R294" s="163"/>
      <c r="S294" s="163"/>
    </row>
    <row r="295" spans="1:19" s="94" customFormat="1">
      <c r="A295" s="250">
        <f t="shared" si="23"/>
        <v>44012</v>
      </c>
      <c r="B295" s="165"/>
      <c r="C295" s="165"/>
      <c r="D295" s="165"/>
      <c r="E295" s="101"/>
      <c r="F295" s="165"/>
      <c r="G295" s="128"/>
      <c r="H295" s="178">
        <f t="shared" si="30"/>
        <v>46.39</v>
      </c>
      <c r="I295" s="178">
        <f t="shared" si="30"/>
        <v>34.1</v>
      </c>
      <c r="J295" s="10">
        <v>30</v>
      </c>
      <c r="K295" s="16">
        <v>0</v>
      </c>
      <c r="L295" s="113">
        <v>352</v>
      </c>
      <c r="M295" s="197">
        <v>58077</v>
      </c>
      <c r="N295" s="101">
        <f>'CDM Activity'!N197</f>
        <v>9000384.8290181886</v>
      </c>
      <c r="O295" s="127">
        <f t="shared" si="25"/>
        <v>119551850.65377991</v>
      </c>
      <c r="R295" s="163"/>
      <c r="S295" s="163"/>
    </row>
    <row r="296" spans="1:19" s="94" customFormat="1">
      <c r="A296" s="250">
        <f t="shared" si="23"/>
        <v>44043</v>
      </c>
      <c r="B296" s="165"/>
      <c r="C296" s="165"/>
      <c r="D296" s="165"/>
      <c r="E296" s="101"/>
      <c r="F296" s="165"/>
      <c r="G296" s="128"/>
      <c r="H296" s="178">
        <f t="shared" si="30"/>
        <v>9.25</v>
      </c>
      <c r="I296" s="178">
        <f t="shared" si="30"/>
        <v>89.84</v>
      </c>
      <c r="J296" s="10">
        <v>31</v>
      </c>
      <c r="K296" s="16">
        <v>0</v>
      </c>
      <c r="L296" s="113">
        <v>352</v>
      </c>
      <c r="M296" s="197">
        <v>58112</v>
      </c>
      <c r="N296" s="101">
        <f>'CDM Activity'!N198</f>
        <v>9069313.9192435294</v>
      </c>
      <c r="O296" s="127">
        <f t="shared" si="25"/>
        <v>132880108.22788668</v>
      </c>
      <c r="P296" s="163"/>
      <c r="Q296" s="163"/>
      <c r="R296" s="163"/>
      <c r="S296" s="163"/>
    </row>
    <row r="297" spans="1:19" s="94" customFormat="1">
      <c r="A297" s="250">
        <f t="shared" si="23"/>
        <v>44074</v>
      </c>
      <c r="B297" s="165"/>
      <c r="C297" s="165"/>
      <c r="D297" s="165"/>
      <c r="E297" s="101"/>
      <c r="F297" s="165"/>
      <c r="G297" s="128"/>
      <c r="H297" s="178">
        <f t="shared" si="30"/>
        <v>19.39</v>
      </c>
      <c r="I297" s="178">
        <f t="shared" si="30"/>
        <v>59.879999999999995</v>
      </c>
      <c r="J297" s="10">
        <v>31</v>
      </c>
      <c r="K297" s="16">
        <v>0</v>
      </c>
      <c r="L297" s="113">
        <v>336</v>
      </c>
      <c r="M297" s="197">
        <v>58147</v>
      </c>
      <c r="N297" s="101">
        <f>'CDM Activity'!N199</f>
        <v>9138243.0094688702</v>
      </c>
      <c r="O297" s="127">
        <f t="shared" si="25"/>
        <v>125600472.02853283</v>
      </c>
      <c r="P297" s="163"/>
      <c r="Q297" s="163"/>
      <c r="R297" s="163"/>
      <c r="S297" s="163"/>
    </row>
    <row r="298" spans="1:19" s="94" customFormat="1">
      <c r="A298" s="250">
        <f t="shared" si="23"/>
        <v>44104</v>
      </c>
      <c r="B298" s="165"/>
      <c r="C298" s="165"/>
      <c r="D298" s="165"/>
      <c r="E298" s="101"/>
      <c r="F298" s="165"/>
      <c r="G298" s="128"/>
      <c r="H298" s="178">
        <f t="shared" si="30"/>
        <v>96.700000000000017</v>
      </c>
      <c r="I298" s="178">
        <f t="shared" si="30"/>
        <v>26.18</v>
      </c>
      <c r="J298" s="10">
        <v>30</v>
      </c>
      <c r="K298" s="16">
        <v>1</v>
      </c>
      <c r="L298" s="113">
        <v>336</v>
      </c>
      <c r="M298" s="197">
        <v>58182</v>
      </c>
      <c r="N298" s="101">
        <f>'CDM Activity'!N200</f>
        <v>9207172.099694211</v>
      </c>
      <c r="O298" s="127">
        <f t="shared" si="25"/>
        <v>115870152.71002471</v>
      </c>
      <c r="P298" s="163"/>
      <c r="Q298" s="163"/>
      <c r="R298" s="163"/>
      <c r="S298" s="163"/>
    </row>
    <row r="299" spans="1:19" s="94" customFormat="1">
      <c r="A299" s="250">
        <f t="shared" si="23"/>
        <v>44135</v>
      </c>
      <c r="B299" s="165"/>
      <c r="C299" s="165"/>
      <c r="D299" s="165"/>
      <c r="E299" s="101"/>
      <c r="F299" s="165"/>
      <c r="G299" s="128"/>
      <c r="H299" s="178">
        <f t="shared" si="30"/>
        <v>272.02999999999997</v>
      </c>
      <c r="I299" s="178">
        <f t="shared" si="30"/>
        <v>1.38</v>
      </c>
      <c r="J299" s="10">
        <v>31</v>
      </c>
      <c r="K299" s="16">
        <v>1</v>
      </c>
      <c r="L299" s="113">
        <v>336</v>
      </c>
      <c r="M299" s="197">
        <v>58217</v>
      </c>
      <c r="N299" s="101">
        <f>'CDM Activity'!N201</f>
        <v>9276101.1899195518</v>
      </c>
      <c r="O299" s="127">
        <f t="shared" si="25"/>
        <v>117537919.24579193</v>
      </c>
      <c r="P299" s="163"/>
      <c r="Q299" s="163"/>
      <c r="R299" s="163"/>
      <c r="S299" s="163"/>
    </row>
    <row r="300" spans="1:19" s="94" customFormat="1">
      <c r="A300" s="250">
        <f t="shared" si="23"/>
        <v>44165</v>
      </c>
      <c r="B300" s="165"/>
      <c r="C300" s="165"/>
      <c r="D300" s="165"/>
      <c r="E300" s="101"/>
      <c r="F300" s="165"/>
      <c r="G300" s="128"/>
      <c r="H300" s="178">
        <f t="shared" si="30"/>
        <v>469.25</v>
      </c>
      <c r="I300" s="178">
        <f t="shared" si="30"/>
        <v>0</v>
      </c>
      <c r="J300" s="10">
        <v>30</v>
      </c>
      <c r="K300" s="16">
        <v>1</v>
      </c>
      <c r="L300" s="113">
        <v>304</v>
      </c>
      <c r="M300" s="197">
        <v>58252</v>
      </c>
      <c r="N300" s="101">
        <f>'CDM Activity'!N202</f>
        <v>9345030.2801448926</v>
      </c>
      <c r="O300" s="127">
        <f t="shared" si="25"/>
        <v>118506653.83605424</v>
      </c>
      <c r="P300" s="163"/>
      <c r="Q300" s="163"/>
      <c r="R300" s="163"/>
      <c r="S300" s="163"/>
    </row>
    <row r="301" spans="1:19" s="94" customFormat="1">
      <c r="A301" s="250">
        <f t="shared" si="23"/>
        <v>44196</v>
      </c>
      <c r="B301" s="165"/>
      <c r="C301" s="165"/>
      <c r="D301" s="165"/>
      <c r="E301" s="101"/>
      <c r="F301" s="165"/>
      <c r="G301" s="128"/>
      <c r="H301" s="178">
        <f t="shared" si="30"/>
        <v>627.91999999999996</v>
      </c>
      <c r="I301" s="178">
        <f t="shared" si="30"/>
        <v>0</v>
      </c>
      <c r="J301" s="10">
        <v>31</v>
      </c>
      <c r="K301" s="16">
        <v>0</v>
      </c>
      <c r="L301" s="113">
        <v>352</v>
      </c>
      <c r="M301" s="197">
        <v>58287</v>
      </c>
      <c r="N301" s="101">
        <f>'CDM Activity'!N203</f>
        <v>9413959.3703702334</v>
      </c>
      <c r="O301" s="127">
        <f t="shared" si="25"/>
        <v>130309515.46587959</v>
      </c>
      <c r="P301" s="163"/>
      <c r="Q301" s="163"/>
      <c r="R301" s="163"/>
      <c r="S301" s="163"/>
    </row>
    <row r="302" spans="1:19" s="94" customFormat="1">
      <c r="A302" s="250">
        <f t="shared" si="23"/>
        <v>44227</v>
      </c>
      <c r="B302" s="165"/>
      <c r="C302" s="165"/>
      <c r="D302" s="165"/>
      <c r="E302" s="101"/>
      <c r="F302" s="165"/>
      <c r="G302" s="128"/>
      <c r="H302" s="178">
        <f>H351</f>
        <v>755.71000000000015</v>
      </c>
      <c r="I302" s="178">
        <f>I351</f>
        <v>0</v>
      </c>
      <c r="J302" s="10">
        <v>31</v>
      </c>
      <c r="K302" s="16">
        <v>0</v>
      </c>
      <c r="L302" s="113">
        <v>304</v>
      </c>
      <c r="M302" s="197">
        <v>58322</v>
      </c>
      <c r="N302" s="101">
        <f>'CDM Activity'!N204</f>
        <v>9409048.3191333916</v>
      </c>
      <c r="O302" s="127">
        <f t="shared" si="25"/>
        <v>131039345.81271382</v>
      </c>
      <c r="P302" s="163"/>
      <c r="Q302" s="163"/>
      <c r="R302" s="163"/>
      <c r="S302" s="163"/>
    </row>
    <row r="303" spans="1:19" s="94" customFormat="1">
      <c r="A303" s="250">
        <f t="shared" si="23"/>
        <v>44255</v>
      </c>
      <c r="B303" s="165"/>
      <c r="C303" s="165"/>
      <c r="D303" s="165"/>
      <c r="E303" s="101"/>
      <c r="F303" s="165"/>
      <c r="G303" s="128"/>
      <c r="H303" s="178">
        <f t="shared" ref="H303:I313" si="31">H352</f>
        <v>677.3599999999999</v>
      </c>
      <c r="I303" s="178">
        <f t="shared" si="31"/>
        <v>0</v>
      </c>
      <c r="J303" s="10">
        <v>28</v>
      </c>
      <c r="K303" s="16">
        <v>0</v>
      </c>
      <c r="L303" s="113">
        <v>304</v>
      </c>
      <c r="M303" s="197">
        <v>58357</v>
      </c>
      <c r="N303" s="101">
        <f>'CDM Activity'!N205</f>
        <v>9404137.2678965498</v>
      </c>
      <c r="O303" s="127">
        <f t="shared" si="25"/>
        <v>122248024.28851023</v>
      </c>
      <c r="P303" s="163"/>
      <c r="Q303" s="163"/>
      <c r="R303" s="163"/>
      <c r="S303" s="163"/>
    </row>
    <row r="304" spans="1:19" s="94" customFormat="1">
      <c r="A304" s="250">
        <f t="shared" si="23"/>
        <v>44286</v>
      </c>
      <c r="B304" s="165"/>
      <c r="C304" s="165"/>
      <c r="D304" s="165"/>
      <c r="E304" s="101"/>
      <c r="F304" s="165"/>
      <c r="G304" s="128"/>
      <c r="H304" s="178">
        <f t="shared" si="31"/>
        <v>581.26</v>
      </c>
      <c r="I304" s="178">
        <f t="shared" si="31"/>
        <v>0</v>
      </c>
      <c r="J304" s="10">
        <v>31</v>
      </c>
      <c r="K304" s="16">
        <v>1</v>
      </c>
      <c r="L304" s="113">
        <v>368</v>
      </c>
      <c r="M304" s="197">
        <v>58392</v>
      </c>
      <c r="N304" s="101">
        <f>'CDM Activity'!N206</f>
        <v>9399226.2166597079</v>
      </c>
      <c r="O304" s="127">
        <f t="shared" si="25"/>
        <v>128027346.24438903</v>
      </c>
      <c r="P304" s="163"/>
      <c r="Q304" s="163"/>
      <c r="R304" s="163"/>
      <c r="S304" s="163"/>
    </row>
    <row r="305" spans="1:19" s="94" customFormat="1">
      <c r="A305" s="250">
        <f t="shared" si="23"/>
        <v>44316</v>
      </c>
      <c r="B305" s="165"/>
      <c r="C305" s="165"/>
      <c r="D305" s="165"/>
      <c r="E305" s="101"/>
      <c r="F305" s="165"/>
      <c r="G305" s="128"/>
      <c r="H305" s="178">
        <f t="shared" si="31"/>
        <v>368.40999999999997</v>
      </c>
      <c r="I305" s="178">
        <f t="shared" si="31"/>
        <v>0</v>
      </c>
      <c r="J305" s="10">
        <v>30</v>
      </c>
      <c r="K305" s="16">
        <v>1</v>
      </c>
      <c r="L305" s="113">
        <v>352</v>
      </c>
      <c r="M305" s="197">
        <v>58427</v>
      </c>
      <c r="N305" s="101">
        <f>'CDM Activity'!N207</f>
        <v>9394315.1654228661</v>
      </c>
      <c r="O305" s="127">
        <f t="shared" si="25"/>
        <v>118974819.24450015</v>
      </c>
      <c r="P305" s="163"/>
      <c r="Q305" s="163"/>
      <c r="R305" s="163"/>
      <c r="S305" s="163"/>
    </row>
    <row r="306" spans="1:19" s="94" customFormat="1">
      <c r="A306" s="250">
        <f t="shared" ref="A306:A313" si="32">EOMONTH(A305,1)</f>
        <v>44347</v>
      </c>
      <c r="B306" s="165"/>
      <c r="C306" s="165"/>
      <c r="D306" s="165"/>
      <c r="E306" s="101"/>
      <c r="F306" s="165"/>
      <c r="G306" s="128"/>
      <c r="H306" s="178">
        <f t="shared" si="31"/>
        <v>153.60999999999999</v>
      </c>
      <c r="I306" s="178">
        <f t="shared" si="31"/>
        <v>16.439999999999998</v>
      </c>
      <c r="J306" s="10">
        <v>31</v>
      </c>
      <c r="K306" s="16">
        <v>1</v>
      </c>
      <c r="L306" s="113">
        <v>320</v>
      </c>
      <c r="M306" s="197">
        <v>58462</v>
      </c>
      <c r="N306" s="101">
        <f>'CDM Activity'!N208</f>
        <v>9389404.1141860243</v>
      </c>
      <c r="O306" s="127">
        <f t="shared" si="25"/>
        <v>116949122.56413764</v>
      </c>
      <c r="P306" s="163"/>
      <c r="Q306" s="163"/>
      <c r="R306" s="163"/>
      <c r="S306" s="163"/>
    </row>
    <row r="307" spans="1:19" s="94" customFormat="1">
      <c r="A307" s="250">
        <f t="shared" si="32"/>
        <v>44377</v>
      </c>
      <c r="B307" s="165"/>
      <c r="C307" s="165"/>
      <c r="D307" s="165"/>
      <c r="E307" s="101"/>
      <c r="F307" s="165"/>
      <c r="G307" s="128"/>
      <c r="H307" s="178">
        <f t="shared" si="31"/>
        <v>46.39</v>
      </c>
      <c r="I307" s="178">
        <f t="shared" si="31"/>
        <v>34.1</v>
      </c>
      <c r="J307" s="10">
        <v>30</v>
      </c>
      <c r="K307" s="16">
        <v>0</v>
      </c>
      <c r="L307" s="113">
        <v>352</v>
      </c>
      <c r="M307" s="197">
        <v>58497</v>
      </c>
      <c r="N307" s="101">
        <f>'CDM Activity'!N209</f>
        <v>9384493.0629491825</v>
      </c>
      <c r="O307" s="127">
        <f t="shared" si="25"/>
        <v>119884169.45850419</v>
      </c>
      <c r="P307" s="163"/>
      <c r="Q307" s="163"/>
      <c r="R307" s="163"/>
      <c r="S307" s="163"/>
    </row>
    <row r="308" spans="1:19" s="94" customFormat="1">
      <c r="A308" s="250">
        <f t="shared" si="32"/>
        <v>44408</v>
      </c>
      <c r="B308" s="165"/>
      <c r="C308" s="165"/>
      <c r="D308" s="165"/>
      <c r="E308" s="101"/>
      <c r="F308" s="165"/>
      <c r="G308" s="128"/>
      <c r="H308" s="178">
        <f t="shared" si="31"/>
        <v>9.25</v>
      </c>
      <c r="I308" s="178">
        <f t="shared" si="31"/>
        <v>89.84</v>
      </c>
      <c r="J308" s="10">
        <v>31</v>
      </c>
      <c r="K308" s="16">
        <v>0</v>
      </c>
      <c r="L308" s="113">
        <v>336</v>
      </c>
      <c r="M308" s="197">
        <v>58532</v>
      </c>
      <c r="N308" s="101">
        <f>'CDM Activity'!N210</f>
        <v>9379582.0117123406</v>
      </c>
      <c r="O308" s="127">
        <f t="shared" si="25"/>
        <v>132374753.29554006</v>
      </c>
      <c r="P308" s="163"/>
      <c r="Q308" s="163"/>
      <c r="R308" s="163"/>
      <c r="S308" s="163"/>
    </row>
    <row r="309" spans="1:19" s="94" customFormat="1">
      <c r="A309" s="250">
        <f t="shared" si="32"/>
        <v>44439</v>
      </c>
      <c r="B309" s="165"/>
      <c r="C309" s="165"/>
      <c r="D309" s="165"/>
      <c r="E309" s="101"/>
      <c r="F309" s="165"/>
      <c r="G309" s="128"/>
      <c r="H309" s="178">
        <f t="shared" si="31"/>
        <v>19.39</v>
      </c>
      <c r="I309" s="178">
        <f t="shared" si="31"/>
        <v>59.879999999999995</v>
      </c>
      <c r="J309" s="10">
        <v>31</v>
      </c>
      <c r="K309" s="16">
        <v>0</v>
      </c>
      <c r="L309" s="113">
        <v>352</v>
      </c>
      <c r="M309" s="197">
        <v>58567</v>
      </c>
      <c r="N309" s="101">
        <f>'CDM Activity'!N211</f>
        <v>9374670.9604754988</v>
      </c>
      <c r="O309" s="127">
        <f t="shared" si="25"/>
        <v>127190428.81332444</v>
      </c>
      <c r="P309" s="163"/>
      <c r="Q309" s="163"/>
      <c r="R309" s="163"/>
      <c r="S309" s="163"/>
    </row>
    <row r="310" spans="1:19" s="94" customFormat="1">
      <c r="A310" s="250">
        <f t="shared" si="32"/>
        <v>44469</v>
      </c>
      <c r="B310" s="165"/>
      <c r="C310" s="165"/>
      <c r="D310" s="165"/>
      <c r="E310" s="101"/>
      <c r="F310" s="165"/>
      <c r="G310" s="128"/>
      <c r="H310" s="178">
        <f t="shared" si="31"/>
        <v>96.700000000000017</v>
      </c>
      <c r="I310" s="178">
        <f t="shared" si="31"/>
        <v>26.18</v>
      </c>
      <c r="J310" s="10">
        <v>30</v>
      </c>
      <c r="K310" s="16">
        <v>1</v>
      </c>
      <c r="L310" s="113">
        <v>336</v>
      </c>
      <c r="M310" s="197">
        <v>58602</v>
      </c>
      <c r="N310" s="101">
        <f>'CDM Activity'!N212</f>
        <v>9369759.909238657</v>
      </c>
      <c r="O310" s="127">
        <f t="shared" si="25"/>
        <v>116622435.75774544</v>
      </c>
      <c r="P310" s="163"/>
      <c r="Q310" s="163"/>
      <c r="R310" s="163"/>
      <c r="S310" s="163"/>
    </row>
    <row r="311" spans="1:19" s="94" customFormat="1">
      <c r="A311" s="250">
        <f t="shared" si="32"/>
        <v>44500</v>
      </c>
      <c r="B311" s="165"/>
      <c r="C311" s="165"/>
      <c r="D311" s="165"/>
      <c r="E311" s="101"/>
      <c r="F311" s="165"/>
      <c r="G311" s="128"/>
      <c r="H311" s="178">
        <f t="shared" si="31"/>
        <v>272.02999999999997</v>
      </c>
      <c r="I311" s="178">
        <f t="shared" si="31"/>
        <v>1.38</v>
      </c>
      <c r="J311" s="10">
        <v>31</v>
      </c>
      <c r="K311" s="16">
        <v>1</v>
      </c>
      <c r="L311" s="113">
        <v>320</v>
      </c>
      <c r="M311" s="197">
        <v>58637</v>
      </c>
      <c r="N311" s="101">
        <f>'CDM Activity'!N213</f>
        <v>9364848.8580018152</v>
      </c>
      <c r="O311" s="127">
        <f t="shared" si="25"/>
        <v>117452528.55644175</v>
      </c>
      <c r="P311" s="163"/>
      <c r="Q311" s="163"/>
      <c r="R311" s="163"/>
      <c r="S311" s="163"/>
    </row>
    <row r="312" spans="1:19" s="94" customFormat="1">
      <c r="A312" s="250">
        <f t="shared" si="32"/>
        <v>44530</v>
      </c>
      <c r="B312" s="165"/>
      <c r="C312" s="165"/>
      <c r="D312" s="165"/>
      <c r="E312" s="101"/>
      <c r="F312" s="165"/>
      <c r="G312" s="128"/>
      <c r="H312" s="178">
        <f t="shared" si="31"/>
        <v>469.25</v>
      </c>
      <c r="I312" s="178">
        <f t="shared" si="31"/>
        <v>0</v>
      </c>
      <c r="J312" s="10">
        <v>30</v>
      </c>
      <c r="K312" s="16">
        <v>1</v>
      </c>
      <c r="L312" s="113">
        <v>320</v>
      </c>
      <c r="M312" s="197">
        <v>58672</v>
      </c>
      <c r="N312" s="101">
        <f>'CDM Activity'!N214</f>
        <v>9359937.8067649733</v>
      </c>
      <c r="O312" s="127">
        <f t="shared" si="25"/>
        <v>120516574.86384226</v>
      </c>
      <c r="P312" s="163"/>
      <c r="Q312" s="163"/>
      <c r="R312" s="163"/>
      <c r="S312" s="163"/>
    </row>
    <row r="313" spans="1:19" s="94" customFormat="1">
      <c r="A313" s="250">
        <f t="shared" si="32"/>
        <v>44561</v>
      </c>
      <c r="B313" s="165"/>
      <c r="C313" s="165"/>
      <c r="D313" s="165"/>
      <c r="E313" s="101"/>
      <c r="F313" s="165"/>
      <c r="G313" s="128"/>
      <c r="H313" s="178">
        <f t="shared" si="31"/>
        <v>627.91999999999996</v>
      </c>
      <c r="I313" s="178">
        <f t="shared" si="31"/>
        <v>0</v>
      </c>
      <c r="J313" s="10">
        <v>31</v>
      </c>
      <c r="K313" s="16">
        <v>0</v>
      </c>
      <c r="L313" s="113">
        <v>352</v>
      </c>
      <c r="M313" s="197">
        <v>58707</v>
      </c>
      <c r="N313" s="101">
        <f>'CDM Activity'!N215</f>
        <v>9355026.7555281315</v>
      </c>
      <c r="O313" s="127">
        <f t="shared" si="25"/>
        <v>131481762.75659674</v>
      </c>
      <c r="P313" s="163"/>
      <c r="Q313" s="163"/>
      <c r="R313" s="163"/>
      <c r="S313" s="163"/>
    </row>
    <row r="314" spans="1:19">
      <c r="A314" s="250"/>
      <c r="J314" s="10"/>
      <c r="K314" s="10"/>
      <c r="L314" s="92"/>
    </row>
    <row r="315" spans="1:19">
      <c r="A315" s="250"/>
      <c r="H315" s="20"/>
      <c r="I315" s="49" t="s">
        <v>66</v>
      </c>
      <c r="J315" s="10"/>
      <c r="K315" s="10"/>
      <c r="L315" s="92"/>
      <c r="O315" s="127">
        <f>SUM(O26:O313)</f>
        <v>33309113472.296585</v>
      </c>
    </row>
    <row r="316" spans="1:19">
      <c r="A316" s="250"/>
      <c r="J316" s="10"/>
      <c r="K316" s="10"/>
      <c r="L316" s="92"/>
    </row>
    <row r="317" spans="1:19">
      <c r="A317" s="160">
        <v>1996</v>
      </c>
      <c r="B317" s="91"/>
      <c r="C317" s="159"/>
      <c r="D317" s="91"/>
      <c r="E317" s="159"/>
      <c r="F317" s="91"/>
      <c r="G317" s="120">
        <f>SUM(G2:G13)</f>
        <v>1054584152.9999999</v>
      </c>
      <c r="H317" s="20"/>
      <c r="I317" s="20"/>
      <c r="J317" s="16"/>
      <c r="K317" s="16"/>
      <c r="L317" s="92"/>
      <c r="N317" s="120"/>
      <c r="O317" s="24">
        <f>SUM(O2:O13)</f>
        <v>1050224600.4632932</v>
      </c>
      <c r="P317" s="33">
        <f t="shared" ref="P317:P340" si="33">O317-G317</f>
        <v>-4359552.536706686</v>
      </c>
      <c r="Q317" s="5">
        <f t="shared" ref="Q317:Q340" si="34">P317/G317</f>
        <v>-4.1339067387889021E-3</v>
      </c>
      <c r="R317" s="5">
        <f t="shared" ref="R317:R318" si="35">ABS(Q317)</f>
        <v>4.1339067387889021E-3</v>
      </c>
      <c r="S317" s="110"/>
    </row>
    <row r="318" spans="1:19">
      <c r="A318" s="177">
        <v>1997</v>
      </c>
      <c r="B318" s="91"/>
      <c r="C318" s="159"/>
      <c r="D318" s="91"/>
      <c r="E318" s="159"/>
      <c r="F318" s="91"/>
      <c r="G318" s="120">
        <f>SUM(G14:G25)</f>
        <v>1067428819.3</v>
      </c>
      <c r="H318" s="20"/>
      <c r="I318" s="20"/>
      <c r="J318" s="16"/>
      <c r="K318" s="16"/>
      <c r="L318" s="92"/>
      <c r="N318" s="120"/>
      <c r="O318" s="24">
        <f>SUM(O14:O25)</f>
        <v>1064457543.0801665</v>
      </c>
      <c r="P318" s="33">
        <f t="shared" si="33"/>
        <v>-2971276.2198334932</v>
      </c>
      <c r="Q318" s="5">
        <f t="shared" si="34"/>
        <v>-2.7835825360064768E-3</v>
      </c>
      <c r="R318" s="5">
        <f t="shared" si="35"/>
        <v>2.7835825360064768E-3</v>
      </c>
      <c r="S318" s="110"/>
    </row>
    <row r="319" spans="1:19">
      <c r="A319" s="160">
        <v>1998</v>
      </c>
      <c r="B319" s="91"/>
      <c r="C319" s="159"/>
      <c r="D319" s="91"/>
      <c r="E319" s="159"/>
      <c r="F319" s="91"/>
      <c r="G319" s="120">
        <f>SUM(G26:G37)</f>
        <v>1089938594.0000002</v>
      </c>
      <c r="H319" s="20"/>
      <c r="I319" s="20"/>
      <c r="J319" s="16"/>
      <c r="K319" s="16"/>
      <c r="L319" s="92"/>
      <c r="N319" s="120"/>
      <c r="O319" s="120">
        <f>SUM(O26:O37)</f>
        <v>1099894820.1144037</v>
      </c>
      <c r="P319" s="33">
        <f t="shared" si="33"/>
        <v>9956226.1144034863</v>
      </c>
      <c r="Q319" s="5">
        <f t="shared" si="34"/>
        <v>9.1346670071245171E-3</v>
      </c>
      <c r="R319" s="5">
        <f>ABS(Q319)</f>
        <v>9.1346670071245171E-3</v>
      </c>
      <c r="S319" s="5"/>
    </row>
    <row r="320" spans="1:19">
      <c r="A320" s="177">
        <v>1999</v>
      </c>
      <c r="B320" s="91"/>
      <c r="C320" s="159"/>
      <c r="D320" s="91"/>
      <c r="E320" s="159"/>
      <c r="F320" s="91"/>
      <c r="G320" s="120">
        <f>SUM(G38:G49)</f>
        <v>1136636397.1000001</v>
      </c>
      <c r="H320" s="20"/>
      <c r="I320" s="20"/>
      <c r="J320" s="16"/>
      <c r="K320" s="16"/>
      <c r="L320" s="92"/>
      <c r="N320" s="120"/>
      <c r="O320" s="120">
        <f>SUM(O38:O49)</f>
        <v>1148889978.6449847</v>
      </c>
      <c r="P320" s="33">
        <f t="shared" si="33"/>
        <v>12253581.544984579</v>
      </c>
      <c r="Q320" s="5">
        <f t="shared" si="34"/>
        <v>1.0780564106734759E-2</v>
      </c>
      <c r="R320" s="5">
        <f t="shared" ref="R320:R335" si="36">ABS(Q320)</f>
        <v>1.0780564106734759E-2</v>
      </c>
      <c r="S320" s="5"/>
    </row>
    <row r="321" spans="1:20">
      <c r="A321" s="160">
        <v>2000</v>
      </c>
      <c r="B321" s="91"/>
      <c r="C321" s="159"/>
      <c r="D321" s="91"/>
      <c r="E321" s="159"/>
      <c r="F321" s="91"/>
      <c r="G321" s="120">
        <f>SUM(G50:G61)</f>
        <v>1173512817</v>
      </c>
      <c r="H321" s="20"/>
      <c r="I321" s="20"/>
      <c r="J321" s="16"/>
      <c r="K321" s="16"/>
      <c r="L321" s="92"/>
      <c r="N321" s="120"/>
      <c r="O321" s="120">
        <f>SUM(O50:O61)</f>
        <v>1163148766.9247632</v>
      </c>
      <c r="P321" s="33">
        <f t="shared" si="33"/>
        <v>-10364050.075236797</v>
      </c>
      <c r="Q321" s="5">
        <f t="shared" si="34"/>
        <v>-8.8316462548161476E-3</v>
      </c>
      <c r="R321" s="5">
        <f t="shared" si="36"/>
        <v>8.8316462548161476E-3</v>
      </c>
      <c r="S321" s="5"/>
    </row>
    <row r="322" spans="1:20">
      <c r="A322" s="177">
        <v>2001</v>
      </c>
      <c r="B322" s="91"/>
      <c r="C322" s="159"/>
      <c r="D322" s="91"/>
      <c r="E322" s="159"/>
      <c r="F322" s="91"/>
      <c r="G322" s="120">
        <f>SUM(G62:G73)</f>
        <v>1205847416.1772089</v>
      </c>
      <c r="H322" s="20"/>
      <c r="I322" s="20"/>
      <c r="J322" s="16"/>
      <c r="K322" s="16"/>
      <c r="L322" s="92"/>
      <c r="N322" s="120"/>
      <c r="O322" s="120">
        <f>SUM(O62:O73)</f>
        <v>1208215976.5161841</v>
      </c>
      <c r="P322" s="33">
        <f t="shared" si="33"/>
        <v>2368560.3389751911</v>
      </c>
      <c r="Q322" s="5">
        <f t="shared" si="34"/>
        <v>1.9642288959610065E-3</v>
      </c>
      <c r="R322" s="5">
        <f t="shared" si="36"/>
        <v>1.9642288959610065E-3</v>
      </c>
      <c r="S322" s="5"/>
    </row>
    <row r="323" spans="1:20">
      <c r="A323" s="160">
        <v>2002</v>
      </c>
      <c r="B323" s="91"/>
      <c r="C323" s="159"/>
      <c r="D323" s="91"/>
      <c r="E323" s="159"/>
      <c r="F323" s="91"/>
      <c r="G323" s="120">
        <f>SUM(G74:G85)</f>
        <v>1286398646.9897749</v>
      </c>
      <c r="H323" s="20"/>
      <c r="I323" s="20"/>
      <c r="J323" s="16"/>
      <c r="K323" s="16"/>
      <c r="L323" s="92"/>
      <c r="N323" s="120"/>
      <c r="O323" s="120">
        <f>SUM(O74:O85)</f>
        <v>1267277928.2729368</v>
      </c>
      <c r="P323" s="33">
        <f t="shared" si="33"/>
        <v>-19120718.716838121</v>
      </c>
      <c r="Q323" s="5">
        <f t="shared" si="34"/>
        <v>-1.4863758417020555E-2</v>
      </c>
      <c r="R323" s="5">
        <f t="shared" si="36"/>
        <v>1.4863758417020555E-2</v>
      </c>
      <c r="S323" s="5"/>
    </row>
    <row r="324" spans="1:20">
      <c r="A324" s="177">
        <v>2003</v>
      </c>
      <c r="B324" s="91"/>
      <c r="C324" s="159"/>
      <c r="D324" s="91"/>
      <c r="E324" s="159"/>
      <c r="F324" s="91"/>
      <c r="G324" s="120">
        <f>SUM(G86:G97)</f>
        <v>1269973823.9361501</v>
      </c>
      <c r="H324" s="20"/>
      <c r="I324" s="20"/>
      <c r="J324" s="16"/>
      <c r="K324" s="16"/>
      <c r="L324" s="92"/>
      <c r="N324" s="120"/>
      <c r="O324" s="120">
        <f>SUM(O86:O97)</f>
        <v>1269647330.304209</v>
      </c>
      <c r="P324" s="33">
        <f t="shared" si="33"/>
        <v>-326493.63194108009</v>
      </c>
      <c r="Q324" s="5">
        <f t="shared" si="34"/>
        <v>-2.5708689879067547E-4</v>
      </c>
      <c r="R324" s="5">
        <f t="shared" si="36"/>
        <v>2.5708689879067547E-4</v>
      </c>
      <c r="S324" s="5"/>
    </row>
    <row r="325" spans="1:20">
      <c r="A325" s="160">
        <v>2004</v>
      </c>
      <c r="B325" s="91"/>
      <c r="C325" s="159"/>
      <c r="D325" s="91"/>
      <c r="E325" s="159"/>
      <c r="F325" s="91"/>
      <c r="G325" s="120">
        <f>SUM(G98:G109)</f>
        <v>1294310409.8232</v>
      </c>
      <c r="H325" s="20"/>
      <c r="I325" s="20"/>
      <c r="J325" s="16"/>
      <c r="K325" s="16"/>
      <c r="L325" s="92"/>
      <c r="N325" s="120"/>
      <c r="O325" s="120">
        <f>SUM(O98:O109)</f>
        <v>1309934926.8045564</v>
      </c>
      <c r="P325" s="33">
        <f t="shared" si="33"/>
        <v>15624516.981356382</v>
      </c>
      <c r="Q325" s="5">
        <f t="shared" si="34"/>
        <v>1.207169227935875E-2</v>
      </c>
      <c r="R325" s="5">
        <f t="shared" si="36"/>
        <v>1.207169227935875E-2</v>
      </c>
      <c r="S325" s="5"/>
    </row>
    <row r="326" spans="1:20">
      <c r="A326" s="177">
        <v>2005</v>
      </c>
      <c r="B326" s="91"/>
      <c r="C326" s="159"/>
      <c r="D326" s="91"/>
      <c r="E326" s="159"/>
      <c r="F326" s="91"/>
      <c r="G326" s="120">
        <f>SUM(G110:G121)</f>
        <v>1358556812.9958501</v>
      </c>
      <c r="H326" s="20"/>
      <c r="I326" s="20"/>
      <c r="J326" s="16"/>
      <c r="K326" s="16"/>
      <c r="L326" s="92"/>
      <c r="N326" s="120"/>
      <c r="O326" s="120">
        <f>SUM(O110:O121)</f>
        <v>1382738343.9530218</v>
      </c>
      <c r="P326" s="33">
        <f t="shared" si="33"/>
        <v>24181530.957171679</v>
      </c>
      <c r="Q326" s="5">
        <f t="shared" si="34"/>
        <v>1.7799425630089967E-2</v>
      </c>
      <c r="R326" s="5">
        <f t="shared" si="36"/>
        <v>1.7799425630089967E-2</v>
      </c>
      <c r="S326" s="5"/>
    </row>
    <row r="327" spans="1:20">
      <c r="A327" s="160">
        <v>2006</v>
      </c>
      <c r="B327" s="91"/>
      <c r="C327" s="159"/>
      <c r="D327" s="91"/>
      <c r="E327" s="159"/>
      <c r="F327" s="91"/>
      <c r="G327" s="120">
        <f>SUM(G122:G133)</f>
        <v>1372533120.3491502</v>
      </c>
      <c r="H327" s="20"/>
      <c r="I327" s="20"/>
      <c r="J327" s="16"/>
      <c r="K327" s="16"/>
      <c r="L327" s="92"/>
      <c r="N327" s="120"/>
      <c r="O327" s="120">
        <f>SUM(O122:O133)</f>
        <v>1376587498.7546074</v>
      </c>
      <c r="P327" s="33">
        <f t="shared" si="33"/>
        <v>4054378.4054572582</v>
      </c>
      <c r="Q327" s="5">
        <f t="shared" si="34"/>
        <v>2.9539384845051245E-3</v>
      </c>
      <c r="R327" s="5">
        <f t="shared" si="36"/>
        <v>2.9539384845051245E-3</v>
      </c>
      <c r="S327" s="5"/>
    </row>
    <row r="328" spans="1:20">
      <c r="A328" s="177">
        <v>2007</v>
      </c>
      <c r="B328" s="91"/>
      <c r="C328" s="159"/>
      <c r="D328" s="91"/>
      <c r="E328" s="159"/>
      <c r="F328" s="91"/>
      <c r="G328" s="120">
        <f>SUM(G134:G145)</f>
        <v>1423569039</v>
      </c>
      <c r="H328" s="20"/>
      <c r="I328" s="20"/>
      <c r="J328" s="20"/>
      <c r="K328" s="20"/>
      <c r="L328" s="92"/>
      <c r="N328" s="120"/>
      <c r="O328" s="120">
        <f>SUM(O134:O145)</f>
        <v>1403612103.1215837</v>
      </c>
      <c r="P328" s="33">
        <f t="shared" si="33"/>
        <v>-19956935.8784163</v>
      </c>
      <c r="Q328" s="5">
        <f t="shared" si="34"/>
        <v>-1.4018944871430503E-2</v>
      </c>
      <c r="R328" s="5">
        <f t="shared" si="36"/>
        <v>1.4018944871430503E-2</v>
      </c>
      <c r="S328" s="5"/>
    </row>
    <row r="329" spans="1:20">
      <c r="A329" s="160">
        <v>2008</v>
      </c>
      <c r="B329" s="91"/>
      <c r="C329" s="159"/>
      <c r="D329" s="91"/>
      <c r="E329" s="159"/>
      <c r="F329" s="91"/>
      <c r="G329" s="120">
        <f>SUM(G146:G157)</f>
        <v>1421429683</v>
      </c>
      <c r="H329" s="20"/>
      <c r="I329" s="20"/>
      <c r="J329" s="20"/>
      <c r="K329" s="20"/>
      <c r="L329" s="92"/>
      <c r="N329" s="120"/>
      <c r="O329" s="120">
        <f>SUM(O146:O157)</f>
        <v>1415940928.0522981</v>
      </c>
      <c r="P329" s="33">
        <f t="shared" si="33"/>
        <v>-5488754.947701931</v>
      </c>
      <c r="Q329" s="5">
        <f t="shared" si="34"/>
        <v>-3.8614326219202299E-3</v>
      </c>
      <c r="R329" s="5">
        <f t="shared" si="36"/>
        <v>3.8614326219202299E-3</v>
      </c>
      <c r="S329" s="5"/>
      <c r="T329" s="50"/>
    </row>
    <row r="330" spans="1:20">
      <c r="A330" s="177">
        <v>2009</v>
      </c>
      <c r="B330" s="91"/>
      <c r="C330" s="159"/>
      <c r="D330" s="91"/>
      <c r="E330" s="159"/>
      <c r="F330" s="91"/>
      <c r="G330" s="120">
        <f>SUM(G158:G169)</f>
        <v>1411764680.4000001</v>
      </c>
      <c r="H330" s="20"/>
      <c r="I330" s="20"/>
      <c r="J330" s="20"/>
      <c r="K330" s="20"/>
      <c r="L330" s="92"/>
      <c r="N330" s="120"/>
      <c r="O330" s="120">
        <f>SUM(O158:O169)</f>
        <v>1417829607.4532056</v>
      </c>
      <c r="P330" s="33">
        <f t="shared" si="33"/>
        <v>6064927.0532054901</v>
      </c>
      <c r="Q330" s="5">
        <f t="shared" si="34"/>
        <v>4.2959900735631759E-3</v>
      </c>
      <c r="R330" s="5">
        <f t="shared" si="36"/>
        <v>4.2959900735631759E-3</v>
      </c>
      <c r="S330" s="5"/>
      <c r="T330" s="50"/>
    </row>
    <row r="331" spans="1:20">
      <c r="A331" s="160">
        <v>2010</v>
      </c>
      <c r="B331" s="91"/>
      <c r="C331" s="159"/>
      <c r="D331" s="91"/>
      <c r="E331" s="159"/>
      <c r="F331" s="91"/>
      <c r="G331" s="120">
        <f>SUM(G170:G181)</f>
        <v>1479129865.4622219</v>
      </c>
      <c r="H331" s="20"/>
      <c r="I331" s="20"/>
      <c r="J331" s="20"/>
      <c r="K331" s="20"/>
      <c r="L331" s="92"/>
      <c r="N331" s="120"/>
      <c r="O331" s="120">
        <f>SUM(O170:O181)</f>
        <v>1459251936.1642647</v>
      </c>
      <c r="P331" s="33">
        <f t="shared" si="33"/>
        <v>-19877929.297957182</v>
      </c>
      <c r="Q331" s="5">
        <f t="shared" si="34"/>
        <v>-1.3438934445249276E-2</v>
      </c>
      <c r="R331" s="5">
        <f t="shared" si="36"/>
        <v>1.3438934445249276E-2</v>
      </c>
      <c r="S331" s="5"/>
      <c r="T331" s="50"/>
    </row>
    <row r="332" spans="1:20">
      <c r="A332" s="177">
        <v>2011</v>
      </c>
      <c r="B332" s="91"/>
      <c r="C332" s="159"/>
      <c r="D332" s="91"/>
      <c r="E332" s="159"/>
      <c r="F332" s="91"/>
      <c r="G332" s="120">
        <f>SUM(G182:G193)</f>
        <v>1488841980.79</v>
      </c>
      <c r="H332" s="20"/>
      <c r="I332" s="20"/>
      <c r="J332" s="20"/>
      <c r="K332" s="20"/>
      <c r="L332" s="92"/>
      <c r="N332" s="120"/>
      <c r="O332" s="120">
        <f>SUM(O182:O193)</f>
        <v>1477371327.4041255</v>
      </c>
      <c r="P332" s="33">
        <f t="shared" si="33"/>
        <v>-11470653.38587451</v>
      </c>
      <c r="Q332" s="5">
        <f t="shared" si="34"/>
        <v>-7.7044129154579749E-3</v>
      </c>
      <c r="R332" s="5">
        <f t="shared" si="36"/>
        <v>7.7044129154579749E-3</v>
      </c>
      <c r="S332" s="5"/>
      <c r="T332" s="50"/>
    </row>
    <row r="333" spans="1:20">
      <c r="A333" s="160">
        <v>2012</v>
      </c>
      <c r="B333" s="91"/>
      <c r="C333" s="159"/>
      <c r="D333" s="91"/>
      <c r="E333" s="159"/>
      <c r="F333" s="91"/>
      <c r="G333" s="120">
        <f>SUM(G194:G205)</f>
        <v>1499089218.14588</v>
      </c>
      <c r="H333" s="20"/>
      <c r="I333" s="20"/>
      <c r="J333" s="20"/>
      <c r="K333" s="20"/>
      <c r="L333" s="92"/>
      <c r="N333" s="120"/>
      <c r="O333" s="120">
        <f>SUM(O194:O205)</f>
        <v>1487980478.6985331</v>
      </c>
      <c r="P333" s="33">
        <f t="shared" si="33"/>
        <v>-11108739.447346926</v>
      </c>
      <c r="Q333" s="5">
        <f t="shared" si="34"/>
        <v>-7.4103257583871887E-3</v>
      </c>
      <c r="R333" s="5">
        <f t="shared" si="36"/>
        <v>7.4103257583871887E-3</v>
      </c>
      <c r="S333" s="5"/>
      <c r="T333" s="50"/>
    </row>
    <row r="334" spans="1:20">
      <c r="A334" s="177">
        <v>2013</v>
      </c>
      <c r="B334" s="91"/>
      <c r="C334" s="159"/>
      <c r="D334" s="91"/>
      <c r="E334" s="159"/>
      <c r="F334" s="91"/>
      <c r="G334" s="120">
        <f>SUM(G206:G217)</f>
        <v>1499180241.3507881</v>
      </c>
      <c r="H334" s="20"/>
      <c r="I334" s="20"/>
      <c r="J334" s="20"/>
      <c r="K334" s="20"/>
      <c r="L334" s="92"/>
      <c r="N334" s="120"/>
      <c r="O334" s="120">
        <f>SUM(O206:O217)</f>
        <v>1499189177.40167</v>
      </c>
      <c r="P334" s="33">
        <f t="shared" si="33"/>
        <v>8936.0508818626404</v>
      </c>
      <c r="Q334" s="5">
        <f t="shared" si="34"/>
        <v>5.9606247703819119E-6</v>
      </c>
      <c r="R334" s="5">
        <f t="shared" si="36"/>
        <v>5.9606247703819119E-6</v>
      </c>
      <c r="S334" s="5"/>
      <c r="T334" s="50"/>
    </row>
    <row r="335" spans="1:20">
      <c r="A335" s="160">
        <v>2014</v>
      </c>
      <c r="B335" s="91"/>
      <c r="C335" s="159"/>
      <c r="D335" s="91"/>
      <c r="E335" s="159"/>
      <c r="F335" s="91"/>
      <c r="G335" s="120">
        <f>SUM(G218:G229)</f>
        <v>1489942245.1447198</v>
      </c>
      <c r="H335" s="20"/>
      <c r="I335" s="20"/>
      <c r="J335" s="20"/>
      <c r="K335" s="20"/>
      <c r="L335" s="92"/>
      <c r="N335" s="120"/>
      <c r="O335" s="120">
        <f>SUM(O218:O229)</f>
        <v>1495163736.2230701</v>
      </c>
      <c r="P335" s="33">
        <f t="shared" si="33"/>
        <v>5221491.0783503056</v>
      </c>
      <c r="Q335" s="5">
        <f t="shared" si="34"/>
        <v>3.5044922683181829E-3</v>
      </c>
      <c r="R335" s="5">
        <f t="shared" si="36"/>
        <v>3.5044922683181829E-3</v>
      </c>
      <c r="S335" s="5"/>
      <c r="T335" s="50"/>
    </row>
    <row r="336" spans="1:20" s="66" customFormat="1">
      <c r="A336" s="160">
        <v>2015</v>
      </c>
      <c r="B336" s="159"/>
      <c r="C336" s="159"/>
      <c r="D336" s="159"/>
      <c r="E336" s="159"/>
      <c r="F336" s="159"/>
      <c r="G336" s="120">
        <f>SUM(G230:G241)</f>
        <v>1485911224.8694601</v>
      </c>
      <c r="H336" s="129"/>
      <c r="I336" s="129"/>
      <c r="J336" s="129"/>
      <c r="K336" s="129"/>
      <c r="L336" s="167"/>
      <c r="M336" s="195"/>
      <c r="N336" s="120"/>
      <c r="O336" s="120">
        <f>SUM(O230:O241)</f>
        <v>1497170187.5310473</v>
      </c>
      <c r="P336" s="175">
        <f t="shared" si="33"/>
        <v>11258962.661587238</v>
      </c>
      <c r="Q336" s="176">
        <f t="shared" si="34"/>
        <v>7.5771435555151406E-3</v>
      </c>
      <c r="R336" s="176">
        <f t="shared" ref="R336:R340" si="37">ABS(Q336)</f>
        <v>7.5771435555151406E-3</v>
      </c>
      <c r="S336" s="176"/>
      <c r="T336" s="89"/>
    </row>
    <row r="337" spans="1:20" s="66" customFormat="1">
      <c r="A337" s="160">
        <v>2016</v>
      </c>
      <c r="B337" s="159"/>
      <c r="C337" s="159"/>
      <c r="D337" s="159"/>
      <c r="E337" s="159"/>
      <c r="F337" s="159"/>
      <c r="G337" s="120">
        <f>SUM(G242:G253)</f>
        <v>1494900180.9573333</v>
      </c>
      <c r="H337" s="129"/>
      <c r="I337" s="129"/>
      <c r="J337" s="129"/>
      <c r="K337" s="129"/>
      <c r="L337" s="167"/>
      <c r="M337" s="195"/>
      <c r="N337" s="120"/>
      <c r="O337" s="120">
        <f>SUM(O242:O253)</f>
        <v>1511872715.1311004</v>
      </c>
      <c r="P337" s="175">
        <f t="shared" si="33"/>
        <v>16972534.17376709</v>
      </c>
      <c r="Q337" s="176">
        <f t="shared" si="34"/>
        <v>1.1353623733524392E-2</v>
      </c>
      <c r="R337" s="176">
        <f t="shared" si="37"/>
        <v>1.1353623733524392E-2</v>
      </c>
      <c r="S337" s="176"/>
      <c r="T337" s="89"/>
    </row>
    <row r="338" spans="1:20" s="66" customFormat="1">
      <c r="A338" s="160">
        <v>2017</v>
      </c>
      <c r="B338" s="159"/>
      <c r="C338" s="159"/>
      <c r="D338" s="159"/>
      <c r="E338" s="159"/>
      <c r="F338" s="159"/>
      <c r="G338" s="120">
        <f>SUM(G254:G265)</f>
        <v>1454405278.97843</v>
      </c>
      <c r="H338" s="129"/>
      <c r="I338" s="129"/>
      <c r="J338" s="129"/>
      <c r="K338" s="129"/>
      <c r="L338" s="167"/>
      <c r="M338" s="195"/>
      <c r="N338" s="120"/>
      <c r="O338" s="120">
        <f>SUM(O254:O265)</f>
        <v>1476990377.0329261</v>
      </c>
      <c r="P338" s="175">
        <f t="shared" si="33"/>
        <v>22585098.05449605</v>
      </c>
      <c r="Q338" s="176">
        <f t="shared" si="34"/>
        <v>1.552875142914756E-2</v>
      </c>
      <c r="R338" s="176">
        <f t="shared" si="37"/>
        <v>1.552875142914756E-2</v>
      </c>
      <c r="S338" s="176"/>
      <c r="T338" s="89"/>
    </row>
    <row r="339" spans="1:20" s="66" customFormat="1">
      <c r="A339" s="160">
        <v>2018</v>
      </c>
      <c r="B339" s="159"/>
      <c r="C339" s="159"/>
      <c r="D339" s="159"/>
      <c r="E339" s="159"/>
      <c r="F339" s="159"/>
      <c r="G339" s="120">
        <f>SUM(G266:G277)</f>
        <v>1518504308.5151181</v>
      </c>
      <c r="H339" s="129"/>
      <c r="I339" s="129"/>
      <c r="J339" s="129"/>
      <c r="K339" s="129"/>
      <c r="L339" s="167"/>
      <c r="M339" s="195"/>
      <c r="N339" s="120"/>
      <c r="O339" s="120">
        <f>SUM(O266:O277)</f>
        <v>1501723626.6727302</v>
      </c>
      <c r="P339" s="175">
        <f t="shared" si="33"/>
        <v>-16780681.842387915</v>
      </c>
      <c r="Q339" s="176">
        <f t="shared" si="34"/>
        <v>-1.1050796331817485E-2</v>
      </c>
      <c r="R339" s="176">
        <f t="shared" si="37"/>
        <v>1.1050796331817485E-2</v>
      </c>
      <c r="S339" s="176"/>
      <c r="T339" s="89"/>
    </row>
    <row r="340" spans="1:20" s="66" customFormat="1">
      <c r="A340" s="160">
        <v>2019</v>
      </c>
      <c r="B340" s="159"/>
      <c r="C340" s="159"/>
      <c r="D340" s="159"/>
      <c r="E340" s="159"/>
      <c r="F340" s="159"/>
      <c r="G340" s="120">
        <f>SUM(G278:G289)</f>
        <v>1483499736.2105448</v>
      </c>
      <c r="H340" s="129"/>
      <c r="I340" s="129"/>
      <c r="J340" s="129"/>
      <c r="K340" s="129"/>
      <c r="L340" s="167"/>
      <c r="M340" s="195"/>
      <c r="N340" s="120"/>
      <c r="O340" s="120">
        <f>SUM(O278:O289)</f>
        <v>1474774778.776154</v>
      </c>
      <c r="P340" s="175">
        <f t="shared" si="33"/>
        <v>-8724957.4343907833</v>
      </c>
      <c r="Q340" s="176">
        <f t="shared" si="34"/>
        <v>-5.8813339978595718E-3</v>
      </c>
      <c r="R340" s="176">
        <f t="shared" si="37"/>
        <v>5.8813339978595718E-3</v>
      </c>
      <c r="S340" s="176"/>
      <c r="T340" s="89"/>
    </row>
    <row r="341" spans="1:20" s="66" customFormat="1">
      <c r="A341" s="177">
        <v>2020</v>
      </c>
      <c r="B341" s="159"/>
      <c r="C341" s="159"/>
      <c r="D341" s="159"/>
      <c r="E341" s="159"/>
      <c r="F341" s="159"/>
      <c r="G341" s="120"/>
      <c r="H341" s="129"/>
      <c r="I341" s="129"/>
      <c r="J341" s="129"/>
      <c r="K341" s="129"/>
      <c r="L341" s="167"/>
      <c r="M341" s="195"/>
      <c r="N341" s="120"/>
      <c r="O341" s="120">
        <f>SUM(O290:O301)</f>
        <v>1481145610.687959</v>
      </c>
      <c r="P341" s="175"/>
      <c r="Q341" s="176"/>
      <c r="R341" s="176"/>
      <c r="S341" s="128"/>
      <c r="T341" s="89"/>
    </row>
    <row r="342" spans="1:20" s="66" customFormat="1">
      <c r="A342" s="160">
        <v>2021</v>
      </c>
      <c r="B342" s="159"/>
      <c r="C342" s="159"/>
      <c r="D342" s="159"/>
      <c r="E342" s="159"/>
      <c r="F342" s="159"/>
      <c r="G342" s="120"/>
      <c r="H342" s="129"/>
      <c r="I342" s="129"/>
      <c r="J342" s="129"/>
      <c r="K342" s="129"/>
      <c r="L342" s="167"/>
      <c r="M342" s="195"/>
      <c r="N342" s="120"/>
      <c r="O342" s="120">
        <f>SUM(O302:O313)</f>
        <v>1482761311.6562459</v>
      </c>
      <c r="P342" s="175"/>
      <c r="Q342" s="176"/>
      <c r="R342" s="176"/>
      <c r="S342" s="128"/>
      <c r="T342" s="89"/>
    </row>
    <row r="343" spans="1:20" s="66" customFormat="1">
      <c r="A343" s="160"/>
      <c r="B343" s="159"/>
      <c r="C343" s="159"/>
      <c r="D343" s="159"/>
      <c r="E343" s="159"/>
      <c r="F343" s="159"/>
      <c r="G343" s="120"/>
      <c r="H343" s="129"/>
      <c r="I343" s="129"/>
      <c r="J343" s="129"/>
      <c r="K343" s="129"/>
      <c r="L343" s="167"/>
      <c r="M343" s="195"/>
      <c r="N343" s="120"/>
      <c r="O343" s="120"/>
      <c r="P343" s="126"/>
      <c r="Q343" s="126"/>
      <c r="R343" s="126"/>
      <c r="S343" s="126"/>
    </row>
    <row r="344" spans="1:20" s="66" customFormat="1">
      <c r="A344" s="160" t="s">
        <v>119</v>
      </c>
      <c r="B344" s="159"/>
      <c r="C344" s="159"/>
      <c r="D344" s="159"/>
      <c r="E344" s="159"/>
      <c r="F344" s="159"/>
      <c r="G344" s="120">
        <f>SUM(G317:G340)</f>
        <v>32459888693.495834</v>
      </c>
      <c r="H344" s="129"/>
      <c r="I344" s="129"/>
      <c r="J344" s="129"/>
      <c r="K344" s="129"/>
      <c r="L344" s="167"/>
      <c r="M344" s="195"/>
      <c r="N344" s="120"/>
      <c r="O344" s="120">
        <f>SUM(O317:O340)</f>
        <v>32459888693.495831</v>
      </c>
      <c r="P344" s="127">
        <f>O344-G344</f>
        <v>0</v>
      </c>
      <c r="Q344" s="126"/>
      <c r="R344" s="126"/>
      <c r="S344" s="126"/>
    </row>
    <row r="346" spans="1:20">
      <c r="O346" s="128">
        <f>SUM(O319:O342)</f>
        <v>33309113472.296577</v>
      </c>
      <c r="P346" s="47">
        <f>O315-O346</f>
        <v>0</v>
      </c>
    </row>
    <row r="347" spans="1:20">
      <c r="O347" s="129"/>
      <c r="P347" s="20"/>
      <c r="Q347" s="20"/>
      <c r="R347" s="20"/>
      <c r="S347" s="20"/>
    </row>
    <row r="350" spans="1:20">
      <c r="G350" s="279" t="s">
        <v>96</v>
      </c>
      <c r="H350" s="280"/>
      <c r="I350" s="280"/>
    </row>
    <row r="351" spans="1:20">
      <c r="H351" s="178">
        <f>'Weather Analysis '!AA6</f>
        <v>755.71000000000015</v>
      </c>
      <c r="I351" s="178">
        <f>'Weather Analysis '!AA24</f>
        <v>0</v>
      </c>
      <c r="J351" s="10">
        <v>31</v>
      </c>
      <c r="K351" s="119">
        <v>0</v>
      </c>
      <c r="L351" s="119">
        <f>AVERAGE(L278, L266, L254, L242, L230, L118, L106, L94, L82, L70)</f>
        <v>332.82400000000001</v>
      </c>
      <c r="M351" s="195"/>
      <c r="O351" s="119"/>
    </row>
    <row r="352" spans="1:20">
      <c r="H352" s="178">
        <f>'Weather Analysis '!AA7</f>
        <v>677.3599999999999</v>
      </c>
      <c r="I352" s="178">
        <f>'Weather Analysis '!AA25</f>
        <v>0</v>
      </c>
      <c r="J352" s="10">
        <v>28</v>
      </c>
      <c r="K352" s="119">
        <v>0</v>
      </c>
      <c r="L352" s="119">
        <f t="shared" ref="L352:L362" si="38">AVERAGE(L279, L267, L255, L243, L231, L119, L107, L95, L83, L71)</f>
        <v>323.15759999999995</v>
      </c>
      <c r="M352" s="195"/>
      <c r="O352" s="119"/>
    </row>
    <row r="353" spans="7:17">
      <c r="H353" s="178">
        <f>'Weather Analysis '!AA8</f>
        <v>581.26</v>
      </c>
      <c r="I353" s="178">
        <f>'Weather Analysis '!AA26</f>
        <v>0</v>
      </c>
      <c r="J353" s="10">
        <v>31</v>
      </c>
      <c r="K353" s="119">
        <v>1</v>
      </c>
      <c r="L353" s="119">
        <f t="shared" si="38"/>
        <v>345.61599999999999</v>
      </c>
      <c r="M353" s="195"/>
      <c r="O353" s="119"/>
    </row>
    <row r="354" spans="7:17">
      <c r="H354" s="178">
        <f>'Weather Analysis '!AA9</f>
        <v>368.40999999999997</v>
      </c>
      <c r="I354" s="178">
        <f>'Weather Analysis '!AA27</f>
        <v>0</v>
      </c>
      <c r="J354" s="10">
        <v>30</v>
      </c>
      <c r="K354" s="119">
        <v>1</v>
      </c>
      <c r="L354" s="119">
        <f t="shared" si="38"/>
        <v>326.47120000000001</v>
      </c>
      <c r="M354" s="195"/>
      <c r="O354" s="119"/>
    </row>
    <row r="355" spans="7:17">
      <c r="H355" s="178">
        <f>'Weather Analysis '!AA10</f>
        <v>153.60999999999999</v>
      </c>
      <c r="I355" s="178">
        <f>'Weather Analysis '!AA28</f>
        <v>16.439999999999998</v>
      </c>
      <c r="J355" s="10">
        <v>31</v>
      </c>
      <c r="K355" s="119">
        <v>1</v>
      </c>
      <c r="L355" s="119">
        <f t="shared" si="38"/>
        <v>340.83199999999999</v>
      </c>
      <c r="M355" s="195"/>
      <c r="O355" s="119"/>
    </row>
    <row r="356" spans="7:17">
      <c r="H356" s="178">
        <f>'Weather Analysis '!AA11</f>
        <v>46.39</v>
      </c>
      <c r="I356" s="178">
        <f>'Weather Analysis '!AA29</f>
        <v>34.1</v>
      </c>
      <c r="J356" s="10">
        <v>30</v>
      </c>
      <c r="K356" s="119">
        <v>0</v>
      </c>
      <c r="L356" s="119">
        <f t="shared" si="38"/>
        <v>331.16479999999996</v>
      </c>
      <c r="M356" s="195"/>
      <c r="O356" s="119"/>
    </row>
    <row r="357" spans="7:17">
      <c r="H357" s="178">
        <f>'Weather Analysis '!AA12</f>
        <v>9.25</v>
      </c>
      <c r="I357" s="178">
        <f>'Weather Analysis '!AA30</f>
        <v>89.84</v>
      </c>
      <c r="J357" s="10">
        <v>31</v>
      </c>
      <c r="K357" s="119">
        <v>0</v>
      </c>
      <c r="L357" s="119">
        <f t="shared" si="38"/>
        <v>342.46799999999996</v>
      </c>
      <c r="M357" s="195"/>
      <c r="O357" s="119"/>
    </row>
    <row r="358" spans="7:17">
      <c r="H358" s="178">
        <f>'Weather Analysis '!AA13</f>
        <v>19.39</v>
      </c>
      <c r="I358" s="178">
        <f>'Weather Analysis '!AA31</f>
        <v>59.879999999999995</v>
      </c>
      <c r="J358" s="10">
        <v>31</v>
      </c>
      <c r="K358" s="119">
        <v>0</v>
      </c>
      <c r="L358" s="119">
        <f t="shared" si="38"/>
        <v>337.66399999999993</v>
      </c>
      <c r="M358" s="195"/>
      <c r="O358" s="119"/>
    </row>
    <row r="359" spans="7:17">
      <c r="H359" s="178">
        <f>'Weather Analysis '!AA14</f>
        <v>96.700000000000017</v>
      </c>
      <c r="I359" s="178">
        <f>'Weather Analysis '!AA32</f>
        <v>26.18</v>
      </c>
      <c r="J359" s="10">
        <v>30</v>
      </c>
      <c r="K359" s="119">
        <v>1</v>
      </c>
      <c r="L359" s="119">
        <f t="shared" si="38"/>
        <v>331.23199999999997</v>
      </c>
      <c r="M359" s="195"/>
      <c r="O359" s="119"/>
    </row>
    <row r="360" spans="7:17">
      <c r="H360" s="178">
        <f>'Weather Analysis '!AA15</f>
        <v>272.02999999999997</v>
      </c>
      <c r="I360" s="178">
        <f>'Weather Analysis '!AA33</f>
        <v>1.38</v>
      </c>
      <c r="J360" s="10">
        <v>31</v>
      </c>
      <c r="K360" s="119">
        <v>1</v>
      </c>
      <c r="L360" s="119">
        <f t="shared" si="38"/>
        <v>340.81599999999992</v>
      </c>
      <c r="M360" s="195"/>
      <c r="O360" s="119"/>
    </row>
    <row r="361" spans="7:17">
      <c r="H361" s="178">
        <f>'Weather Analysis '!AA16</f>
        <v>469.25</v>
      </c>
      <c r="I361" s="178">
        <f>'Weather Analysis '!AA34</f>
        <v>0</v>
      </c>
      <c r="J361" s="10">
        <v>30</v>
      </c>
      <c r="K361" s="119">
        <v>1</v>
      </c>
      <c r="L361" s="119">
        <f t="shared" si="38"/>
        <v>334.39519999999999</v>
      </c>
      <c r="M361" s="195"/>
      <c r="O361" s="119"/>
    </row>
    <row r="362" spans="7:17">
      <c r="H362" s="178">
        <f>'Weather Analysis '!AA17</f>
        <v>627.91999999999996</v>
      </c>
      <c r="I362" s="178">
        <f>'Weather Analysis '!AA35</f>
        <v>0</v>
      </c>
      <c r="J362" s="10">
        <v>31</v>
      </c>
      <c r="K362" s="119">
        <v>0</v>
      </c>
      <c r="L362" s="119">
        <f t="shared" si="38"/>
        <v>331.23200000000003</v>
      </c>
      <c r="M362" s="195"/>
      <c r="O362" s="119"/>
      <c r="P362" s="47"/>
      <c r="Q362" s="47"/>
    </row>
    <row r="363" spans="7:17">
      <c r="O363" s="129"/>
    </row>
    <row r="364" spans="7:17">
      <c r="G364" s="279" t="s">
        <v>83</v>
      </c>
      <c r="H364" s="280"/>
      <c r="I364" s="280"/>
      <c r="J364" s="76"/>
      <c r="K364" s="76"/>
      <c r="O364" s="129"/>
      <c r="P364" s="76"/>
    </row>
    <row r="365" spans="7:17">
      <c r="H365" s="178">
        <f>'Weather Analysis '!AB6</f>
        <v>762.24142857142851</v>
      </c>
      <c r="I365" s="178">
        <f>'Weather Analysis '!AB24</f>
        <v>0</v>
      </c>
      <c r="J365" s="10">
        <v>31</v>
      </c>
      <c r="K365" s="16">
        <v>0</v>
      </c>
      <c r="L365" s="119">
        <f>L351</f>
        <v>332.82400000000001</v>
      </c>
      <c r="M365" s="195"/>
      <c r="O365" s="119"/>
      <c r="P365" s="76"/>
    </row>
    <row r="366" spans="7:17">
      <c r="H366" s="178">
        <f>'Weather Analysis '!AB7</f>
        <v>678.82428571428568</v>
      </c>
      <c r="I366" s="178">
        <f>'Weather Analysis '!AB25</f>
        <v>0</v>
      </c>
      <c r="J366" s="10">
        <v>28</v>
      </c>
      <c r="K366" s="16">
        <v>0</v>
      </c>
      <c r="L366" s="119">
        <f t="shared" ref="L366:L376" si="39">L352</f>
        <v>323.15759999999995</v>
      </c>
      <c r="M366" s="195"/>
      <c r="O366" s="119"/>
      <c r="P366" s="76"/>
    </row>
    <row r="367" spans="7:17">
      <c r="H367" s="178">
        <f>'Weather Analysis '!AB8</f>
        <v>603.56285714285696</v>
      </c>
      <c r="I367" s="178">
        <f>'Weather Analysis '!AB26</f>
        <v>0</v>
      </c>
      <c r="J367" s="10">
        <v>31</v>
      </c>
      <c r="K367" s="16">
        <v>1</v>
      </c>
      <c r="L367" s="119">
        <f t="shared" si="39"/>
        <v>345.61599999999999</v>
      </c>
      <c r="M367" s="195"/>
      <c r="O367" s="119"/>
      <c r="P367" s="76"/>
    </row>
    <row r="368" spans="7:17">
      <c r="H368" s="178">
        <f>'Weather Analysis '!AB9</f>
        <v>381.96571428571497</v>
      </c>
      <c r="I368" s="178">
        <f>'Weather Analysis '!AB27</f>
        <v>-0.27000000000001023</v>
      </c>
      <c r="J368" s="10">
        <v>30</v>
      </c>
      <c r="K368" s="16">
        <v>1</v>
      </c>
      <c r="L368" s="119">
        <f t="shared" si="39"/>
        <v>326.47120000000001</v>
      </c>
      <c r="M368" s="195"/>
      <c r="O368" s="119"/>
      <c r="P368" s="76"/>
    </row>
    <row r="369" spans="8:16">
      <c r="H369" s="178">
        <f>'Weather Analysis '!AB10</f>
        <v>152.32428571428591</v>
      </c>
      <c r="I369" s="178">
        <f>'Weather Analysis '!AB28</f>
        <v>16.77857142857124</v>
      </c>
      <c r="J369" s="10">
        <v>31</v>
      </c>
      <c r="K369" s="16">
        <v>1</v>
      </c>
      <c r="L369" s="119">
        <f t="shared" si="39"/>
        <v>340.83199999999999</v>
      </c>
      <c r="M369" s="195"/>
      <c r="O369" s="119"/>
      <c r="P369" s="76"/>
    </row>
    <row r="370" spans="8:16">
      <c r="H370" s="178">
        <f>'Weather Analysis '!AB11</f>
        <v>46.348571428571518</v>
      </c>
      <c r="I370" s="178">
        <f>'Weather Analysis '!AB29</f>
        <v>30.231428571428751</v>
      </c>
      <c r="J370" s="10">
        <v>30</v>
      </c>
      <c r="K370" s="16">
        <v>0</v>
      </c>
      <c r="L370" s="119">
        <f t="shared" si="39"/>
        <v>331.16479999999996</v>
      </c>
      <c r="M370" s="195"/>
      <c r="O370" s="119"/>
      <c r="P370" s="76"/>
    </row>
    <row r="371" spans="8:16">
      <c r="H371" s="178">
        <f>'Weather Analysis '!AB12</f>
        <v>8.3828571428571195</v>
      </c>
      <c r="I371" s="178">
        <f>'Weather Analysis '!AB30</f>
        <v>87.242857142857247</v>
      </c>
      <c r="J371" s="10">
        <v>31</v>
      </c>
      <c r="K371" s="16">
        <v>0</v>
      </c>
      <c r="L371" s="119">
        <f t="shared" si="39"/>
        <v>342.46799999999996</v>
      </c>
      <c r="M371" s="195"/>
      <c r="O371" s="119"/>
      <c r="P371" s="76"/>
    </row>
    <row r="372" spans="8:16">
      <c r="H372" s="178">
        <f>'Weather Analysis '!AB13</f>
        <v>19.781428571428535</v>
      </c>
      <c r="I372" s="178">
        <f>'Weather Analysis '!AB31</f>
        <v>56.872857142857129</v>
      </c>
      <c r="J372" s="10">
        <v>31</v>
      </c>
      <c r="K372" s="16">
        <v>0</v>
      </c>
      <c r="L372" s="119">
        <f t="shared" si="39"/>
        <v>337.66399999999993</v>
      </c>
      <c r="M372" s="195"/>
      <c r="O372" s="119"/>
      <c r="P372" s="76"/>
    </row>
    <row r="373" spans="8:16">
      <c r="H373" s="178">
        <f>'Weather Analysis '!AB14</f>
        <v>88.242857142857019</v>
      </c>
      <c r="I373" s="178">
        <f>'Weather Analysis '!AB32</f>
        <v>27.774285714285952</v>
      </c>
      <c r="J373" s="10">
        <v>30</v>
      </c>
      <c r="K373" s="16">
        <v>1</v>
      </c>
      <c r="L373" s="119">
        <f t="shared" si="39"/>
        <v>331.23199999999997</v>
      </c>
      <c r="M373" s="195"/>
      <c r="O373" s="119"/>
      <c r="P373" s="76"/>
    </row>
    <row r="374" spans="8:16">
      <c r="H374" s="178">
        <f>'Weather Analysis '!AB15</f>
        <v>268.81714285714315</v>
      </c>
      <c r="I374" s="178">
        <f>'Weather Analysis '!AB33</f>
        <v>2.377142857142843</v>
      </c>
      <c r="J374" s="10">
        <v>31</v>
      </c>
      <c r="K374" s="16">
        <v>1</v>
      </c>
      <c r="L374" s="119">
        <f t="shared" si="39"/>
        <v>340.81599999999992</v>
      </c>
      <c r="M374" s="195"/>
      <c r="O374" s="119"/>
      <c r="P374" s="76"/>
    </row>
    <row r="375" spans="8:16">
      <c r="H375" s="178">
        <f>'Weather Analysis '!AB16</f>
        <v>489.02142857142826</v>
      </c>
      <c r="I375" s="178">
        <f>'Weather Analysis '!AB34</f>
        <v>0</v>
      </c>
      <c r="J375" s="10">
        <v>30</v>
      </c>
      <c r="K375" s="16">
        <v>1</v>
      </c>
      <c r="L375" s="119">
        <f t="shared" si="39"/>
        <v>334.39519999999999</v>
      </c>
      <c r="M375" s="195"/>
      <c r="O375" s="119"/>
      <c r="P375" s="76"/>
    </row>
    <row r="376" spans="8:16">
      <c r="H376" s="178">
        <f>'Weather Analysis '!AB17</f>
        <v>613.93285714285685</v>
      </c>
      <c r="I376" s="178">
        <f>'Weather Analysis '!AB35</f>
        <v>0</v>
      </c>
      <c r="J376" s="10">
        <v>31</v>
      </c>
      <c r="K376" s="16">
        <v>0</v>
      </c>
      <c r="L376" s="119">
        <f t="shared" si="39"/>
        <v>331.23200000000003</v>
      </c>
      <c r="M376" s="195"/>
      <c r="O376" s="119"/>
      <c r="P376" s="47"/>
    </row>
  </sheetData>
  <autoFilter ref="A1:R313"/>
  <mergeCells count="2">
    <mergeCell ref="G350:I350"/>
    <mergeCell ref="G364:I364"/>
  </mergeCells>
  <phoneticPr fontId="0" type="noConversion"/>
  <printOptions gridLines="1"/>
  <pageMargins left="0.70866141732283472" right="0.70866141732283472" top="0.74803149606299213" bottom="0.74803149606299213" header="0.31496062992125984" footer="0.31496062992125984"/>
  <pageSetup scale="26" fitToHeight="0" orientation="landscape" r:id="rId1"/>
  <headerFooter alignWithMargins="0">
    <oddFooter>&amp;L&amp;Z&amp;F</oddFooter>
  </headerFooter>
  <rowBreaks count="6" manualBreakCount="6">
    <brk id="61" max="16383" man="1"/>
    <brk id="121" max="16383" man="1"/>
    <brk id="181" max="16383" man="1"/>
    <brk id="241" max="16383" man="1"/>
    <brk id="289" max="16383" man="1"/>
    <brk id="347" max="16383" man="1"/>
  </rowBreaks>
  <colBreaks count="1" manualBreakCount="1">
    <brk id="18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K114"/>
  <sheetViews>
    <sheetView zoomScale="90" zoomScaleNormal="90" workbookViewId="0">
      <pane xSplit="1" ySplit="2" topLeftCell="B3" activePane="bottomRight" state="frozen"/>
      <selection activeCell="M35" sqref="M35"/>
      <selection pane="topRight" activeCell="M35" sqref="M35"/>
      <selection pane="bottomLeft" activeCell="M35" sqref="M35"/>
      <selection pane="bottomRight" activeCell="P9" sqref="P9"/>
    </sheetView>
  </sheetViews>
  <sheetFormatPr defaultRowHeight="12.75"/>
  <cols>
    <col min="1" max="1" width="21.7109375" customWidth="1"/>
    <col min="2" max="5" width="18" style="1" customWidth="1"/>
    <col min="6" max="6" width="15.7109375" style="1" customWidth="1"/>
    <col min="7" max="7" width="15.7109375" style="6" customWidth="1"/>
    <col min="8" max="16" width="14.85546875" style="6" customWidth="1"/>
    <col min="17" max="20" width="14.5703125" style="6" customWidth="1"/>
    <col min="21" max="27" width="14.5703125" customWidth="1"/>
    <col min="28" max="37" width="14.5703125" style="6" customWidth="1"/>
  </cols>
  <sheetData>
    <row r="1" spans="1:37" s="17" customFormat="1">
      <c r="A1" s="130"/>
      <c r="B1" s="270"/>
      <c r="C1" s="270"/>
      <c r="D1" s="270"/>
      <c r="E1" s="55"/>
      <c r="F1" s="55"/>
      <c r="G1" s="271"/>
      <c r="H1" s="281" t="s">
        <v>166</v>
      </c>
      <c r="I1" s="281"/>
      <c r="J1" s="281"/>
      <c r="K1" s="281"/>
      <c r="L1" s="281"/>
      <c r="M1" s="281"/>
      <c r="N1" s="281"/>
      <c r="O1" s="281"/>
      <c r="P1" s="271"/>
      <c r="Q1" s="281" t="s">
        <v>170</v>
      </c>
      <c r="R1" s="281"/>
      <c r="S1" s="281"/>
      <c r="T1" s="281"/>
      <c r="U1" s="281"/>
      <c r="V1" s="281"/>
      <c r="W1" s="281"/>
      <c r="X1" s="281"/>
      <c r="Y1" s="281"/>
      <c r="Z1" s="281"/>
      <c r="AB1" s="281" t="s">
        <v>171</v>
      </c>
      <c r="AC1" s="281"/>
      <c r="AD1" s="281"/>
      <c r="AE1" s="281"/>
      <c r="AF1" s="281"/>
      <c r="AG1" s="281"/>
      <c r="AH1" s="281"/>
      <c r="AI1" s="281"/>
      <c r="AJ1" s="281"/>
      <c r="AK1" s="281"/>
    </row>
    <row r="2" spans="1:37" ht="38.25">
      <c r="A2" s="131"/>
      <c r="B2" s="2" t="s">
        <v>7</v>
      </c>
      <c r="C2" s="2" t="s">
        <v>8</v>
      </c>
      <c r="D2" s="2" t="s">
        <v>41</v>
      </c>
      <c r="E2" s="2" t="s">
        <v>9</v>
      </c>
      <c r="F2" s="2" t="s">
        <v>0</v>
      </c>
      <c r="G2" s="7" t="s">
        <v>3</v>
      </c>
      <c r="H2" s="44" t="s">
        <v>1</v>
      </c>
      <c r="I2" s="45" t="s">
        <v>62</v>
      </c>
      <c r="J2" s="122" t="s">
        <v>109</v>
      </c>
      <c r="K2" s="71" t="s">
        <v>72</v>
      </c>
      <c r="L2" s="71" t="s">
        <v>71</v>
      </c>
      <c r="M2" s="124" t="s">
        <v>64</v>
      </c>
      <c r="N2" s="46" t="s">
        <v>2</v>
      </c>
      <c r="O2" s="73" t="s">
        <v>100</v>
      </c>
      <c r="Q2" s="266" t="s">
        <v>1</v>
      </c>
      <c r="R2" s="143" t="s">
        <v>62</v>
      </c>
      <c r="S2" s="98" t="s">
        <v>109</v>
      </c>
      <c r="T2" s="267" t="s">
        <v>72</v>
      </c>
      <c r="U2" s="267" t="s">
        <v>71</v>
      </c>
      <c r="V2" s="88" t="s">
        <v>64</v>
      </c>
      <c r="W2" s="88" t="s">
        <v>2</v>
      </c>
      <c r="X2" s="98" t="s">
        <v>100</v>
      </c>
      <c r="Y2" s="98" t="s">
        <v>10</v>
      </c>
      <c r="Z2" s="98" t="s">
        <v>167</v>
      </c>
      <c r="AB2" s="88" t="s">
        <v>1</v>
      </c>
      <c r="AC2" s="88" t="s">
        <v>62</v>
      </c>
      <c r="AD2" s="88" t="s">
        <v>109</v>
      </c>
      <c r="AE2" s="88" t="s">
        <v>72</v>
      </c>
      <c r="AF2" s="88" t="s">
        <v>71</v>
      </c>
      <c r="AG2" s="88" t="s">
        <v>64</v>
      </c>
      <c r="AH2" s="88" t="s">
        <v>2</v>
      </c>
      <c r="AI2" s="88" t="s">
        <v>100</v>
      </c>
      <c r="AJ2" s="88" t="s">
        <v>10</v>
      </c>
      <c r="AK2" s="88" t="s">
        <v>167</v>
      </c>
    </row>
    <row r="4" spans="1:37">
      <c r="A4" s="20"/>
      <c r="B4" s="65" t="s">
        <v>111</v>
      </c>
    </row>
    <row r="5" spans="1:37"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AB5"/>
      <c r="AC5"/>
      <c r="AD5"/>
      <c r="AE5"/>
      <c r="AF5"/>
      <c r="AG5"/>
      <c r="AH5"/>
      <c r="AI5"/>
      <c r="AJ5"/>
      <c r="AK5"/>
    </row>
    <row r="7" spans="1:37">
      <c r="A7">
        <f>'Purchased Power Model'!A319</f>
        <v>1998</v>
      </c>
      <c r="B7" s="6">
        <f>'Purchased Power Model'!G319</f>
        <v>1089938594.0000002</v>
      </c>
      <c r="C7" s="6">
        <f>'Purchased Power Model'!O319</f>
        <v>1099894820.1144037</v>
      </c>
      <c r="D7" s="33">
        <f>C7-B7</f>
        <v>9956226.1144034863</v>
      </c>
      <c r="E7" s="5">
        <f>D7/B7</f>
        <v>9.1346670071245171E-3</v>
      </c>
    </row>
    <row r="8" spans="1:37">
      <c r="A8">
        <f>'Purchased Power Model'!A320</f>
        <v>1999</v>
      </c>
      <c r="B8" s="6">
        <f>'Purchased Power Model'!G320</f>
        <v>1136636397.1000001</v>
      </c>
      <c r="C8" s="6">
        <f>'Purchased Power Model'!O320</f>
        <v>1148889978.6449847</v>
      </c>
      <c r="D8" s="33">
        <f t="shared" ref="D8:D23" si="0">C8-B8</f>
        <v>12253581.544984579</v>
      </c>
      <c r="E8" s="5">
        <f t="shared" ref="E8:E23" si="1">D8/B8</f>
        <v>1.0780564106734759E-2</v>
      </c>
    </row>
    <row r="9" spans="1:37">
      <c r="A9">
        <f>'Purchased Power Model'!A321</f>
        <v>2000</v>
      </c>
      <c r="B9" s="6">
        <f>'Purchased Power Model'!G321</f>
        <v>1173512817</v>
      </c>
      <c r="C9" s="6">
        <f>'Purchased Power Model'!O321</f>
        <v>1163148766.9247632</v>
      </c>
      <c r="D9" s="33">
        <f t="shared" si="0"/>
        <v>-10364050.075236797</v>
      </c>
      <c r="E9" s="5">
        <f t="shared" si="1"/>
        <v>-8.8316462548161476E-3</v>
      </c>
    </row>
    <row r="10" spans="1:37">
      <c r="A10">
        <f>'Purchased Power Model'!A322</f>
        <v>2001</v>
      </c>
      <c r="B10" s="6">
        <f>'Purchased Power Model'!G322</f>
        <v>1205847416.1772089</v>
      </c>
      <c r="C10" s="6">
        <f>'Purchased Power Model'!O322</f>
        <v>1208215976.5161841</v>
      </c>
      <c r="D10" s="33">
        <f t="shared" si="0"/>
        <v>2368560.3389751911</v>
      </c>
      <c r="E10" s="5">
        <f t="shared" si="1"/>
        <v>1.9642288959610065E-3</v>
      </c>
      <c r="F10" s="21"/>
    </row>
    <row r="11" spans="1:37">
      <c r="A11">
        <f>'Purchased Power Model'!A323</f>
        <v>2002</v>
      </c>
      <c r="B11" s="6">
        <f>'Purchased Power Model'!G323</f>
        <v>1286398646.9897749</v>
      </c>
      <c r="C11" s="6">
        <f>'Purchased Power Model'!O323</f>
        <v>1267277928.2729368</v>
      </c>
      <c r="D11" s="33">
        <f t="shared" si="0"/>
        <v>-19120718.716838121</v>
      </c>
      <c r="E11" s="5">
        <f>D11/B11</f>
        <v>-1.4863758417020555E-2</v>
      </c>
      <c r="F11" s="21"/>
      <c r="G11" s="24"/>
    </row>
    <row r="12" spans="1:37">
      <c r="A12">
        <f>'Purchased Power Model'!A324</f>
        <v>2003</v>
      </c>
      <c r="B12" s="6">
        <f>'Purchased Power Model'!G324</f>
        <v>1269973823.9361501</v>
      </c>
      <c r="C12" s="6">
        <f>'Purchased Power Model'!O324</f>
        <v>1269647330.304209</v>
      </c>
      <c r="D12" s="33">
        <f t="shared" si="0"/>
        <v>-326493.63194108009</v>
      </c>
      <c r="E12" s="5">
        <f t="shared" si="1"/>
        <v>-2.5708689879067547E-4</v>
      </c>
      <c r="F12" s="21">
        <f>1+(B12-G12)/G12</f>
        <v>1.0436131025051307</v>
      </c>
      <c r="G12" s="24">
        <f t="shared" ref="G12:G19" si="2">SUM(H12:N12)</f>
        <v>1216900996.0565405</v>
      </c>
      <c r="H12" s="134">
        <v>381172837.66807127</v>
      </c>
      <c r="I12" s="134">
        <v>178733408.91393787</v>
      </c>
      <c r="J12" s="134">
        <v>581134405.32007647</v>
      </c>
      <c r="K12" s="134">
        <v>65433585.883026376</v>
      </c>
      <c r="L12" s="134"/>
      <c r="M12" s="134">
        <f>6845381.3+378000</f>
        <v>7223381.2999999998</v>
      </c>
      <c r="N12" s="134">
        <v>3203376.9714285713</v>
      </c>
      <c r="Q12" s="6">
        <v>382708783.36944312</v>
      </c>
      <c r="R12" s="6">
        <v>179453619.7579014</v>
      </c>
      <c r="S12" s="6">
        <v>583476101.27415156</v>
      </c>
      <c r="T12" s="6">
        <v>65697252.191405617</v>
      </c>
      <c r="U12" s="6">
        <v>0</v>
      </c>
      <c r="V12" s="6">
        <v>7252488.0997525211</v>
      </c>
      <c r="W12" s="6">
        <v>3216285.0608906639</v>
      </c>
      <c r="X12" s="6">
        <v>0</v>
      </c>
      <c r="Y12" s="50">
        <f>SUM(Q12:X12)</f>
        <v>1221804529.7535446</v>
      </c>
      <c r="Z12" s="89">
        <f t="shared" ref="Z12:Z27" si="3">S12+U12</f>
        <v>583476101.27415156</v>
      </c>
      <c r="AB12" s="6">
        <v>382565073.67591983</v>
      </c>
      <c r="AC12" s="6">
        <v>179386233.73014942</v>
      </c>
      <c r="AD12" s="6">
        <v>583257002.11746633</v>
      </c>
      <c r="AE12" s="6">
        <v>65672582.436260134</v>
      </c>
      <c r="AF12" s="6">
        <v>0</v>
      </c>
      <c r="AG12" s="6">
        <v>7249764.7422352964</v>
      </c>
      <c r="AH12" s="6">
        <v>3215077.3244590233</v>
      </c>
      <c r="AI12" s="6">
        <v>0</v>
      </c>
      <c r="AJ12" s="6">
        <f>SUM(AB12:AI12)</f>
        <v>1221345734.0264902</v>
      </c>
      <c r="AK12" s="6">
        <f t="shared" ref="AK12:AK27" si="4">AD12+AF12</f>
        <v>583257002.11746633</v>
      </c>
    </row>
    <row r="13" spans="1:37">
      <c r="A13">
        <f>'Purchased Power Model'!A325</f>
        <v>2004</v>
      </c>
      <c r="B13" s="6">
        <f>'Purchased Power Model'!G325</f>
        <v>1294310409.8232</v>
      </c>
      <c r="C13" s="6">
        <f>'Purchased Power Model'!O325</f>
        <v>1309934926.8045564</v>
      </c>
      <c r="D13" s="33">
        <f t="shared" si="0"/>
        <v>15624516.981356382</v>
      </c>
      <c r="E13" s="5">
        <f t="shared" si="1"/>
        <v>1.207169227935875E-2</v>
      </c>
      <c r="F13" s="21">
        <f t="shared" ref="F13:F28" si="5">1+(B13-G13)/G13</f>
        <v>1.0356655363087206</v>
      </c>
      <c r="G13" s="24">
        <f t="shared" si="2"/>
        <v>1249737839.5310242</v>
      </c>
      <c r="H13" s="134">
        <v>385085949.09113443</v>
      </c>
      <c r="I13" s="134">
        <v>181654717.71144453</v>
      </c>
      <c r="J13" s="134">
        <v>606602562.82914591</v>
      </c>
      <c r="K13" s="134">
        <v>66067057.488522306</v>
      </c>
      <c r="L13" s="134"/>
      <c r="M13" s="134">
        <f>6727156.64981349+378000</f>
        <v>7105156.64981349</v>
      </c>
      <c r="N13" s="134">
        <v>3222395.7609637091</v>
      </c>
      <c r="Q13" s="6">
        <v>394861428.61821556</v>
      </c>
      <c r="R13" s="6">
        <v>186266057.01940164</v>
      </c>
      <c r="S13" s="6">
        <v>622001283.42128026</v>
      </c>
      <c r="T13" s="6">
        <v>67744182.21721682</v>
      </c>
      <c r="U13" s="6">
        <v>0</v>
      </c>
      <c r="V13" s="6">
        <v>7285522.3929180736</v>
      </c>
      <c r="W13" s="6">
        <v>3304196.8857874009</v>
      </c>
      <c r="X13" s="6">
        <v>0</v>
      </c>
      <c r="Y13" s="50">
        <f t="shared" ref="Y13:Y28" si="6">SUM(Q13:X13)</f>
        <v>1281462670.5548198</v>
      </c>
      <c r="Z13" s="89">
        <f t="shared" si="3"/>
        <v>622001283.42128026</v>
      </c>
      <c r="AB13" s="6">
        <v>394718973.48083562</v>
      </c>
      <c r="AC13" s="6">
        <v>186198857.35182515</v>
      </c>
      <c r="AD13" s="6">
        <v>621776882.47487652</v>
      </c>
      <c r="AE13" s="6">
        <v>67719741.980503365</v>
      </c>
      <c r="AF13" s="6">
        <v>0</v>
      </c>
      <c r="AG13" s="6">
        <v>7282893.9769266713</v>
      </c>
      <c r="AH13" s="6">
        <v>3303004.8224781472</v>
      </c>
      <c r="AI13" s="6">
        <v>0</v>
      </c>
      <c r="AJ13" s="6">
        <f t="shared" ref="AJ13:AJ28" si="7">SUM(AB13:AI13)</f>
        <v>1281000354.0874453</v>
      </c>
      <c r="AK13" s="6">
        <f t="shared" si="4"/>
        <v>621776882.47487652</v>
      </c>
    </row>
    <row r="14" spans="1:37">
      <c r="A14">
        <f>'Purchased Power Model'!A326</f>
        <v>2005</v>
      </c>
      <c r="B14" s="6">
        <f>'Purchased Power Model'!G326</f>
        <v>1358556812.9958501</v>
      </c>
      <c r="C14" s="6">
        <f>'Purchased Power Model'!O326</f>
        <v>1382738343.9530218</v>
      </c>
      <c r="D14" s="33">
        <f t="shared" si="0"/>
        <v>24181530.957171679</v>
      </c>
      <c r="E14" s="5">
        <f t="shared" si="1"/>
        <v>1.7799425630089967E-2</v>
      </c>
      <c r="F14" s="21">
        <f t="shared" si="5"/>
        <v>1.0413709405146025</v>
      </c>
      <c r="G14" s="24">
        <f t="shared" si="2"/>
        <v>1304584908.3560057</v>
      </c>
      <c r="H14" s="134">
        <v>408053980.68531799</v>
      </c>
      <c r="I14" s="134">
        <v>187375741.76912484</v>
      </c>
      <c r="J14" s="134">
        <v>627713059.1572262</v>
      </c>
      <c r="K14" s="134">
        <v>70553959.956197128</v>
      </c>
      <c r="L14" s="134"/>
      <c r="M14" s="134">
        <f>7324552.78813965+378000</f>
        <v>7702552.7881396497</v>
      </c>
      <c r="N14" s="134">
        <v>3185614</v>
      </c>
      <c r="Q14" s="6">
        <v>409065324.55348021</v>
      </c>
      <c r="R14" s="6">
        <v>187840144.31498969</v>
      </c>
      <c r="S14" s="6">
        <v>629268818.4032892</v>
      </c>
      <c r="T14" s="6">
        <v>70728824.84700501</v>
      </c>
      <c r="U14" s="6">
        <v>0</v>
      </c>
      <c r="V14" s="6">
        <v>7721643.2269056132</v>
      </c>
      <c r="W14" s="6">
        <v>3193509.4043771876</v>
      </c>
      <c r="X14" s="6">
        <v>0</v>
      </c>
      <c r="Y14" s="50">
        <f t="shared" si="6"/>
        <v>1307818264.7500467</v>
      </c>
      <c r="Z14" s="89">
        <f t="shared" si="3"/>
        <v>629268818.4032892</v>
      </c>
      <c r="AB14" s="6">
        <v>408921511.36946481</v>
      </c>
      <c r="AC14" s="6">
        <v>187774106.23349419</v>
      </c>
      <c r="AD14" s="6">
        <v>629047589.3062619</v>
      </c>
      <c r="AE14" s="6">
        <v>70703959.044668883</v>
      </c>
      <c r="AF14" s="6">
        <v>0</v>
      </c>
      <c r="AG14" s="6">
        <v>7718928.564890435</v>
      </c>
      <c r="AH14" s="6">
        <v>3192386.6772036538</v>
      </c>
      <c r="AI14" s="6">
        <v>0</v>
      </c>
      <c r="AJ14" s="6">
        <f t="shared" si="7"/>
        <v>1307358481.1959839</v>
      </c>
      <c r="AK14" s="6">
        <f t="shared" si="4"/>
        <v>629047589.3062619</v>
      </c>
    </row>
    <row r="15" spans="1:37">
      <c r="A15">
        <f>'Purchased Power Model'!A327</f>
        <v>2006</v>
      </c>
      <c r="B15" s="6">
        <f>'Purchased Power Model'!G327</f>
        <v>1372533120.3491502</v>
      </c>
      <c r="C15" s="6">
        <f>'Purchased Power Model'!O327</f>
        <v>1376587498.7546074</v>
      </c>
      <c r="D15" s="33">
        <f t="shared" si="0"/>
        <v>4054378.4054572582</v>
      </c>
      <c r="E15" s="5">
        <f t="shared" si="1"/>
        <v>2.9539384845051245E-3</v>
      </c>
      <c r="F15" s="21">
        <f t="shared" si="5"/>
        <v>1.0350321412678614</v>
      </c>
      <c r="G15" s="24">
        <f t="shared" si="2"/>
        <v>1326077776.3556862</v>
      </c>
      <c r="H15" s="134">
        <v>391947394.97747368</v>
      </c>
      <c r="I15" s="134">
        <v>189284333.47635177</v>
      </c>
      <c r="J15" s="134">
        <v>660327537.80390346</v>
      </c>
      <c r="K15" s="134">
        <v>73668917.559980094</v>
      </c>
      <c r="L15" s="134"/>
      <c r="M15" s="134">
        <f>7335287.53797697+378000</f>
        <v>7713287.53797697</v>
      </c>
      <c r="N15" s="134">
        <v>3136305</v>
      </c>
      <c r="Q15" s="6">
        <v>396047417.06764328</v>
      </c>
      <c r="R15" s="6">
        <v>191264369.46720377</v>
      </c>
      <c r="S15" s="6">
        <v>667234988.97320879</v>
      </c>
      <c r="T15" s="6">
        <v>74439541.866265297</v>
      </c>
      <c r="U15" s="6">
        <v>0</v>
      </c>
      <c r="V15" s="6">
        <v>7793973.4914972205</v>
      </c>
      <c r="W15" s="6">
        <v>3169112.7694769436</v>
      </c>
      <c r="X15" s="6">
        <v>0</v>
      </c>
      <c r="Y15" s="50">
        <f t="shared" si="6"/>
        <v>1339949403.6352952</v>
      </c>
      <c r="Z15" s="89">
        <f t="shared" si="3"/>
        <v>667234988.97320879</v>
      </c>
      <c r="AB15" s="6">
        <v>395910687.06043863</v>
      </c>
      <c r="AC15" s="6">
        <v>191198338.03387469</v>
      </c>
      <c r="AD15" s="6">
        <v>667004635.12940645</v>
      </c>
      <c r="AE15" s="6">
        <v>74413842.622545823</v>
      </c>
      <c r="AF15" s="6">
        <v>0</v>
      </c>
      <c r="AG15" s="6">
        <v>7791282.7277004616</v>
      </c>
      <c r="AH15" s="6">
        <v>3168018.6762115178</v>
      </c>
      <c r="AI15" s="6">
        <v>0</v>
      </c>
      <c r="AJ15" s="6">
        <f t="shared" si="7"/>
        <v>1339486804.2501776</v>
      </c>
      <c r="AK15" s="6">
        <f t="shared" si="4"/>
        <v>667004635.12940645</v>
      </c>
    </row>
    <row r="16" spans="1:37">
      <c r="A16">
        <f>'Purchased Power Model'!A328</f>
        <v>2007</v>
      </c>
      <c r="B16" s="6">
        <f>'Purchased Power Model'!G328</f>
        <v>1423569039</v>
      </c>
      <c r="C16" s="6">
        <f>'Purchased Power Model'!O328</f>
        <v>1403612103.1215837</v>
      </c>
      <c r="D16" s="33">
        <f t="shared" si="0"/>
        <v>-19956935.8784163</v>
      </c>
      <c r="E16" s="5">
        <f t="shared" si="1"/>
        <v>-1.4018944871430503E-2</v>
      </c>
      <c r="F16" s="21">
        <f t="shared" si="5"/>
        <v>1.0409802171429687</v>
      </c>
      <c r="G16" s="24">
        <f t="shared" si="2"/>
        <v>1367527466.4748852</v>
      </c>
      <c r="H16" s="134">
        <v>405071611.60313827</v>
      </c>
      <c r="I16" s="134">
        <v>192047824.57591051</v>
      </c>
      <c r="J16" s="134">
        <v>682785512.34885848</v>
      </c>
      <c r="K16" s="134">
        <v>77115460.578236669</v>
      </c>
      <c r="L16" s="134"/>
      <c r="M16" s="134">
        <f>7356113.36874121+378000</f>
        <v>7734113.3687412096</v>
      </c>
      <c r="N16" s="134">
        <v>2772944</v>
      </c>
      <c r="Q16" s="6">
        <v>399084340.1712333</v>
      </c>
      <c r="R16" s="6">
        <v>189209209.32688785</v>
      </c>
      <c r="S16" s="6">
        <v>672693414.86509275</v>
      </c>
      <c r="T16" s="6">
        <v>75975634.481189355</v>
      </c>
      <c r="U16" s="6">
        <v>0</v>
      </c>
      <c r="V16" s="6">
        <v>7619797.1967425989</v>
      </c>
      <c r="W16" s="6">
        <v>2731957.7449332336</v>
      </c>
      <c r="X16" s="6">
        <v>0</v>
      </c>
      <c r="Y16" s="50">
        <f t="shared" si="6"/>
        <v>1347314353.7860789</v>
      </c>
      <c r="Z16" s="89">
        <f t="shared" si="3"/>
        <v>672693414.86509275</v>
      </c>
      <c r="AB16" s="6">
        <v>398948097.81016147</v>
      </c>
      <c r="AC16" s="6">
        <v>189144615.68885094</v>
      </c>
      <c r="AD16" s="6">
        <v>672463765.81627429</v>
      </c>
      <c r="AE16" s="6">
        <v>75949697.357670039</v>
      </c>
      <c r="AF16" s="6">
        <v>0</v>
      </c>
      <c r="AG16" s="6">
        <v>7617195.8940692665</v>
      </c>
      <c r="AH16" s="6">
        <v>2731025.0890105325</v>
      </c>
      <c r="AI16" s="6">
        <v>0</v>
      </c>
      <c r="AJ16" s="6">
        <f t="shared" si="7"/>
        <v>1346854397.6560364</v>
      </c>
      <c r="AK16" s="6">
        <f t="shared" si="4"/>
        <v>672463765.81627429</v>
      </c>
    </row>
    <row r="17" spans="1:37">
      <c r="A17">
        <f>'Purchased Power Model'!A329</f>
        <v>2008</v>
      </c>
      <c r="B17" s="6">
        <f>'Purchased Power Model'!G329</f>
        <v>1421429683</v>
      </c>
      <c r="C17" s="6">
        <f>'Purchased Power Model'!O329</f>
        <v>1415940928.0522981</v>
      </c>
      <c r="D17" s="33">
        <f t="shared" si="0"/>
        <v>-5488754.947701931</v>
      </c>
      <c r="E17" s="5">
        <f t="shared" si="1"/>
        <v>-3.8614326219202299E-3</v>
      </c>
      <c r="F17" s="21">
        <f t="shared" si="5"/>
        <v>1.0370724843394783</v>
      </c>
      <c r="G17" s="24">
        <f t="shared" si="2"/>
        <v>1370617487.6535487</v>
      </c>
      <c r="H17" s="134">
        <v>405533476.47927278</v>
      </c>
      <c r="I17" s="134">
        <v>185031934.17948633</v>
      </c>
      <c r="J17" s="134">
        <v>693615296.4854753</v>
      </c>
      <c r="K17" s="134">
        <v>76733607.732911587</v>
      </c>
      <c r="L17" s="134"/>
      <c r="M17" s="134">
        <f>7547792.7764028+378000</f>
        <v>7925792.7764028003</v>
      </c>
      <c r="N17" s="134">
        <v>1777380</v>
      </c>
      <c r="Q17" s="6">
        <v>406116120.03040326</v>
      </c>
      <c r="R17" s="6">
        <v>185297775.76706338</v>
      </c>
      <c r="S17" s="6">
        <v>694611836.85242915</v>
      </c>
      <c r="T17" s="6">
        <v>76843853.481520802</v>
      </c>
      <c r="U17" s="6">
        <v>0</v>
      </c>
      <c r="V17" s="6">
        <v>7937180.0287915776</v>
      </c>
      <c r="W17" s="6">
        <v>1779933.6214763303</v>
      </c>
      <c r="X17" s="6">
        <v>0</v>
      </c>
      <c r="Y17" s="50">
        <f t="shared" si="6"/>
        <v>1372586699.7816846</v>
      </c>
      <c r="Z17" s="89">
        <f t="shared" si="3"/>
        <v>694611836.85242915</v>
      </c>
      <c r="AB17" s="6">
        <v>405979517.03648561</v>
      </c>
      <c r="AC17" s="6">
        <v>185235448.19697291</v>
      </c>
      <c r="AD17" s="6">
        <v>694378194.17772436</v>
      </c>
      <c r="AE17" s="6">
        <v>76818005.946956158</v>
      </c>
      <c r="AF17" s="6">
        <v>0</v>
      </c>
      <c r="AG17" s="6">
        <v>7934510.2442109631</v>
      </c>
      <c r="AH17" s="6">
        <v>1779334.9152204688</v>
      </c>
      <c r="AI17" s="6">
        <v>0</v>
      </c>
      <c r="AJ17" s="6">
        <f t="shared" si="7"/>
        <v>1372125010.5175705</v>
      </c>
      <c r="AK17" s="6">
        <f t="shared" si="4"/>
        <v>694378194.17772436</v>
      </c>
    </row>
    <row r="18" spans="1:37">
      <c r="A18">
        <f>'Purchased Power Model'!A330</f>
        <v>2009</v>
      </c>
      <c r="B18" s="6">
        <f>'Purchased Power Model'!G330</f>
        <v>1411764680.4000001</v>
      </c>
      <c r="C18" s="6">
        <f>'Purchased Power Model'!O330</f>
        <v>1417829607.4532056</v>
      </c>
      <c r="D18" s="33">
        <f t="shared" si="0"/>
        <v>6064927.0532054901</v>
      </c>
      <c r="E18" s="5">
        <f t="shared" si="1"/>
        <v>4.2959900735631759E-3</v>
      </c>
      <c r="F18" s="21">
        <f t="shared" si="5"/>
        <v>1.0377550255523305</v>
      </c>
      <c r="G18" s="24">
        <f t="shared" si="2"/>
        <v>1360402643.8210773</v>
      </c>
      <c r="H18" s="134">
        <v>397106489.36571515</v>
      </c>
      <c r="I18" s="134">
        <v>179794279.15883675</v>
      </c>
      <c r="J18" s="134">
        <v>697125703.11720777</v>
      </c>
      <c r="K18" s="134">
        <v>76507951.361122951</v>
      </c>
      <c r="L18" s="134"/>
      <c r="M18" s="134">
        <f>7543733.81819498+378000</f>
        <v>7921733.8181949798</v>
      </c>
      <c r="N18" s="134">
        <v>1946487</v>
      </c>
      <c r="Q18" s="6">
        <v>404726637.98600644</v>
      </c>
      <c r="R18" s="6">
        <v>183244384.26907262</v>
      </c>
      <c r="S18" s="6">
        <v>710502974.97509956</v>
      </c>
      <c r="T18" s="6">
        <v>77976076.34930177</v>
      </c>
      <c r="U18" s="6">
        <v>0</v>
      </c>
      <c r="V18" s="6">
        <v>8073745.4086412899</v>
      </c>
      <c r="W18" s="6">
        <v>1983838.4929236146</v>
      </c>
      <c r="X18" s="6">
        <v>0</v>
      </c>
      <c r="Y18" s="50">
        <f t="shared" si="6"/>
        <v>1386507657.4810452</v>
      </c>
      <c r="Z18" s="89">
        <f t="shared" si="3"/>
        <v>710502974.97509956</v>
      </c>
      <c r="AB18" s="6">
        <v>404591957.84599441</v>
      </c>
      <c r="AC18" s="6">
        <v>183183406.37186134</v>
      </c>
      <c r="AD18" s="6">
        <v>710266542.20500863</v>
      </c>
      <c r="AE18" s="6">
        <v>77950128.393583879</v>
      </c>
      <c r="AF18" s="6">
        <v>0</v>
      </c>
      <c r="AG18" s="6">
        <v>8071058.7232096912</v>
      </c>
      <c r="AH18" s="6">
        <v>1983178.3346317913</v>
      </c>
      <c r="AI18" s="6">
        <v>0</v>
      </c>
      <c r="AJ18" s="6">
        <f t="shared" si="7"/>
        <v>1386046271.8742895</v>
      </c>
      <c r="AK18" s="6">
        <f t="shared" si="4"/>
        <v>710266542.20500863</v>
      </c>
    </row>
    <row r="19" spans="1:37">
      <c r="A19">
        <f>'Purchased Power Model'!A331</f>
        <v>2010</v>
      </c>
      <c r="B19" s="6">
        <f>'Purchased Power Model'!G331</f>
        <v>1479129865.4622219</v>
      </c>
      <c r="C19" s="6">
        <f>'Purchased Power Model'!O331</f>
        <v>1459251936.1642647</v>
      </c>
      <c r="D19" s="33">
        <f t="shared" si="0"/>
        <v>-19877929.297957182</v>
      </c>
      <c r="E19" s="5">
        <f t="shared" si="1"/>
        <v>-1.3438934445249276E-2</v>
      </c>
      <c r="F19" s="21">
        <f t="shared" si="5"/>
        <v>1.037538637329158</v>
      </c>
      <c r="G19" s="24">
        <f t="shared" si="2"/>
        <v>1425614249.190577</v>
      </c>
      <c r="H19" s="134">
        <v>413251128.70022863</v>
      </c>
      <c r="I19" s="134">
        <v>185040277.853742</v>
      </c>
      <c r="J19" s="134">
        <v>734775050.79018271</v>
      </c>
      <c r="K19" s="134">
        <v>82593009.154977307</v>
      </c>
      <c r="L19" s="134"/>
      <c r="M19" s="134">
        <f>7576314.82508462+378000</f>
        <v>7954314.8250846202</v>
      </c>
      <c r="N19" s="134">
        <v>2000467.8663616404</v>
      </c>
      <c r="Q19" s="6">
        <v>406976126.65675443</v>
      </c>
      <c r="R19" s="6">
        <v>182230538.10709137</v>
      </c>
      <c r="S19" s="6">
        <v>723617876.31444907</v>
      </c>
      <c r="T19" s="6">
        <v>81338877.550172612</v>
      </c>
      <c r="U19" s="6">
        <v>0</v>
      </c>
      <c r="V19" s="6">
        <v>7833532.7187203076</v>
      </c>
      <c r="W19" s="6">
        <v>1970091.8090988186</v>
      </c>
      <c r="X19" s="6">
        <v>0</v>
      </c>
      <c r="Y19" s="50">
        <f t="shared" si="6"/>
        <v>1403967043.1562862</v>
      </c>
      <c r="Z19" s="89">
        <f t="shared" si="3"/>
        <v>723617876.31444907</v>
      </c>
      <c r="AB19" s="6">
        <v>406842354.22255206</v>
      </c>
      <c r="AC19" s="6">
        <v>182170639.20621762</v>
      </c>
      <c r="AD19" s="6">
        <v>723380024.21844995</v>
      </c>
      <c r="AE19" s="6">
        <v>81312141.584762156</v>
      </c>
      <c r="AF19" s="6">
        <v>0</v>
      </c>
      <c r="AG19" s="6">
        <v>7830957.8484231345</v>
      </c>
      <c r="AH19" s="6">
        <v>1969444.2429158331</v>
      </c>
      <c r="AI19" s="6">
        <v>0</v>
      </c>
      <c r="AJ19" s="6">
        <f t="shared" si="7"/>
        <v>1403505561.3233209</v>
      </c>
      <c r="AK19" s="6">
        <f t="shared" si="4"/>
        <v>723380024.21844995</v>
      </c>
    </row>
    <row r="20" spans="1:37">
      <c r="A20">
        <f>'Purchased Power Model'!A332</f>
        <v>2011</v>
      </c>
      <c r="B20" s="6">
        <f>'Purchased Power Model'!G332</f>
        <v>1488841980.79</v>
      </c>
      <c r="C20" s="6">
        <f>'Purchased Power Model'!O332</f>
        <v>1477371327.4041255</v>
      </c>
      <c r="D20" s="33">
        <f t="shared" si="0"/>
        <v>-11470653.38587451</v>
      </c>
      <c r="E20" s="5">
        <f t="shared" si="1"/>
        <v>-7.7044129154579749E-3</v>
      </c>
      <c r="F20" s="21">
        <f t="shared" si="5"/>
        <v>1.035913477033221</v>
      </c>
      <c r="G20" s="24">
        <f>SUM(H20:O20)</f>
        <v>1437226190.9883945</v>
      </c>
      <c r="H20" s="107">
        <v>408768579.48301852</v>
      </c>
      <c r="I20" s="107">
        <v>187070265.18729451</v>
      </c>
      <c r="J20" s="107">
        <v>725123828.05401099</v>
      </c>
      <c r="K20" s="107">
        <v>84249636.77408801</v>
      </c>
      <c r="L20" s="107"/>
      <c r="M20" s="107">
        <f>7561684.2810266+378000</f>
        <v>7939684.2810265999</v>
      </c>
      <c r="N20" s="107">
        <v>2043853.1914563591</v>
      </c>
      <c r="O20" s="56">
        <v>22030344.017499771</v>
      </c>
      <c r="Q20" s="6">
        <v>404981068.8080669</v>
      </c>
      <c r="R20" s="6">
        <v>185336935.71451801</v>
      </c>
      <c r="S20" s="6">
        <v>718405077.20753002</v>
      </c>
      <c r="T20" s="6">
        <v>83469008.28486748</v>
      </c>
      <c r="U20" s="6">
        <v>0</v>
      </c>
      <c r="V20" s="6">
        <v>7866117.8659949796</v>
      </c>
      <c r="W20" s="6">
        <v>2024915.5427005149</v>
      </c>
      <c r="X20" s="6">
        <v>21826218.340216391</v>
      </c>
      <c r="Y20" s="50">
        <f t="shared" si="6"/>
        <v>1423909341.7638943</v>
      </c>
      <c r="Z20" s="89">
        <f t="shared" si="3"/>
        <v>718405077.20753002</v>
      </c>
      <c r="AB20" s="6">
        <v>404849610.57602406</v>
      </c>
      <c r="AC20" s="6">
        <v>185276774.71496072</v>
      </c>
      <c r="AD20" s="6">
        <v>718171880.47658587</v>
      </c>
      <c r="AE20" s="6">
        <v>83441913.960948095</v>
      </c>
      <c r="AF20" s="6">
        <v>0</v>
      </c>
      <c r="AG20" s="6">
        <v>7863564.497387534</v>
      </c>
      <c r="AH20" s="6">
        <v>2024258.2482297807</v>
      </c>
      <c r="AI20" s="6">
        <v>21819133.475524735</v>
      </c>
      <c r="AJ20" s="6">
        <f t="shared" si="7"/>
        <v>1423447135.9496605</v>
      </c>
      <c r="AK20" s="6">
        <f t="shared" si="4"/>
        <v>718171880.47658587</v>
      </c>
    </row>
    <row r="21" spans="1:37">
      <c r="A21">
        <f>'Purchased Power Model'!A333</f>
        <v>2012</v>
      </c>
      <c r="B21" s="6">
        <f>'Purchased Power Model'!G333</f>
        <v>1499089218.14588</v>
      </c>
      <c r="C21" s="6">
        <f>'Purchased Power Model'!O333</f>
        <v>1487980478.6985331</v>
      </c>
      <c r="D21" s="33">
        <f t="shared" si="0"/>
        <v>-11108739.447346926</v>
      </c>
      <c r="E21" s="5">
        <f t="shared" si="1"/>
        <v>-7.4103257583871887E-3</v>
      </c>
      <c r="F21" s="21">
        <f t="shared" si="5"/>
        <v>1.0331607472300131</v>
      </c>
      <c r="G21" s="24">
        <f>SUM(H21:O21)</f>
        <v>1450973841.3553348</v>
      </c>
      <c r="H21" s="107">
        <v>409922519.07816052</v>
      </c>
      <c r="I21" s="107">
        <v>190189481.93352211</v>
      </c>
      <c r="J21" s="107">
        <v>716491036.71370065</v>
      </c>
      <c r="K21" s="107">
        <v>86740766.777832463</v>
      </c>
      <c r="L21" s="107">
        <v>3552539</v>
      </c>
      <c r="M21" s="259">
        <f>9744477</f>
        <v>9744477</v>
      </c>
      <c r="N21" s="107">
        <v>2250008.2896429896</v>
      </c>
      <c r="O21" s="56">
        <v>32083012.562475972</v>
      </c>
      <c r="Q21" s="6">
        <v>407326343.27507192</v>
      </c>
      <c r="R21" s="6">
        <v>188984948.61803567</v>
      </c>
      <c r="S21" s="6">
        <v>711953260.41190326</v>
      </c>
      <c r="T21" s="6">
        <v>86191408.620207027</v>
      </c>
      <c r="U21" s="6">
        <v>3530039.5876425887</v>
      </c>
      <c r="V21" s="6">
        <v>9682761.982591236</v>
      </c>
      <c r="W21" s="6">
        <v>2235758.2379711368</v>
      </c>
      <c r="X21" s="6">
        <v>31879820.161404185</v>
      </c>
      <c r="Y21" s="50">
        <f t="shared" si="6"/>
        <v>1441784340.8948269</v>
      </c>
      <c r="Z21" s="89">
        <f t="shared" si="3"/>
        <v>715483299.99954581</v>
      </c>
      <c r="AB21" s="6">
        <v>407195415.07912087</v>
      </c>
      <c r="AC21" s="6">
        <v>188924202.58775067</v>
      </c>
      <c r="AD21" s="6">
        <v>711724415.02164996</v>
      </c>
      <c r="AE21" s="6">
        <v>86163703.842886731</v>
      </c>
      <c r="AF21" s="6">
        <v>3528904.91584324</v>
      </c>
      <c r="AG21" s="6">
        <v>9679649.621755423</v>
      </c>
      <c r="AH21" s="6">
        <v>2235039.5911231898</v>
      </c>
      <c r="AI21" s="6">
        <v>31869572.929890957</v>
      </c>
      <c r="AJ21" s="6">
        <f t="shared" si="7"/>
        <v>1441320903.5900207</v>
      </c>
      <c r="AK21" s="6">
        <f t="shared" si="4"/>
        <v>715253319.93749321</v>
      </c>
    </row>
    <row r="22" spans="1:37">
      <c r="A22">
        <f>'Purchased Power Model'!A334</f>
        <v>2013</v>
      </c>
      <c r="B22" s="6">
        <f>'Purchased Power Model'!G334</f>
        <v>1499180241.3507881</v>
      </c>
      <c r="C22" s="6">
        <f>'Purchased Power Model'!O334</f>
        <v>1499189177.40167</v>
      </c>
      <c r="D22" s="33">
        <f t="shared" si="0"/>
        <v>8936.0508818626404</v>
      </c>
      <c r="E22" s="5">
        <f t="shared" si="1"/>
        <v>5.9606247703819119E-6</v>
      </c>
      <c r="F22" s="21">
        <f t="shared" si="5"/>
        <v>1.0349407434398405</v>
      </c>
      <c r="G22" s="24">
        <f>SUM(H22:O22)</f>
        <v>1448566259.3279991</v>
      </c>
      <c r="H22" s="107">
        <v>409442944.51723653</v>
      </c>
      <c r="I22" s="107">
        <v>194737948.70414755</v>
      </c>
      <c r="J22" s="107">
        <v>705737127.583372</v>
      </c>
      <c r="K22" s="107">
        <v>90202678.814972758</v>
      </c>
      <c r="L22" s="107">
        <v>7664745</v>
      </c>
      <c r="M22" s="107">
        <f>7696318.64358178</f>
        <v>7696318.6435817797</v>
      </c>
      <c r="N22" s="107">
        <v>2352595.6525390111</v>
      </c>
      <c r="O22" s="107">
        <v>30731900.412149169</v>
      </c>
      <c r="Q22" s="6">
        <v>409684963.29392093</v>
      </c>
      <c r="R22" s="6">
        <v>194853056.90359393</v>
      </c>
      <c r="S22" s="6">
        <v>706154283.71847141</v>
      </c>
      <c r="T22" s="6">
        <v>90255996.968998343</v>
      </c>
      <c r="U22" s="6">
        <v>7669275.575586509</v>
      </c>
      <c r="V22" s="6">
        <v>7700867.8821216924</v>
      </c>
      <c r="W22" s="6">
        <v>2353986.254891512</v>
      </c>
      <c r="X22" s="6">
        <v>30750065.817225829</v>
      </c>
      <c r="Y22" s="50">
        <f t="shared" si="6"/>
        <v>1449422496.4148104</v>
      </c>
      <c r="Z22" s="89">
        <f t="shared" si="3"/>
        <v>713823559.29405797</v>
      </c>
      <c r="AB22" s="6">
        <v>409554196.21289527</v>
      </c>
      <c r="AC22" s="6">
        <v>194790861.88116661</v>
      </c>
      <c r="AD22" s="6">
        <v>705928886.78495157</v>
      </c>
      <c r="AE22" s="6">
        <v>90227188.215135857</v>
      </c>
      <c r="AF22" s="6">
        <v>7666827.6244278001</v>
      </c>
      <c r="AG22" s="6">
        <v>7698409.8470348967</v>
      </c>
      <c r="AH22" s="6">
        <v>2353234.8875265694</v>
      </c>
      <c r="AI22" s="6">
        <v>30740250.723413415</v>
      </c>
      <c r="AJ22" s="6">
        <f t="shared" si="7"/>
        <v>1448959856.1765521</v>
      </c>
      <c r="AK22" s="6">
        <f t="shared" si="4"/>
        <v>713595714.40937936</v>
      </c>
    </row>
    <row r="23" spans="1:37">
      <c r="A23" s="28">
        <f>'Purchased Power Model'!A335</f>
        <v>2014</v>
      </c>
      <c r="B23" s="6">
        <f>'Purchased Power Model'!G335</f>
        <v>1489942245.1447198</v>
      </c>
      <c r="C23" s="6">
        <f>'Purchased Power Model'!O335</f>
        <v>1495163736.2230701</v>
      </c>
      <c r="D23" s="33">
        <f t="shared" si="0"/>
        <v>5221491.0783503056</v>
      </c>
      <c r="E23" s="5">
        <f t="shared" si="1"/>
        <v>3.5044922683181829E-3</v>
      </c>
      <c r="F23" s="21">
        <f t="shared" si="5"/>
        <v>1.0295000685758222</v>
      </c>
      <c r="G23" s="24">
        <f>SUM(H23:O23)</f>
        <v>1447248320.4453387</v>
      </c>
      <c r="H23" s="107">
        <v>410104641.97000003</v>
      </c>
      <c r="I23" s="107">
        <v>197096101.55000001</v>
      </c>
      <c r="J23" s="107">
        <f>699842687.668589</f>
        <v>699842687.668589</v>
      </c>
      <c r="K23" s="107">
        <v>91205251.099502489</v>
      </c>
      <c r="L23" s="107">
        <v>7004823</v>
      </c>
      <c r="M23" s="107">
        <v>7720856.5263360236</v>
      </c>
      <c r="N23" s="107">
        <v>2544974</v>
      </c>
      <c r="O23" s="107">
        <v>31728984.630911194</v>
      </c>
      <c r="Q23" s="6">
        <v>413130778.63187444</v>
      </c>
      <c r="R23" s="6">
        <v>198550461.43226784</v>
      </c>
      <c r="S23" s="6">
        <v>705006783.36017978</v>
      </c>
      <c r="T23" s="6">
        <v>91878248.978243545</v>
      </c>
      <c r="U23" s="6">
        <v>7056511.153512273</v>
      </c>
      <c r="V23" s="6">
        <v>7777828.2467320273</v>
      </c>
      <c r="W23" s="6">
        <v>2563753.2049558917</v>
      </c>
      <c r="X23" s="6">
        <v>31963110.836297266</v>
      </c>
      <c r="Y23" s="50">
        <f t="shared" si="6"/>
        <v>1457927475.844063</v>
      </c>
      <c r="Z23" s="89">
        <f t="shared" si="3"/>
        <v>712063294.51369202</v>
      </c>
      <c r="AB23" s="6">
        <v>412998988.12191689</v>
      </c>
      <c r="AC23" s="6">
        <v>198487122.97404131</v>
      </c>
      <c r="AD23" s="6">
        <v>704781883.13897073</v>
      </c>
      <c r="AE23" s="6">
        <v>91848939.418382257</v>
      </c>
      <c r="AF23" s="6">
        <v>7054260.095853189</v>
      </c>
      <c r="AG23" s="6">
        <v>7775347.0857921578</v>
      </c>
      <c r="AH23" s="6">
        <v>2562935.3565655942</v>
      </c>
      <c r="AI23" s="6">
        <v>31952914.465329953</v>
      </c>
      <c r="AJ23" s="6">
        <f t="shared" si="7"/>
        <v>1457462390.6568518</v>
      </c>
      <c r="AK23" s="6">
        <f t="shared" si="4"/>
        <v>711836143.23482394</v>
      </c>
    </row>
    <row r="24" spans="1:37" s="66" customFormat="1">
      <c r="A24" s="132">
        <f>'Purchased Power Model'!A336</f>
        <v>2015</v>
      </c>
      <c r="B24" s="6">
        <f>'Purchased Power Model'!G336</f>
        <v>1485911224.8694601</v>
      </c>
      <c r="C24" s="6">
        <f>'Purchased Power Model'!O336</f>
        <v>1497170187.5310473</v>
      </c>
      <c r="D24" s="175">
        <f t="shared" ref="D24:D28" si="8">C24-B24</f>
        <v>11258962.661587238</v>
      </c>
      <c r="E24" s="176">
        <f t="shared" ref="E24:E28" si="9">D24/B24</f>
        <v>7.5771435555151406E-3</v>
      </c>
      <c r="F24" s="21">
        <f t="shared" si="5"/>
        <v>1.0311440927655202</v>
      </c>
      <c r="G24" s="120">
        <f>SUM(H24:O24)</f>
        <v>1441031602.9491651</v>
      </c>
      <c r="H24" s="107">
        <v>404728026.47000003</v>
      </c>
      <c r="I24" s="107">
        <v>196078596.03999996</v>
      </c>
      <c r="J24" s="107">
        <f>696649002.417916</f>
        <v>696649002.41791606</v>
      </c>
      <c r="K24" s="107">
        <v>92984875.477611929</v>
      </c>
      <c r="L24" s="107">
        <v>6790407</v>
      </c>
      <c r="M24" s="107">
        <v>7608120.2710495964</v>
      </c>
      <c r="N24" s="107">
        <v>2649180</v>
      </c>
      <c r="O24" s="107">
        <v>33543395.272587463</v>
      </c>
      <c r="P24" s="6"/>
      <c r="Q24" s="6">
        <v>410084262.19754767</v>
      </c>
      <c r="R24" s="6">
        <v>198673531.68277457</v>
      </c>
      <c r="S24" s="6">
        <v>705868567.24236453</v>
      </c>
      <c r="T24" s="6">
        <v>94215452.259009287</v>
      </c>
      <c r="U24" s="6">
        <v>6880272.3372122869</v>
      </c>
      <c r="V24" s="6">
        <v>7708807.3570680786</v>
      </c>
      <c r="W24" s="6">
        <v>2684239.6737479866</v>
      </c>
      <c r="X24" s="6">
        <v>33987313.954842605</v>
      </c>
      <c r="Y24" s="50">
        <f t="shared" si="6"/>
        <v>1460102446.7045672</v>
      </c>
      <c r="Z24" s="89">
        <f t="shared" si="3"/>
        <v>712748839.57957685</v>
      </c>
      <c r="AB24" s="6">
        <v>409953846.6697427</v>
      </c>
      <c r="AC24" s="6">
        <v>198610349.26910079</v>
      </c>
      <c r="AD24" s="6">
        <v>705644086.00705814</v>
      </c>
      <c r="AE24" s="6">
        <v>94185489.738945976</v>
      </c>
      <c r="AF24" s="6">
        <v>6878084.2640989935</v>
      </c>
      <c r="AG24" s="6">
        <v>7706355.7921754606</v>
      </c>
      <c r="AH24" s="6">
        <v>2683386.0283729341</v>
      </c>
      <c r="AI24" s="6">
        <v>33976505.265271492</v>
      </c>
      <c r="AJ24" s="6">
        <f t="shared" si="7"/>
        <v>1459638103.0347664</v>
      </c>
      <c r="AK24" s="6">
        <f t="shared" si="4"/>
        <v>712522170.27115715</v>
      </c>
    </row>
    <row r="25" spans="1:37" s="66" customFormat="1">
      <c r="A25" s="132">
        <f>'Purchased Power Model'!A337</f>
        <v>2016</v>
      </c>
      <c r="B25" s="6">
        <f>'Purchased Power Model'!G337</f>
        <v>1494900180.9573333</v>
      </c>
      <c r="C25" s="6">
        <f>'Purchased Power Model'!O337</f>
        <v>1511872715.1311004</v>
      </c>
      <c r="D25" s="175">
        <f t="shared" si="8"/>
        <v>16972534.17376709</v>
      </c>
      <c r="E25" s="176">
        <f t="shared" si="9"/>
        <v>1.1353623733524392E-2</v>
      </c>
      <c r="F25" s="21">
        <f t="shared" si="5"/>
        <v>1.0349181239851488</v>
      </c>
      <c r="G25" s="120">
        <f t="shared" ref="G25:G26" si="10">SUM(H25:O25)</f>
        <v>1444462268.378233</v>
      </c>
      <c r="H25" s="107">
        <v>404436333.48000002</v>
      </c>
      <c r="I25" s="107">
        <v>193116425.72</v>
      </c>
      <c r="J25" s="107">
        <f>701389229.386005</f>
        <v>701389229.38600504</v>
      </c>
      <c r="K25" s="107">
        <v>95179111.572139308</v>
      </c>
      <c r="L25" s="107">
        <v>6445968.4499999993</v>
      </c>
      <c r="M25" s="107">
        <v>7638393.9926951174</v>
      </c>
      <c r="N25" s="107">
        <v>2729041</v>
      </c>
      <c r="O25" s="107">
        <v>33527764.777393315</v>
      </c>
      <c r="P25" s="6"/>
      <c r="Q25" s="6">
        <v>407231131.65660024</v>
      </c>
      <c r="R25" s="6">
        <v>194450928.55714557</v>
      </c>
      <c r="S25" s="6">
        <v>706236077.15190184</v>
      </c>
      <c r="T25" s="6">
        <v>95836832.91280961</v>
      </c>
      <c r="U25" s="6">
        <v>6490512.3729345929</v>
      </c>
      <c r="V25" s="6">
        <v>7691177.9980767556</v>
      </c>
      <c r="W25" s="6">
        <v>2747899.6389977359</v>
      </c>
      <c r="X25" s="6">
        <v>33759453.496008337</v>
      </c>
      <c r="Y25" s="50">
        <f t="shared" si="6"/>
        <v>1454444013.7844748</v>
      </c>
      <c r="Z25" s="89">
        <f t="shared" si="3"/>
        <v>712726589.52483642</v>
      </c>
      <c r="AB25" s="6">
        <v>407101593.75500685</v>
      </c>
      <c r="AC25" s="6">
        <v>194389074.82522258</v>
      </c>
      <c r="AD25" s="6">
        <v>706011427.48159885</v>
      </c>
      <c r="AE25" s="6">
        <v>95806347.762569785</v>
      </c>
      <c r="AF25" s="6">
        <v>6488447.7779473783</v>
      </c>
      <c r="AG25" s="6">
        <v>7688731.4781984761</v>
      </c>
      <c r="AH25" s="6">
        <v>2747025.5477867401</v>
      </c>
      <c r="AI25" s="6">
        <v>33748714.806294166</v>
      </c>
      <c r="AJ25" s="6">
        <f t="shared" si="7"/>
        <v>1453981363.4346249</v>
      </c>
      <c r="AK25" s="6">
        <f t="shared" si="4"/>
        <v>712499875.25954628</v>
      </c>
    </row>
    <row r="26" spans="1:37" s="66" customFormat="1">
      <c r="A26" s="132">
        <f>'Purchased Power Model'!A338</f>
        <v>2017</v>
      </c>
      <c r="B26" s="6">
        <f>'Purchased Power Model'!G338</f>
        <v>1454405278.97843</v>
      </c>
      <c r="C26" s="6">
        <f>'Purchased Power Model'!O338</f>
        <v>1476990377.0329261</v>
      </c>
      <c r="D26" s="175">
        <f t="shared" si="8"/>
        <v>22585098.05449605</v>
      </c>
      <c r="E26" s="176">
        <f t="shared" si="9"/>
        <v>1.552875142914756E-2</v>
      </c>
      <c r="F26" s="21">
        <f t="shared" si="5"/>
        <v>1.0321027016413957</v>
      </c>
      <c r="G26" s="120">
        <f t="shared" si="10"/>
        <v>1409167204.644876</v>
      </c>
      <c r="H26" s="107">
        <v>396801470.26067001</v>
      </c>
      <c r="I26" s="107">
        <v>189981988.00681001</v>
      </c>
      <c r="J26" s="107">
        <f>678663685.704072</f>
        <v>678663685.704072</v>
      </c>
      <c r="K26" s="107">
        <v>95093183.776119411</v>
      </c>
      <c r="L26" s="107">
        <v>6231611.0999999996</v>
      </c>
      <c r="M26" s="107">
        <v>5530664.9507881589</v>
      </c>
      <c r="N26" s="107">
        <v>2679469.7439999999</v>
      </c>
      <c r="O26" s="107">
        <v>34185131.102416404</v>
      </c>
      <c r="P26" s="6"/>
      <c r="Q26" s="6">
        <v>407809250.51670772</v>
      </c>
      <c r="R26" s="6">
        <v>195252331.32285249</v>
      </c>
      <c r="S26" s="6">
        <v>697490684.29123807</v>
      </c>
      <c r="T26" s="6">
        <v>97731190.30912666</v>
      </c>
      <c r="U26" s="6">
        <v>6404483.9615466632</v>
      </c>
      <c r="V26" s="6">
        <v>5684092.6697128182</v>
      </c>
      <c r="W26" s="6">
        <v>2753801.6614832631</v>
      </c>
      <c r="X26" s="6">
        <v>35133470.358699992</v>
      </c>
      <c r="Y26" s="50">
        <f t="shared" si="6"/>
        <v>1448259305.0913677</v>
      </c>
      <c r="Z26" s="89">
        <f t="shared" si="3"/>
        <v>703895168.25278473</v>
      </c>
      <c r="AB26" s="6">
        <v>407678619.3763901</v>
      </c>
      <c r="AC26" s="6">
        <v>195189787.29115611</v>
      </c>
      <c r="AD26" s="6">
        <v>697267261.19984317</v>
      </c>
      <c r="AE26" s="6">
        <v>97699884.651350364</v>
      </c>
      <c r="AF26" s="6">
        <v>6402432.4508416392</v>
      </c>
      <c r="AG26" s="6">
        <v>5682271.9177162042</v>
      </c>
      <c r="AH26" s="6">
        <v>2752919.5523825195</v>
      </c>
      <c r="AI26" s="6">
        <v>35122216.26063709</v>
      </c>
      <c r="AJ26" s="6">
        <f t="shared" si="7"/>
        <v>1447795392.7003171</v>
      </c>
      <c r="AK26" s="6">
        <f t="shared" si="4"/>
        <v>703669693.65068483</v>
      </c>
    </row>
    <row r="27" spans="1:37" s="66" customFormat="1">
      <c r="A27" s="132">
        <f>'Purchased Power Model'!A339</f>
        <v>2018</v>
      </c>
      <c r="B27" s="6">
        <f>'Purchased Power Model'!G339</f>
        <v>1518504308.5151181</v>
      </c>
      <c r="C27" s="6">
        <f>'Purchased Power Model'!O339</f>
        <v>1501723626.6727302</v>
      </c>
      <c r="D27" s="175">
        <f t="shared" si="8"/>
        <v>-16780681.842387915</v>
      </c>
      <c r="E27" s="176">
        <f t="shared" si="9"/>
        <v>-1.1050796331817485E-2</v>
      </c>
      <c r="F27" s="21">
        <f>1+(B27-G27)/G27</f>
        <v>1.0349211598819079</v>
      </c>
      <c r="G27" s="120">
        <f>SUM(H27:O27)</f>
        <v>1467265688.8070495</v>
      </c>
      <c r="H27" s="107">
        <v>413689290.93846411</v>
      </c>
      <c r="I27" s="107">
        <v>197978623.11967275</v>
      </c>
      <c r="J27" s="107">
        <f>706516405.718624</f>
        <v>706516405.718624</v>
      </c>
      <c r="K27" s="107">
        <v>98366841.697951272</v>
      </c>
      <c r="L27" s="107">
        <v>8585533.4200000018</v>
      </c>
      <c r="M27" s="107">
        <v>3498478.6549680098</v>
      </c>
      <c r="N27" s="107">
        <v>2629283.8172274092</v>
      </c>
      <c r="O27" s="107">
        <v>36001231.440141872</v>
      </c>
      <c r="P27" s="6"/>
      <c r="Q27" s="6">
        <v>403738251.85376137</v>
      </c>
      <c r="R27" s="6">
        <v>193216370.24111673</v>
      </c>
      <c r="S27" s="6">
        <v>689521592.16824007</v>
      </c>
      <c r="T27" s="6">
        <v>96000688.384785905</v>
      </c>
      <c r="U27" s="6">
        <v>8379013.7432841016</v>
      </c>
      <c r="V27" s="6">
        <v>3414324.9226980503</v>
      </c>
      <c r="W27" s="6">
        <v>2566038.0272030835</v>
      </c>
      <c r="X27" s="6">
        <v>35135244.166587889</v>
      </c>
      <c r="Y27" s="50">
        <f t="shared" si="6"/>
        <v>1431971523.5076771</v>
      </c>
      <c r="Z27" s="89">
        <f t="shared" si="3"/>
        <v>697900605.91152418</v>
      </c>
      <c r="AB27" s="6">
        <v>403607809.94729745</v>
      </c>
      <c r="AC27" s="6">
        <v>193153944.86631373</v>
      </c>
      <c r="AD27" s="6">
        <v>689298817.85687006</v>
      </c>
      <c r="AE27" s="6">
        <v>95969671.970667943</v>
      </c>
      <c r="AF27" s="6">
        <v>8376306.6068610772</v>
      </c>
      <c r="AG27" s="6">
        <v>3413221.8044025726</v>
      </c>
      <c r="AH27" s="6">
        <v>2565208.9779594447</v>
      </c>
      <c r="AI27" s="6">
        <v>35123892.48462037</v>
      </c>
      <c r="AJ27" s="6">
        <f t="shared" si="7"/>
        <v>1431508874.5149925</v>
      </c>
      <c r="AK27" s="6">
        <f t="shared" si="4"/>
        <v>697675124.46373117</v>
      </c>
    </row>
    <row r="28" spans="1:37" s="66" customFormat="1">
      <c r="A28" s="132">
        <f>'Purchased Power Model'!A340</f>
        <v>2019</v>
      </c>
      <c r="B28" s="6">
        <f>'Purchased Power Model'!G340</f>
        <v>1483499736.2105448</v>
      </c>
      <c r="C28" s="6">
        <f>'Purchased Power Model'!O340</f>
        <v>1474774778.776154</v>
      </c>
      <c r="D28" s="175">
        <f t="shared" si="8"/>
        <v>-8724957.4343907833</v>
      </c>
      <c r="E28" s="176">
        <f t="shared" si="9"/>
        <v>-5.8813339978595718E-3</v>
      </c>
      <c r="F28" s="21">
        <f t="shared" si="5"/>
        <v>1.0316086650656224</v>
      </c>
      <c r="G28" s="120">
        <f>SUM(H28:O28)</f>
        <v>1438045051.8183432</v>
      </c>
      <c r="H28" s="107">
        <v>406423263.28629249</v>
      </c>
      <c r="I28" s="107">
        <v>198022374.59018135</v>
      </c>
      <c r="J28" s="107">
        <v>683561941.53615892</v>
      </c>
      <c r="K28" s="107">
        <v>96183865.579993218</v>
      </c>
      <c r="L28" s="107">
        <v>8606063.6499999985</v>
      </c>
      <c r="M28" s="107">
        <v>3499974.1182055282</v>
      </c>
      <c r="N28" s="107">
        <v>2771071.01088</v>
      </c>
      <c r="O28" s="107">
        <v>38976498.046631292</v>
      </c>
      <c r="P28" s="6"/>
      <c r="Q28" s="6">
        <v>404885436.47475064</v>
      </c>
      <c r="R28" s="6">
        <v>197273096.32675812</v>
      </c>
      <c r="S28" s="6">
        <v>680975475.71098936</v>
      </c>
      <c r="T28" s="6">
        <v>95819924.485355482</v>
      </c>
      <c r="U28" s="6">
        <v>8573499.9741026312</v>
      </c>
      <c r="V28" s="6">
        <v>3486730.8948842105</v>
      </c>
      <c r="W28" s="6">
        <v>2760585.8155622906</v>
      </c>
      <c r="X28" s="6">
        <v>38829018.536645919</v>
      </c>
      <c r="Y28" s="50">
        <f t="shared" si="6"/>
        <v>1432603768.2190485</v>
      </c>
      <c r="Z28" s="89">
        <f>S28+U28</f>
        <v>689548975.68509197</v>
      </c>
      <c r="AB28" s="6">
        <v>404754261.80705774</v>
      </c>
      <c r="AC28" s="6">
        <v>197209183.84553695</v>
      </c>
      <c r="AD28" s="6">
        <v>680754853.47149575</v>
      </c>
      <c r="AE28" s="6">
        <v>95788880.773677036</v>
      </c>
      <c r="AF28" s="6">
        <v>8570722.3340376783</v>
      </c>
      <c r="AG28" s="6">
        <v>3485601.2648079768</v>
      </c>
      <c r="AH28" s="6">
        <v>2759691.4417607849</v>
      </c>
      <c r="AI28" s="6">
        <v>38816438.722346514</v>
      </c>
      <c r="AJ28" s="6">
        <f t="shared" si="7"/>
        <v>1432139633.6607206</v>
      </c>
      <c r="AK28" s="6">
        <f>AD28+AF28</f>
        <v>689325575.80553341</v>
      </c>
    </row>
    <row r="29" spans="1:37" s="66" customFormat="1">
      <c r="A29" s="66">
        <f>'Purchased Power Model'!A341</f>
        <v>2020</v>
      </c>
      <c r="B29" s="6">
        <f>'Purchased Power Model'!G341</f>
        <v>0</v>
      </c>
      <c r="C29" s="6">
        <f>'Purchased Power Model'!O341</f>
        <v>1481145610.687959</v>
      </c>
      <c r="D29" s="126"/>
      <c r="E29" s="126"/>
      <c r="F29" s="126"/>
      <c r="G29" s="120">
        <f>C29/F32</f>
        <v>1430063907.5450876</v>
      </c>
      <c r="H29" s="120"/>
      <c r="I29" s="120"/>
      <c r="J29" s="120"/>
      <c r="K29" s="120"/>
      <c r="T29" s="128"/>
    </row>
    <row r="30" spans="1:37" s="66" customFormat="1">
      <c r="A30" s="66">
        <f>'Purchased Power Model'!A342</f>
        <v>2021</v>
      </c>
      <c r="B30" s="6">
        <f>'Purchased Power Model'!G342</f>
        <v>0</v>
      </c>
      <c r="C30" s="6">
        <f>'Purchased Power Model'!O342</f>
        <v>1482761311.6562459</v>
      </c>
      <c r="D30" s="126"/>
      <c r="E30" s="126"/>
      <c r="F30" s="126"/>
      <c r="G30" s="120">
        <f>C30/F32</f>
        <v>1431623886.2692995</v>
      </c>
      <c r="H30" s="120"/>
      <c r="I30" s="120"/>
      <c r="J30" s="120"/>
      <c r="K30" s="254"/>
      <c r="T30" s="128"/>
    </row>
    <row r="31" spans="1:37" s="66" customFormat="1">
      <c r="B31" s="126"/>
      <c r="C31" s="129"/>
      <c r="D31" s="126"/>
      <c r="E31" s="126"/>
      <c r="F31" s="126"/>
      <c r="G31" s="120"/>
      <c r="H31" s="180"/>
      <c r="I31" s="180"/>
      <c r="J31" s="180"/>
      <c r="K31" s="255"/>
      <c r="T31" s="128"/>
    </row>
    <row r="32" spans="1:37">
      <c r="A32" s="17" t="s">
        <v>14</v>
      </c>
      <c r="C32" s="48"/>
      <c r="D32" s="54"/>
      <c r="F32" s="272">
        <f>AVERAGE(F12:F28)</f>
        <v>1.0357198743869849</v>
      </c>
      <c r="K32" s="256"/>
    </row>
    <row r="33" spans="1:24">
      <c r="A33" s="132"/>
      <c r="C33" s="48"/>
      <c r="D33" s="54"/>
      <c r="E33" s="54"/>
      <c r="K33" s="256"/>
    </row>
    <row r="34" spans="1:24">
      <c r="A34" s="28"/>
      <c r="C34" s="253"/>
      <c r="D34" s="198"/>
      <c r="F34" s="21"/>
      <c r="K34" s="256"/>
    </row>
    <row r="35" spans="1:24">
      <c r="A35" s="18" t="s">
        <v>16</v>
      </c>
      <c r="B35" s="12"/>
      <c r="D35" s="198"/>
      <c r="K35" s="256"/>
    </row>
    <row r="36" spans="1:24">
      <c r="D36" s="198"/>
      <c r="K36" s="256"/>
    </row>
    <row r="38" spans="1:24">
      <c r="A38">
        <f t="shared" ref="A38:A50" si="11">A11</f>
        <v>2002</v>
      </c>
      <c r="H38" s="24" t="e">
        <f>H11/'Rate Class Customer Model'!B4</f>
        <v>#DIV/0!</v>
      </c>
      <c r="I38" s="24" t="e">
        <f>I11/'Rate Class Customer Model'!C4</f>
        <v>#DIV/0!</v>
      </c>
      <c r="J38" s="24" t="e">
        <f>J11/'Rate Class Customer Model'!D4</f>
        <v>#DIV/0!</v>
      </c>
      <c r="K38" s="24" t="e">
        <f>K11/'Rate Class Customer Model'!E4</f>
        <v>#DIV/0!</v>
      </c>
      <c r="L38" s="24"/>
      <c r="M38" s="24"/>
      <c r="N38" s="24"/>
    </row>
    <row r="39" spans="1:24">
      <c r="A39">
        <f t="shared" si="11"/>
        <v>2003</v>
      </c>
      <c r="H39" s="24">
        <f>H12/'Rate Class Customer Model'!B5</f>
        <v>9714.9988573631344</v>
      </c>
      <c r="I39" s="24">
        <f>I12/'Rate Class Customer Model'!C5</f>
        <v>35987.800043076182</v>
      </c>
      <c r="J39" s="24">
        <f>J12/'Rate Class Customer Model'!D5</f>
        <v>899588.86272457661</v>
      </c>
      <c r="K39" s="24">
        <f>K12/'Rate Class Customer Model'!E5</f>
        <v>65433585.883026376</v>
      </c>
      <c r="L39" s="24"/>
      <c r="M39" s="24"/>
      <c r="N39" s="24"/>
      <c r="Q39" s="24">
        <f>Q12/'Rate Class Customer Model'!B5</f>
        <v>9754.1456938090032</v>
      </c>
      <c r="R39" s="24">
        <f>R12/'Rate Class Customer Model'!C5</f>
        <v>36132.813804067533</v>
      </c>
      <c r="S39" s="24">
        <f>S12/'Rate Class Customer Model'!D5</f>
        <v>903213.77906215412</v>
      </c>
      <c r="T39" s="24">
        <f>T12/'Rate Class Customer Model'!E5</f>
        <v>65697252.191405617</v>
      </c>
      <c r="U39" s="24"/>
      <c r="V39" s="24">
        <f>V12/'Rate Class Customer Model'!G5</f>
        <v>590.04093070435022</v>
      </c>
      <c r="W39" s="24">
        <f>W12/'Rate Class Customer Model'!H5</f>
        <v>7014.7983879839994</v>
      </c>
      <c r="X39" s="24"/>
    </row>
    <row r="40" spans="1:24">
      <c r="A40">
        <f t="shared" si="11"/>
        <v>2004</v>
      </c>
      <c r="H40" s="24">
        <f>H13/'Rate Class Customer Model'!B6</f>
        <v>9501.0226515786544</v>
      </c>
      <c r="I40" s="24">
        <f>I13/'Rate Class Customer Model'!C6</f>
        <v>36323.678806527598</v>
      </c>
      <c r="J40" s="24">
        <f>J13/'Rate Class Customer Model'!D6</f>
        <v>960574.1295790117</v>
      </c>
      <c r="K40" s="24">
        <f>K13/'Rate Class Customer Model'!E6</f>
        <v>66067057.488522306</v>
      </c>
      <c r="L40" s="24"/>
      <c r="M40" s="24">
        <f>M13/'Rate Class Customer Model'!G6</f>
        <v>565.33709817102886</v>
      </c>
      <c r="N40" s="24"/>
      <c r="Q40" s="24">
        <f>Q13/'Rate Class Customer Model'!B6</f>
        <v>9742.2079055097474</v>
      </c>
      <c r="R40" s="24">
        <f>R13/'Rate Class Customer Model'!C6</f>
        <v>37245.762251430038</v>
      </c>
      <c r="S40" s="24">
        <f>S13/'Rate Class Customer Model'!D6</f>
        <v>984958.48522768053</v>
      </c>
      <c r="T40" s="24">
        <f>T13/'Rate Class Customer Model'!E6</f>
        <v>67744182.21721682</v>
      </c>
      <c r="U40" s="24"/>
      <c r="V40" s="24">
        <f>V13/'Rate Class Customer Model'!G6</f>
        <v>579.68828715134259</v>
      </c>
      <c r="W40" s="24">
        <f>W13/'Rate Class Customer Model'!H6</f>
        <v>6743.2589505865326</v>
      </c>
      <c r="X40" s="24"/>
    </row>
    <row r="41" spans="1:24">
      <c r="A41">
        <f t="shared" si="11"/>
        <v>2005</v>
      </c>
      <c r="H41" s="24">
        <f>H14/'Rate Class Customer Model'!B7</f>
        <v>9769.4190762253365</v>
      </c>
      <c r="I41" s="24">
        <f>I14/'Rate Class Customer Model'!C7</f>
        <v>37019.804755334357</v>
      </c>
      <c r="J41" s="24">
        <f>J14/'Rate Class Customer Model'!D7</f>
        <v>1008374.3922204437</v>
      </c>
      <c r="K41" s="24">
        <f>K14/'Rate Class Customer Model'!E7</f>
        <v>70553959.956197128</v>
      </c>
      <c r="L41" s="24"/>
      <c r="M41" s="24">
        <f>M14/'Rate Class Customer Model'!G7</f>
        <v>595.50448708026204</v>
      </c>
      <c r="N41" s="24"/>
      <c r="Q41" s="24">
        <f>Q14/'Rate Class Customer Model'!B7</f>
        <v>9793.6321523032966</v>
      </c>
      <c r="R41" s="24">
        <f>R14/'Rate Class Customer Model'!C7</f>
        <v>37111.556715398532</v>
      </c>
      <c r="S41" s="24">
        <f>S14/'Rate Class Customer Model'!D7</f>
        <v>1010873.6038607055</v>
      </c>
      <c r="T41" s="24">
        <f>T14/'Rate Class Customer Model'!E7</f>
        <v>70728824.84700501</v>
      </c>
      <c r="U41" s="24"/>
      <c r="V41" s="24">
        <f>V14/'Rate Class Customer Model'!G7</f>
        <v>596.98041879513028</v>
      </c>
      <c r="W41" s="24">
        <f>W14/'Rate Class Customer Model'!H7</f>
        <v>6510.7225369565494</v>
      </c>
      <c r="X41" s="24"/>
    </row>
    <row r="42" spans="1:24">
      <c r="A42">
        <f t="shared" si="11"/>
        <v>2006</v>
      </c>
      <c r="H42" s="24">
        <f>H15/'Rate Class Customer Model'!B8</f>
        <v>9186.0876540100471</v>
      </c>
      <c r="I42" s="24">
        <f>I15/'Rate Class Customer Model'!C8</f>
        <v>36976.818416947011</v>
      </c>
      <c r="J42" s="24">
        <f>J15/'Rate Class Customer Model'!D8</f>
        <v>1062473.9144069243</v>
      </c>
      <c r="K42" s="24">
        <f>K15/'Rate Class Customer Model'!E8</f>
        <v>73668917.559980094</v>
      </c>
      <c r="L42" s="24"/>
      <c r="M42" s="24">
        <f>M15/'Rate Class Customer Model'!G8</f>
        <v>585.38212256494285</v>
      </c>
      <c r="N42" s="24"/>
      <c r="Q42" s="24">
        <f>Q15/'Rate Class Customer Model'!B8</f>
        <v>9282.180044943887</v>
      </c>
      <c r="R42" s="24">
        <f>R15/'Rate Class Customer Model'!C8</f>
        <v>37363.619743544397</v>
      </c>
      <c r="S42" s="24">
        <f>S15/'Rate Class Customer Model'!D8</f>
        <v>1073588.0755803841</v>
      </c>
      <c r="T42" s="24">
        <f>T15/'Rate Class Customer Model'!E8</f>
        <v>74439541.866265297</v>
      </c>
      <c r="U42" s="24"/>
      <c r="V42" s="24">
        <f>V15/'Rate Class Customer Model'!G8</f>
        <v>591.50559644042198</v>
      </c>
      <c r="W42" s="24">
        <f>W15/'Rate Class Customer Model'!H8</f>
        <v>5979.4580556168748</v>
      </c>
      <c r="X42" s="24"/>
    </row>
    <row r="43" spans="1:24">
      <c r="A43">
        <f t="shared" si="11"/>
        <v>2007</v>
      </c>
      <c r="H43" s="24">
        <f>H16/'Rate Class Customer Model'!B9</f>
        <v>9337.4275117996913</v>
      </c>
      <c r="I43" s="24">
        <f>I16/'Rate Class Customer Model'!C9</f>
        <v>37283.600189460398</v>
      </c>
      <c r="J43" s="24">
        <f>J16/'Rate Class Customer Model'!D9</f>
        <v>1088972.1090093437</v>
      </c>
      <c r="K43" s="24">
        <f>K16/'Rate Class Customer Model'!E9</f>
        <v>77115460.578236669</v>
      </c>
      <c r="L43" s="24"/>
      <c r="M43" s="24">
        <f>M16/'Rate Class Customer Model'!G9</f>
        <v>579.00904875472281</v>
      </c>
      <c r="N43" s="24"/>
      <c r="Q43" s="24">
        <f>Q16/'Rate Class Customer Model'!B9</f>
        <v>9199.4131178321004</v>
      </c>
      <c r="R43" s="24">
        <f>R16/'Rate Class Customer Model'!C9</f>
        <v>36732.519768372716</v>
      </c>
      <c r="S43" s="24">
        <f>S16/'Rate Class Customer Model'!D9</f>
        <v>1072876.259752939</v>
      </c>
      <c r="T43" s="24">
        <f>T16/'Rate Class Customer Model'!E9</f>
        <v>75975634.481189355</v>
      </c>
      <c r="U43" s="24"/>
      <c r="V43" s="24">
        <f>V16/'Rate Class Customer Model'!G9</f>
        <v>570.45084759443</v>
      </c>
      <c r="W43" s="24">
        <f>W16/'Rate Class Customer Model'!H9</f>
        <v>4935.7863503762128</v>
      </c>
      <c r="X43" s="24"/>
    </row>
    <row r="44" spans="1:24">
      <c r="A44">
        <f t="shared" si="11"/>
        <v>2008</v>
      </c>
      <c r="F44" s="21"/>
      <c r="H44" s="24">
        <f>H17/'Rate Class Customer Model'!B10</f>
        <v>9180.8853328339046</v>
      </c>
      <c r="I44" s="24">
        <f>I17/'Rate Class Customer Model'!C10</f>
        <v>35696.331470914694</v>
      </c>
      <c r="J44" s="24">
        <f>J17/'Rate Class Customer Model'!D10</f>
        <v>1072048.3716931613</v>
      </c>
      <c r="K44" s="24">
        <f>K17/'Rate Class Customer Model'!E10</f>
        <v>76733607.732911587</v>
      </c>
      <c r="L44" s="24"/>
      <c r="M44" s="24">
        <f>M17/'Rate Class Customer Model'!G10</f>
        <v>588.90610219584653</v>
      </c>
      <c r="N44" s="24">
        <f>N17/'Rate Class Customer Model'!H10</f>
        <v>3331.5463917525772</v>
      </c>
      <c r="Q44" s="24">
        <f>Q17/'Rate Class Customer Model'!B10</f>
        <v>9194.0758188063173</v>
      </c>
      <c r="R44" s="24">
        <f>R17/'Rate Class Customer Model'!C10</f>
        <v>35747.617587935441</v>
      </c>
      <c r="S44" s="24">
        <f>S17/'Rate Class Customer Model'!D10</f>
        <v>1073588.619555532</v>
      </c>
      <c r="T44" s="24">
        <f>T17/'Rate Class Customer Model'!E10</f>
        <v>76843853.481520802</v>
      </c>
      <c r="U44" s="24"/>
      <c r="V44" s="24">
        <f>V17/'Rate Class Customer Model'!G10</f>
        <v>589.75220335041627</v>
      </c>
      <c r="W44" s="24">
        <f>W17/'Rate Class Customer Model'!H10</f>
        <v>3336.332936225549</v>
      </c>
      <c r="X44" s="24"/>
    </row>
    <row r="45" spans="1:24">
      <c r="A45">
        <f t="shared" si="11"/>
        <v>2009</v>
      </c>
      <c r="F45" s="21"/>
      <c r="H45" s="24">
        <f>H18/'Rate Class Customer Model'!B11</f>
        <v>8853.51011896005</v>
      </c>
      <c r="I45" s="24">
        <f>I18/'Rate Class Customer Model'!C11</f>
        <v>34230.229254419181</v>
      </c>
      <c r="J45" s="24">
        <f>J18/'Rate Class Customer Model'!D11</f>
        <v>1052265.2122523892</v>
      </c>
      <c r="K45" s="24">
        <f>K18/'Rate Class Customer Model'!E11</f>
        <v>76507951.361122951</v>
      </c>
      <c r="L45" s="24"/>
      <c r="M45" s="24">
        <f>M18/'Rate Class Customer Model'!G11</f>
        <v>584.71610704125919</v>
      </c>
      <c r="N45" s="24">
        <f>N18/'Rate Class Customer Model'!H11</f>
        <v>3645.1067415730336</v>
      </c>
      <c r="Q45" s="24">
        <f>Q18/'Rate Class Customer Model'!B11</f>
        <v>9023.4017342431143</v>
      </c>
      <c r="R45" s="24">
        <f>R18/'Rate Class Customer Model'!C11</f>
        <v>34887.079346801067</v>
      </c>
      <c r="S45" s="24">
        <f>S18/'Rate Class Customer Model'!D11</f>
        <v>1072457.3207171315</v>
      </c>
      <c r="T45" s="24">
        <f>T18/'Rate Class Customer Model'!E11</f>
        <v>77976076.34930177</v>
      </c>
      <c r="U45" s="24"/>
      <c r="V45" s="24">
        <f>V18/'Rate Class Customer Model'!G11</f>
        <v>595.93633072344926</v>
      </c>
      <c r="W45" s="24">
        <f>W18/'Rate Class Customer Model'!H11</f>
        <v>3715.0533575348586</v>
      </c>
      <c r="X45" s="24"/>
    </row>
    <row r="46" spans="1:24">
      <c r="A46">
        <f t="shared" si="11"/>
        <v>2010</v>
      </c>
      <c r="F46" s="21"/>
      <c r="H46" s="24">
        <f>H19/'Rate Class Customer Model'!B12</f>
        <v>9084.8383903497324</v>
      </c>
      <c r="I46" s="24">
        <f>I19/'Rate Class Customer Model'!C12</f>
        <v>34635.522293634443</v>
      </c>
      <c r="J46" s="24">
        <f>J19/'Rate Class Customer Model'!D12</f>
        <v>1108257.9951586467</v>
      </c>
      <c r="K46" s="24">
        <f>K19/'Rate Class Customer Model'!E12</f>
        <v>82593009.154977307</v>
      </c>
      <c r="L46" s="24"/>
      <c r="M46" s="24">
        <f>M19/'Rate Class Customer Model'!G12</f>
        <v>583.22504858192769</v>
      </c>
      <c r="N46" s="24">
        <f>N19/'Rate Class Customer Model'!H12</f>
        <v>3728.7378683348375</v>
      </c>
      <c r="Q46" s="24">
        <f>Q19/'Rate Class Customer Model'!B12</f>
        <v>8946.8898755002301</v>
      </c>
      <c r="R46" s="24">
        <f>R19/'Rate Class Customer Model'!C12</f>
        <v>34109.600020045182</v>
      </c>
      <c r="S46" s="24">
        <f>S19/'Rate Class Customer Model'!D12</f>
        <v>1091429.6776990183</v>
      </c>
      <c r="T46" s="24">
        <f>T19/'Rate Class Customer Model'!E12</f>
        <v>81338877.550172612</v>
      </c>
      <c r="U46" s="24"/>
      <c r="V46" s="24">
        <f>V19/'Rate Class Customer Model'!G12</f>
        <v>574.36908155004642</v>
      </c>
      <c r="W46" s="24">
        <f>W19/'Rate Class Customer Model'!H12</f>
        <v>3672.1189358785064</v>
      </c>
      <c r="X46" s="24"/>
    </row>
    <row r="47" spans="1:24">
      <c r="A47">
        <f t="shared" si="11"/>
        <v>2011</v>
      </c>
      <c r="F47" s="21"/>
      <c r="H47" s="24">
        <f>H20/'Rate Class Customer Model'!B13</f>
        <v>8848.9539655154022</v>
      </c>
      <c r="I47" s="24">
        <f>I20/'Rate Class Customer Model'!C13</f>
        <v>34633.02141762372</v>
      </c>
      <c r="J47" s="24">
        <f>J20/'Rate Class Customer Model'!D13</f>
        <v>1088774.5165976142</v>
      </c>
      <c r="K47" s="24">
        <f>K20/'Rate Class Customer Model'!E13</f>
        <v>84249636.77408801</v>
      </c>
      <c r="L47" s="24"/>
      <c r="M47" s="24">
        <f>M20/'Rate Class Customer Model'!G13</f>
        <v>580.49236198330107</v>
      </c>
      <c r="N47" s="24">
        <f>N20/'Rate Class Customer Model'!H13</f>
        <v>4095.8981792712607</v>
      </c>
      <c r="O47" s="24">
        <f>O20/'Rate Class Customer Model'!I13</f>
        <v>22030344.017499771</v>
      </c>
      <c r="Q47" s="24">
        <f>Q20/'Rate Class Customer Model'!B13</f>
        <v>8766.9625667417167</v>
      </c>
      <c r="R47" s="24">
        <f>R20/'Rate Class Customer Model'!C13</f>
        <v>34312.123616498749</v>
      </c>
      <c r="S47" s="24">
        <f>S20/'Rate Class Customer Model'!D13</f>
        <v>1078686.3021134085</v>
      </c>
      <c r="T47" s="24">
        <f>T20/'Rate Class Customer Model'!E13</f>
        <v>83469008.28486748</v>
      </c>
      <c r="U47" s="24"/>
      <c r="V47" s="24">
        <f>V20/'Rate Class Customer Model'!G13</f>
        <v>575.1137171263008</v>
      </c>
      <c r="W47" s="24">
        <f>W20/'Rate Class Customer Model'!H13</f>
        <v>4057.9469793597491</v>
      </c>
      <c r="X47" s="24">
        <f>X20/'Rate Class Customer Model'!I13</f>
        <v>21826218.340216391</v>
      </c>
    </row>
    <row r="48" spans="1:24">
      <c r="A48">
        <f t="shared" si="11"/>
        <v>2012</v>
      </c>
      <c r="F48" s="21"/>
      <c r="H48" s="24">
        <f>H21/'Rate Class Customer Model'!B14</f>
        <v>8744.733908849008</v>
      </c>
      <c r="I48" s="24">
        <f>I21/'Rate Class Customer Model'!C14</f>
        <v>34874.756016048792</v>
      </c>
      <c r="J48" s="24">
        <f>J21/'Rate Class Customer Model'!D14</f>
        <v>1074199.4553428795</v>
      </c>
      <c r="K48" s="24">
        <f>K21/'Rate Class Customer Model'!E14</f>
        <v>86740766.777832463</v>
      </c>
      <c r="L48" s="24">
        <f>L21/'Rate Class Customer Model'!F14</f>
        <v>1776269.5</v>
      </c>
      <c r="M48" s="24">
        <f>M21/'Rate Class Customer Model'!G14</f>
        <v>709.43737031778971</v>
      </c>
      <c r="N48" s="24">
        <f>N21/'Rate Class Customer Model'!H14</f>
        <v>4772.0218232088855</v>
      </c>
      <c r="O48" s="24">
        <f>O21/'Rate Class Customer Model'!I14</f>
        <v>32083012.562475972</v>
      </c>
      <c r="Q48" s="24">
        <f>Q21/'Rate Class Customer Model'!B14</f>
        <v>8689.3505973157535</v>
      </c>
      <c r="R48" s="24">
        <f>R21/'Rate Class Customer Model'!C14</f>
        <v>34653.882574133248</v>
      </c>
      <c r="S48" s="24">
        <f>S21/'Rate Class Customer Model'!D14</f>
        <v>1067396.192521594</v>
      </c>
      <c r="T48" s="24">
        <f>T21/'Rate Class Customer Model'!E14</f>
        <v>86191408.620207027</v>
      </c>
      <c r="U48" s="24">
        <f>U21/'Rate Class Customer Model'!F14</f>
        <v>1765019.7938212943</v>
      </c>
      <c r="V48" s="24">
        <f>V21/'Rate Class Customer Model'!G14</f>
        <v>704.94426723390018</v>
      </c>
      <c r="W48" s="24">
        <f>W21/'Rate Class Customer Model'!H14</f>
        <v>4741.7990200872464</v>
      </c>
      <c r="X48" s="24">
        <f>X21/'Rate Class Customer Model'!I14</f>
        <v>31879820.161404185</v>
      </c>
    </row>
    <row r="49" spans="1:37">
      <c r="A49">
        <f t="shared" si="11"/>
        <v>2013</v>
      </c>
      <c r="F49" s="21"/>
      <c r="H49" s="24">
        <f>H22/'Rate Class Customer Model'!B15</f>
        <v>8601.381129306259</v>
      </c>
      <c r="I49" s="24">
        <f>I22/'Rate Class Customer Model'!C15</f>
        <v>35387.597438514909</v>
      </c>
      <c r="J49" s="24">
        <f>J22/'Rate Class Customer Model'!D15</f>
        <v>1056492.7059631317</v>
      </c>
      <c r="K49" s="24">
        <f>K22/'Rate Class Customer Model'!E15</f>
        <v>90202678.814972758</v>
      </c>
      <c r="L49" s="24">
        <f>L22/'Rate Class Customer Model'!F15</f>
        <v>3832372.5</v>
      </c>
      <c r="M49" s="24">
        <f>M22/'Rate Class Customer Model'!G15</f>
        <v>556.07229822490365</v>
      </c>
      <c r="N49" s="24">
        <f>N22/'Rate Class Customer Model'!H15</f>
        <v>4743.1363962480063</v>
      </c>
      <c r="O49" s="24">
        <f>O22/'Rate Class Customer Model'!I15</f>
        <v>30731900.412149169</v>
      </c>
      <c r="Q49" s="24">
        <f>Q22/'Rate Class Customer Model'!B15</f>
        <v>8606.4653437654069</v>
      </c>
      <c r="R49" s="24">
        <f>R22/'Rate Class Customer Model'!C15</f>
        <v>35408.514792584756</v>
      </c>
      <c r="S49" s="24">
        <f>S22/'Rate Class Customer Model'!D15</f>
        <v>1057117.1911953164</v>
      </c>
      <c r="T49" s="24">
        <f>T22/'Rate Class Customer Model'!E15</f>
        <v>90255996.968998343</v>
      </c>
      <c r="U49" s="24">
        <f>U22/'Rate Class Customer Model'!F15</f>
        <v>3834637.7877932545</v>
      </c>
      <c r="V49" s="24">
        <f>V22/'Rate Class Customer Model'!G15</f>
        <v>556.40098855689405</v>
      </c>
      <c r="W49" s="24">
        <f>W22/'Rate Class Customer Model'!H15</f>
        <v>4745.9400300232101</v>
      </c>
      <c r="X49" s="24">
        <f>X22/'Rate Class Customer Model'!I15</f>
        <v>30750065.817225829</v>
      </c>
    </row>
    <row r="50" spans="1:37">
      <c r="A50">
        <f t="shared" si="11"/>
        <v>2014</v>
      </c>
      <c r="F50" s="21"/>
      <c r="H50" s="24">
        <f>H23/'Rate Class Customer Model'!B16</f>
        <v>8510.0723580373724</v>
      </c>
      <c r="I50" s="24">
        <f>I23/'Rate Class Customer Model'!C16</f>
        <v>35535.22068872262</v>
      </c>
      <c r="J50" s="24">
        <f>J23/'Rate Class Customer Model'!D16</f>
        <v>1027669.1448877959</v>
      </c>
      <c r="K50" s="24">
        <f>K23/'Rate Class Customer Model'!E16</f>
        <v>91205251.099502489</v>
      </c>
      <c r="L50" s="24">
        <f>L23/'Rate Class Customer Model'!F16</f>
        <v>3502411.5</v>
      </c>
      <c r="M50" s="24">
        <f>M23/'Rate Class Customer Model'!G16</f>
        <v>557.36195822674779</v>
      </c>
      <c r="N50" s="24">
        <f>N23/'Rate Class Customer Model'!H16</f>
        <v>4903.6107899807321</v>
      </c>
      <c r="O50" s="24">
        <f>O23/'Rate Class Customer Model'!I16</f>
        <v>31728984.630911194</v>
      </c>
      <c r="Q50" s="24">
        <f>Q23/'Rate Class Customer Model'!B16</f>
        <v>8572.8676529995428</v>
      </c>
      <c r="R50" s="24">
        <f>R23/'Rate Class Customer Model'!C16</f>
        <v>35797.432873391837</v>
      </c>
      <c r="S50" s="24">
        <f>S23/'Rate Class Customer Model'!D16</f>
        <v>1035252.25163022</v>
      </c>
      <c r="T50" s="24">
        <f>T23/'Rate Class Customer Model'!E16</f>
        <v>91878248.978243545</v>
      </c>
      <c r="U50" s="24">
        <f>U23/'Rate Class Customer Model'!F16</f>
        <v>3528255.5767561365</v>
      </c>
      <c r="V50" s="24">
        <f>V23/'Rate Class Customer Model'!G16</f>
        <v>561.47469747208277</v>
      </c>
      <c r="W50" s="24">
        <f>W23/'Rate Class Customer Model'!H16</f>
        <v>4939.7942292021035</v>
      </c>
      <c r="X50" s="24">
        <f>X23/'Rate Class Customer Model'!I16</f>
        <v>31963110.836297266</v>
      </c>
    </row>
    <row r="51" spans="1:37" s="66" customFormat="1">
      <c r="A51" s="66">
        <f t="shared" ref="A51:A57" si="12">A24</f>
        <v>2015</v>
      </c>
      <c r="B51" s="126"/>
      <c r="C51" s="126"/>
      <c r="D51" s="126"/>
      <c r="E51" s="126"/>
      <c r="F51" s="179"/>
      <c r="G51" s="128"/>
      <c r="H51" s="120">
        <f>H24/'Rate Class Customer Model'!B17</f>
        <v>8302.1133634871803</v>
      </c>
      <c r="I51" s="120">
        <f>I24/'Rate Class Customer Model'!C17</f>
        <v>34873.916592263224</v>
      </c>
      <c r="J51" s="120">
        <f>J24/'Rate Class Customer Model'!D17</f>
        <v>1000213.9302482642</v>
      </c>
      <c r="K51" s="120">
        <f>K24/'Rate Class Customer Model'!E17</f>
        <v>92984875.477611929</v>
      </c>
      <c r="L51" s="120">
        <f>L24/'Rate Class Customer Model'!F17</f>
        <v>3395203.5</v>
      </c>
      <c r="M51" s="120">
        <f>M24/'Rate Class Customer Model'!G17</f>
        <v>550.35592238495349</v>
      </c>
      <c r="N51" s="120">
        <f>N24/'Rate Class Customer Model'!H17</f>
        <v>5003.1728045325781</v>
      </c>
      <c r="O51" s="120">
        <f>O24/'Rate Class Customer Model'!I17</f>
        <v>33543395.272587463</v>
      </c>
      <c r="P51" s="6"/>
      <c r="Q51" s="24">
        <f>Q24/'Rate Class Customer Model'!B17</f>
        <v>8411.9848655907208</v>
      </c>
      <c r="R51" s="24">
        <f>R24/'Rate Class Customer Model'!C17</f>
        <v>35335.443607429894</v>
      </c>
      <c r="S51" s="24">
        <f>S24/'Rate Class Customer Model'!D17</f>
        <v>1013450.9220995902</v>
      </c>
      <c r="T51" s="24">
        <f>T24/'Rate Class Customer Model'!E17</f>
        <v>94215452.259009287</v>
      </c>
      <c r="U51" s="24">
        <f>U24/'Rate Class Customer Model'!F17</f>
        <v>3440136.1686061434</v>
      </c>
      <c r="V51" s="24">
        <f>V24/'Rate Class Customer Model'!G17</f>
        <v>557.63942108420713</v>
      </c>
      <c r="W51" s="24">
        <f>W24/'Rate Class Customer Model'!H17</f>
        <v>5069.3855972577649</v>
      </c>
      <c r="X51" s="24">
        <f>X24/'Rate Class Customer Model'!I17</f>
        <v>33987313.954842605</v>
      </c>
      <c r="AB51" s="128"/>
      <c r="AC51" s="128"/>
      <c r="AD51" s="128"/>
      <c r="AE51" s="128"/>
      <c r="AF51" s="128"/>
      <c r="AG51" s="128"/>
      <c r="AH51" s="128"/>
      <c r="AI51" s="128"/>
      <c r="AJ51" s="128"/>
      <c r="AK51" s="128"/>
    </row>
    <row r="52" spans="1:37" s="66" customFormat="1">
      <c r="A52" s="66">
        <f t="shared" si="12"/>
        <v>2016</v>
      </c>
      <c r="B52" s="126"/>
      <c r="C52" s="126"/>
      <c r="D52" s="126"/>
      <c r="E52" s="126"/>
      <c r="F52" s="179"/>
      <c r="G52" s="128"/>
      <c r="H52" s="120">
        <f>H25/'Rate Class Customer Model'!B18</f>
        <v>8181.8359628573171</v>
      </c>
      <c r="I52" s="120">
        <f>I25/'Rate Class Customer Model'!C18</f>
        <v>33883.046884814459</v>
      </c>
      <c r="J52" s="120">
        <f>J25/'Rate Class Customer Model'!D18</f>
        <v>980963.9571832238</v>
      </c>
      <c r="K52" s="120">
        <f>K25/'Rate Class Customer Model'!E18</f>
        <v>95179111.572139308</v>
      </c>
      <c r="L52" s="120">
        <f>L25/'Rate Class Customer Model'!F18</f>
        <v>3222984.2249999996</v>
      </c>
      <c r="M52" s="120">
        <f>M25/'Rate Class Customer Model'!G18</f>
        <v>550.97154345548506</v>
      </c>
      <c r="N52" s="120">
        <f>N25/'Rate Class Customer Model'!H18</f>
        <v>5096.248366013072</v>
      </c>
      <c r="O52" s="120">
        <f>O25/'Rate Class Customer Model'!I18</f>
        <v>33527764.777393315</v>
      </c>
      <c r="P52" s="6"/>
      <c r="Q52" s="24">
        <f>Q25/'Rate Class Customer Model'!B18</f>
        <v>8238.3753445530183</v>
      </c>
      <c r="R52" s="24">
        <f>R25/'Rate Class Customer Model'!C18</f>
        <v>34117.190728510497</v>
      </c>
      <c r="S52" s="24">
        <f>S25/'Rate Class Customer Model'!D18</f>
        <v>987742.76524741517</v>
      </c>
      <c r="T52" s="24">
        <f>T25/'Rate Class Customer Model'!E18</f>
        <v>95836832.91280961</v>
      </c>
      <c r="U52" s="24">
        <f>U25/'Rate Class Customer Model'!F18</f>
        <v>3245256.1864672964</v>
      </c>
      <c r="V52" s="24">
        <f>V25/'Rate Class Customer Model'!G18</f>
        <v>554.77895178539006</v>
      </c>
      <c r="W52" s="24">
        <f>W25/'Rate Class Customer Model'!H18</f>
        <v>5131.4652455606647</v>
      </c>
      <c r="X52" s="24">
        <f>X25/'Rate Class Customer Model'!I18</f>
        <v>33759453.496008337</v>
      </c>
      <c r="AB52" s="128"/>
      <c r="AC52" s="128"/>
      <c r="AD52" s="128"/>
      <c r="AE52" s="128"/>
      <c r="AF52" s="128"/>
      <c r="AG52" s="128"/>
      <c r="AH52" s="128"/>
      <c r="AI52" s="128"/>
      <c r="AJ52" s="128"/>
      <c r="AK52" s="128"/>
    </row>
    <row r="53" spans="1:37" s="66" customFormat="1">
      <c r="A53" s="66">
        <f t="shared" si="12"/>
        <v>2017</v>
      </c>
      <c r="B53" s="126"/>
      <c r="C53" s="126"/>
      <c r="D53" s="126"/>
      <c r="E53" s="126"/>
      <c r="F53" s="179"/>
      <c r="G53" s="128"/>
      <c r="H53" s="120">
        <f>H26/'Rate Class Customer Model'!B19</f>
        <v>7917.8184228408663</v>
      </c>
      <c r="I53" s="120">
        <f>I26/'Rate Class Customer Model'!C19</f>
        <v>32857.486683986514</v>
      </c>
      <c r="J53" s="120">
        <f>J26/'Rate Class Customer Model'!D19</f>
        <v>923351.95333887346</v>
      </c>
      <c r="K53" s="120">
        <f>K26/'Rate Class Customer Model'!E19</f>
        <v>95093183.776119411</v>
      </c>
      <c r="L53" s="120">
        <f>L26/'Rate Class Customer Model'!F19</f>
        <v>3115805.55</v>
      </c>
      <c r="M53" s="120">
        <f>M26/'Rate Class Customer Model'!G19</f>
        <v>390.18413000727776</v>
      </c>
      <c r="N53" s="120">
        <f>N26/'Rate Class Customer Model'!H19</f>
        <v>4871.7631709090911</v>
      </c>
      <c r="O53" s="120">
        <f>O26/'Rate Class Customer Model'!I19</f>
        <v>34185131.102416404</v>
      </c>
      <c r="P53" s="6"/>
      <c r="Q53" s="24">
        <f>Q26/'Rate Class Customer Model'!B19</f>
        <v>8137.4688320205069</v>
      </c>
      <c r="R53" s="24">
        <f>R26/'Rate Class Customer Model'!C19</f>
        <v>33768.995386173039</v>
      </c>
      <c r="S53" s="24">
        <f>S26/'Rate Class Customer Model'!D19</f>
        <v>948966.91740304499</v>
      </c>
      <c r="T53" s="24">
        <f>T26/'Rate Class Customer Model'!E19</f>
        <v>97731190.30912666</v>
      </c>
      <c r="U53" s="24">
        <f>U26/'Rate Class Customer Model'!F19</f>
        <v>3202241.9807733316</v>
      </c>
      <c r="V53" s="24">
        <f>V26/'Rate Class Customer Model'!G19</f>
        <v>401.00833678174314</v>
      </c>
      <c r="W53" s="24">
        <f>W26/'Rate Class Customer Model'!H19</f>
        <v>5006.9121117877512</v>
      </c>
      <c r="X53" s="24">
        <f>X26/'Rate Class Customer Model'!I19</f>
        <v>35133470.358699992</v>
      </c>
      <c r="AB53" s="128"/>
      <c r="AC53" s="128"/>
      <c r="AD53" s="128"/>
      <c r="AE53" s="128"/>
      <c r="AF53" s="128"/>
      <c r="AG53" s="128"/>
      <c r="AH53" s="128"/>
      <c r="AI53" s="128"/>
      <c r="AJ53" s="128"/>
      <c r="AK53" s="128"/>
    </row>
    <row r="54" spans="1:37" s="66" customFormat="1">
      <c r="A54" s="66">
        <f t="shared" si="12"/>
        <v>2018</v>
      </c>
      <c r="B54" s="126"/>
      <c r="C54" s="126"/>
      <c r="D54" s="126"/>
      <c r="E54" s="126"/>
      <c r="F54" s="179"/>
      <c r="G54" s="128"/>
      <c r="H54" s="120">
        <f>H27/'Rate Class Customer Model'!B20</f>
        <v>8165.3499711523782</v>
      </c>
      <c r="I54" s="120">
        <f>I27/'Rate Class Customer Model'!C20</f>
        <v>33914.96755797392</v>
      </c>
      <c r="J54" s="120">
        <f>J27/'Rate Class Customer Model'!D20</f>
        <v>941394.27810609457</v>
      </c>
      <c r="K54" s="120">
        <f>K27/'Rate Class Customer Model'!E20</f>
        <v>98366841.697951272</v>
      </c>
      <c r="L54" s="120">
        <f>L27/'Rate Class Customer Model'!F20</f>
        <v>3434213.3680000007</v>
      </c>
      <c r="M54" s="120">
        <f>M27/'Rate Class Customer Model'!G20</f>
        <v>240.52792402667652</v>
      </c>
      <c r="N54" s="120">
        <f>N27/'Rate Class Customer Model'!H20</f>
        <v>4846.6061147049022</v>
      </c>
      <c r="O54" s="120">
        <f>O27/'Rate Class Customer Model'!I20</f>
        <v>36001231.440141872</v>
      </c>
      <c r="P54" s="6"/>
      <c r="Q54" s="24">
        <f>Q27/'Rate Class Customer Model'!B20</f>
        <v>7968.9375464582617</v>
      </c>
      <c r="R54" s="24">
        <f>R27/'Rate Class Customer Model'!C20</f>
        <v>33099.164067000725</v>
      </c>
      <c r="S54" s="24">
        <f>S27/'Rate Class Customer Model'!D20</f>
        <v>918749.62314222532</v>
      </c>
      <c r="T54" s="24">
        <f>T27/'Rate Class Customer Model'!E20</f>
        <v>96000688.384785905</v>
      </c>
      <c r="U54" s="24">
        <f>U27/'Rate Class Customer Model'!F20</f>
        <v>3351605.4973136405</v>
      </c>
      <c r="V54" s="24">
        <f>V27/'Rate Class Customer Model'!G20</f>
        <v>234.74217412843248</v>
      </c>
      <c r="W54" s="24">
        <f>W27/'Rate Class Customer Model'!H20</f>
        <v>4730.0240132775734</v>
      </c>
      <c r="X54" s="24">
        <f>X27/'Rate Class Customer Model'!I20</f>
        <v>35135244.166587889</v>
      </c>
      <c r="AB54" s="128"/>
      <c r="AC54" s="128"/>
      <c r="AD54" s="128"/>
      <c r="AE54" s="128"/>
      <c r="AF54" s="128"/>
      <c r="AG54" s="128"/>
      <c r="AH54" s="128"/>
      <c r="AI54" s="128"/>
      <c r="AJ54" s="128"/>
      <c r="AK54" s="128"/>
    </row>
    <row r="55" spans="1:37" s="66" customFormat="1">
      <c r="A55" s="66">
        <f t="shared" si="12"/>
        <v>2019</v>
      </c>
      <c r="B55" s="126"/>
      <c r="C55" s="126"/>
      <c r="D55" s="126"/>
      <c r="E55" s="126"/>
      <c r="F55" s="179"/>
      <c r="G55" s="128"/>
      <c r="H55" s="120">
        <f>H28/'Rate Class Customer Model'!B21</f>
        <v>7962.7602254345566</v>
      </c>
      <c r="I55" s="120">
        <f>I28/'Rate Class Customer Model'!C21</f>
        <v>33754.772793007985</v>
      </c>
      <c r="J55" s="120">
        <f>J28/'Rate Class Customer Model'!D21</f>
        <v>908991.94353212626</v>
      </c>
      <c r="K55" s="120">
        <f>K28/'Rate Class Customer Model'!E21</f>
        <v>96183865.579993218</v>
      </c>
      <c r="L55" s="120">
        <f>L28/'Rate Class Customer Model'!F21</f>
        <v>2868687.8833333328</v>
      </c>
      <c r="M55" s="120">
        <f>M28/'Rate Class Customer Model'!G21</f>
        <v>238.19880343046438</v>
      </c>
      <c r="N55" s="120">
        <f>N28/'Rate Class Customer Model'!H21</f>
        <v>5233.3730139376767</v>
      </c>
      <c r="O55" s="120">
        <f>O28/'Rate Class Customer Model'!I21</f>
        <v>38976498.046631292</v>
      </c>
      <c r="P55" s="6"/>
      <c r="Q55" s="24">
        <f>Q28/'Rate Class Customer Model'!B21</f>
        <v>7932.6306849413822</v>
      </c>
      <c r="R55" s="24">
        <f>R28/'Rate Class Customer Model'!C21</f>
        <v>33627.051278745101</v>
      </c>
      <c r="S55" s="24">
        <f>S28/'Rate Class Customer Model'!D21</f>
        <v>905552.4942965284</v>
      </c>
      <c r="T55" s="24">
        <f>T28/'Rate Class Customer Model'!E21</f>
        <v>95819924.485355482</v>
      </c>
      <c r="U55" s="24">
        <f>U28/'Rate Class Customer Model'!F21</f>
        <v>2857833.3247008771</v>
      </c>
      <c r="V55" s="24">
        <f>V28/'Rate Class Customer Model'!G21</f>
        <v>237.2975053516324</v>
      </c>
      <c r="W55" s="24">
        <f>W28/'Rate Class Customer Model'!H21</f>
        <v>5213.5709453489908</v>
      </c>
      <c r="X55" s="24">
        <f>X28/'Rate Class Customer Model'!I21</f>
        <v>38829018.536645919</v>
      </c>
      <c r="AB55" s="128"/>
      <c r="AC55" s="128"/>
      <c r="AD55" s="128"/>
      <c r="AE55" s="128"/>
      <c r="AF55" s="128"/>
      <c r="AG55" s="128"/>
      <c r="AH55" s="128"/>
      <c r="AI55" s="128"/>
      <c r="AJ55" s="128"/>
      <c r="AK55" s="128"/>
    </row>
    <row r="56" spans="1:37">
      <c r="A56">
        <f t="shared" si="12"/>
        <v>2020</v>
      </c>
      <c r="H56" s="24">
        <f>H55*H79</f>
        <v>7864.3882153552941</v>
      </c>
      <c r="I56" s="24">
        <f t="shared" ref="I56:O56" si="13">I55*I79</f>
        <v>33619.901150922</v>
      </c>
      <c r="J56" s="24">
        <f t="shared" si="13"/>
        <v>909582.88891333761</v>
      </c>
      <c r="K56" s="24">
        <f t="shared" si="13"/>
        <v>98527751.366641343</v>
      </c>
      <c r="L56" s="24">
        <f>L55*L79</f>
        <v>3072009.1494120597</v>
      </c>
      <c r="M56" s="24">
        <f t="shared" si="13"/>
        <v>223.10787491588783</v>
      </c>
      <c r="N56" s="24">
        <f t="shared" si="13"/>
        <v>5452.7077358418892</v>
      </c>
      <c r="O56" s="24">
        <f t="shared" si="13"/>
        <v>41857714.1922644</v>
      </c>
    </row>
    <row r="57" spans="1:37">
      <c r="A57">
        <f t="shared" si="12"/>
        <v>2021</v>
      </c>
      <c r="H57" s="120">
        <f>H56</f>
        <v>7864.3882153552941</v>
      </c>
      <c r="I57" s="120">
        <f t="shared" ref="I57:O57" si="14">I56</f>
        <v>33619.901150922</v>
      </c>
      <c r="J57" s="120">
        <f t="shared" si="14"/>
        <v>909582.88891333761</v>
      </c>
      <c r="K57" s="120">
        <f t="shared" si="14"/>
        <v>98527751.366641343</v>
      </c>
      <c r="L57" s="120">
        <f t="shared" si="14"/>
        <v>3072009.1494120597</v>
      </c>
      <c r="M57" s="120">
        <f t="shared" si="14"/>
        <v>223.10787491588783</v>
      </c>
      <c r="N57" s="120">
        <f t="shared" si="14"/>
        <v>5452.7077358418892</v>
      </c>
      <c r="O57" s="120">
        <f t="shared" si="14"/>
        <v>41857714.1922644</v>
      </c>
    </row>
    <row r="59" spans="1:37">
      <c r="A59" s="34"/>
      <c r="D59" s="6"/>
      <c r="H59" s="22"/>
      <c r="I59" s="22"/>
      <c r="J59" s="22"/>
      <c r="K59" s="22"/>
      <c r="L59" s="22"/>
    </row>
    <row r="60" spans="1:37">
      <c r="A60" s="34">
        <f t="shared" ref="A60:A72" si="15">A38</f>
        <v>2002</v>
      </c>
      <c r="D60" s="6"/>
      <c r="H60" s="22"/>
      <c r="I60" s="22"/>
      <c r="J60" s="22"/>
      <c r="K60" s="22"/>
      <c r="L60" s="22"/>
      <c r="M60" s="22"/>
      <c r="N60" s="22"/>
    </row>
    <row r="61" spans="1:37">
      <c r="A61" s="34">
        <f t="shared" si="15"/>
        <v>2003</v>
      </c>
      <c r="D61" s="6"/>
      <c r="H61" s="22"/>
      <c r="I61" s="22"/>
      <c r="J61" s="22"/>
      <c r="K61" s="22"/>
      <c r="L61" s="22"/>
      <c r="M61" s="22"/>
      <c r="N61" s="22"/>
    </row>
    <row r="62" spans="1:37">
      <c r="A62" s="34">
        <f t="shared" si="15"/>
        <v>2004</v>
      </c>
      <c r="D62" s="6"/>
      <c r="H62" s="22">
        <f t="shared" ref="H62:K68" si="16">H40/H39</f>
        <v>0.97797465455980936</v>
      </c>
      <c r="I62" s="22">
        <f t="shared" si="16"/>
        <v>1.0093331285338192</v>
      </c>
      <c r="J62" s="22">
        <f t="shared" si="16"/>
        <v>1.0677923764748816</v>
      </c>
      <c r="K62" s="22">
        <f t="shared" si="16"/>
        <v>1.0096811384695983</v>
      </c>
      <c r="L62" s="22"/>
      <c r="M62" s="22"/>
      <c r="N62" s="22"/>
    </row>
    <row r="63" spans="1:37">
      <c r="A63" s="34">
        <f t="shared" si="15"/>
        <v>2005</v>
      </c>
      <c r="D63" s="6"/>
      <c r="H63" s="22">
        <f t="shared" si="16"/>
        <v>1.0282492142676964</v>
      </c>
      <c r="I63" s="22">
        <f t="shared" si="16"/>
        <v>1.0191645221981662</v>
      </c>
      <c r="J63" s="22">
        <f t="shared" si="16"/>
        <v>1.0497621798979546</v>
      </c>
      <c r="K63" s="22">
        <f t="shared" si="16"/>
        <v>1.0679143681925645</v>
      </c>
      <c r="L63" s="22"/>
      <c r="M63" s="22"/>
      <c r="N63" s="22"/>
    </row>
    <row r="64" spans="1:37">
      <c r="A64" s="34">
        <f t="shared" si="15"/>
        <v>2006</v>
      </c>
      <c r="D64" s="6"/>
      <c r="H64" s="22">
        <f t="shared" si="16"/>
        <v>0.94029006047709907</v>
      </c>
      <c r="I64" s="22">
        <f t="shared" si="16"/>
        <v>0.99883882860346118</v>
      </c>
      <c r="J64" s="22">
        <f t="shared" si="16"/>
        <v>1.0536502340835463</v>
      </c>
      <c r="K64" s="22">
        <f t="shared" si="16"/>
        <v>1.0441500038511922</v>
      </c>
      <c r="L64" s="22"/>
      <c r="M64" s="22">
        <f>M42/M41</f>
        <v>0.98300203485460069</v>
      </c>
      <c r="N64" s="22"/>
    </row>
    <row r="65" spans="1:37">
      <c r="A65" s="34">
        <f t="shared" si="15"/>
        <v>2007</v>
      </c>
      <c r="D65" s="6"/>
      <c r="H65" s="22">
        <f t="shared" si="16"/>
        <v>1.0164748980730201</v>
      </c>
      <c r="I65" s="22">
        <f t="shared" si="16"/>
        <v>1.0082965973181939</v>
      </c>
      <c r="J65" s="22">
        <f t="shared" si="16"/>
        <v>1.0249400895806564</v>
      </c>
      <c r="K65" s="22">
        <f t="shared" si="16"/>
        <v>1.0467842223343442</v>
      </c>
      <c r="L65" s="22"/>
      <c r="M65" s="22">
        <f>M43/M42</f>
        <v>0.98911296815438188</v>
      </c>
      <c r="N65" s="22"/>
    </row>
    <row r="66" spans="1:37">
      <c r="A66" s="34">
        <f t="shared" si="15"/>
        <v>2008</v>
      </c>
      <c r="D66" s="6"/>
      <c r="H66" s="22">
        <f t="shared" si="16"/>
        <v>0.98323497786001934</v>
      </c>
      <c r="I66" s="22">
        <f t="shared" si="16"/>
        <v>0.95742716072268141</v>
      </c>
      <c r="J66" s="22">
        <f t="shared" si="16"/>
        <v>0.98445898000860821</v>
      </c>
      <c r="K66" s="22">
        <f t="shared" si="16"/>
        <v>0.99504829715777066</v>
      </c>
      <c r="L66" s="22"/>
      <c r="M66" s="22">
        <f>M44/M43</f>
        <v>1.0170930894126946</v>
      </c>
      <c r="N66" s="22"/>
    </row>
    <row r="67" spans="1:37">
      <c r="A67" s="34">
        <f t="shared" si="15"/>
        <v>2009</v>
      </c>
      <c r="D67" s="6"/>
      <c r="H67" s="22">
        <f t="shared" si="16"/>
        <v>0.96434165094045432</v>
      </c>
      <c r="I67" s="22">
        <f t="shared" si="16"/>
        <v>0.95892849051757345</v>
      </c>
      <c r="J67" s="22">
        <f t="shared" si="16"/>
        <v>0.98154639290247025</v>
      </c>
      <c r="K67" s="22">
        <f t="shared" si="16"/>
        <v>0.99705922374229972</v>
      </c>
      <c r="L67" s="22"/>
      <c r="M67" s="22">
        <f>M45/M44</f>
        <v>0.99288512185734845</v>
      </c>
      <c r="N67" s="22">
        <f>N45/N44</f>
        <v>1.09411856025679</v>
      </c>
    </row>
    <row r="68" spans="1:37">
      <c r="A68" s="34">
        <f t="shared" si="15"/>
        <v>2010</v>
      </c>
      <c r="D68" s="6"/>
      <c r="H68" s="22">
        <f t="shared" si="16"/>
        <v>1.0261284245775342</v>
      </c>
      <c r="I68" s="22">
        <f t="shared" si="16"/>
        <v>1.0118402081447626</v>
      </c>
      <c r="J68" s="22">
        <f t="shared" si="16"/>
        <v>1.0532116639933427</v>
      </c>
      <c r="K68" s="22">
        <f t="shared" si="16"/>
        <v>1.079534972321144</v>
      </c>
      <c r="L68" s="22"/>
      <c r="M68" s="22">
        <f>M46/M45</f>
        <v>0.99744994461179382</v>
      </c>
      <c r="N68" s="22">
        <f>N46/N45</f>
        <v>1.0229433958155401</v>
      </c>
    </row>
    <row r="69" spans="1:37">
      <c r="A69" s="34">
        <f t="shared" si="15"/>
        <v>2011</v>
      </c>
      <c r="D69" s="6"/>
      <c r="H69" s="22">
        <f t="shared" ref="H69:N69" si="17">H47/H46</f>
        <v>0.9740353746870285</v>
      </c>
      <c r="I69" s="22">
        <f t="shared" si="17"/>
        <v>0.9999277944767363</v>
      </c>
      <c r="J69" s="22">
        <f t="shared" si="17"/>
        <v>0.98241972659241361</v>
      </c>
      <c r="K69" s="22">
        <f t="shared" si="17"/>
        <v>1.0200577220282918</v>
      </c>
      <c r="L69" s="22"/>
      <c r="M69" s="22">
        <f t="shared" si="17"/>
        <v>0.99531452463286518</v>
      </c>
      <c r="N69" s="22">
        <f t="shared" si="17"/>
        <v>1.0984677185420888</v>
      </c>
    </row>
    <row r="70" spans="1:37">
      <c r="A70" s="34">
        <f t="shared" si="15"/>
        <v>2012</v>
      </c>
      <c r="D70" s="6"/>
      <c r="H70" s="22">
        <f t="shared" ref="H70:N70" si="18">H48/H47</f>
        <v>0.98822233033728701</v>
      </c>
      <c r="I70" s="22">
        <f t="shared" si="18"/>
        <v>1.0069798876485567</v>
      </c>
      <c r="J70" s="22">
        <f t="shared" si="18"/>
        <v>0.9866133335851015</v>
      </c>
      <c r="K70" s="22">
        <f t="shared" si="18"/>
        <v>1.0295684361277939</v>
      </c>
      <c r="L70" s="22"/>
      <c r="M70" s="60">
        <f t="shared" si="18"/>
        <v>1.2221304133855218</v>
      </c>
      <c r="N70" s="60">
        <f t="shared" si="18"/>
        <v>1.165073352496746</v>
      </c>
      <c r="O70" s="60">
        <f>O48/O47</f>
        <v>1.4563101028740577</v>
      </c>
      <c r="P70" s="60"/>
      <c r="Q70" s="60"/>
      <c r="AB70" s="60"/>
      <c r="AC70" s="60"/>
      <c r="AD70" s="60"/>
      <c r="AE70" s="60"/>
      <c r="AF70" s="60"/>
      <c r="AG70" s="60"/>
      <c r="AH70" s="60"/>
      <c r="AI70" s="60"/>
      <c r="AJ70" s="60"/>
      <c r="AK70" s="60"/>
    </row>
    <row r="71" spans="1:37">
      <c r="A71" s="34">
        <f t="shared" si="15"/>
        <v>2013</v>
      </c>
      <c r="D71" s="6"/>
      <c r="H71" s="22">
        <f>H49/H48</f>
        <v>0.9836069592240323</v>
      </c>
      <c r="I71" s="22">
        <f t="shared" ref="I71:O71" si="19">I49/I48</f>
        <v>1.0147052332704527</v>
      </c>
      <c r="J71" s="22">
        <f t="shared" si="19"/>
        <v>0.98351632995932226</v>
      </c>
      <c r="K71" s="22">
        <f t="shared" si="19"/>
        <v>1.0399110149211297</v>
      </c>
      <c r="L71" s="22">
        <f>L49/L48</f>
        <v>2.1575400016720434</v>
      </c>
      <c r="M71" s="22">
        <f t="shared" si="19"/>
        <v>0.78382154858266517</v>
      </c>
      <c r="N71" s="22">
        <f t="shared" si="19"/>
        <v>0.99394692060702783</v>
      </c>
      <c r="O71" s="22">
        <f t="shared" si="19"/>
        <v>0.95788699244823872</v>
      </c>
      <c r="P71" s="60"/>
      <c r="Q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</row>
    <row r="72" spans="1:37">
      <c r="A72" s="34">
        <f t="shared" si="15"/>
        <v>2014</v>
      </c>
      <c r="D72" s="6"/>
      <c r="H72" s="22">
        <f>H50/H49</f>
        <v>0.98938440584178011</v>
      </c>
      <c r="I72" s="22">
        <f t="shared" ref="I72:O72" si="20">I50/I49</f>
        <v>1.0041716098546731</v>
      </c>
      <c r="J72" s="22">
        <f t="shared" si="20"/>
        <v>0.97271769041788192</v>
      </c>
      <c r="K72" s="22">
        <f t="shared" si="20"/>
        <v>1.0111146619779026</v>
      </c>
      <c r="L72" s="22">
        <f t="shared" si="20"/>
        <v>0.91390163664936019</v>
      </c>
      <c r="M72" s="22">
        <f t="shared" si="20"/>
        <v>1.0023192308013922</v>
      </c>
      <c r="N72" s="22">
        <f t="shared" si="20"/>
        <v>1.0338329704917757</v>
      </c>
      <c r="O72" s="22">
        <f t="shared" si="20"/>
        <v>1.03244460008623</v>
      </c>
      <c r="P72" s="60"/>
      <c r="Q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</row>
    <row r="73" spans="1:37">
      <c r="A73" s="34">
        <f t="shared" ref="A73:A77" si="21">A51</f>
        <v>2015</v>
      </c>
      <c r="B73" s="110"/>
      <c r="C73" s="110"/>
      <c r="D73" s="6"/>
      <c r="E73" s="110"/>
      <c r="F73" s="110"/>
      <c r="H73" s="22">
        <f t="shared" ref="H73:O73" si="22">H51/H50</f>
        <v>0.97556319314326578</v>
      </c>
      <c r="I73" s="22">
        <f t="shared" si="22"/>
        <v>0.98139017899305558</v>
      </c>
      <c r="J73" s="22">
        <f t="shared" si="22"/>
        <v>0.97328399439050073</v>
      </c>
      <c r="K73" s="22">
        <f t="shared" si="22"/>
        <v>1.019512301722276</v>
      </c>
      <c r="L73" s="22">
        <f t="shared" si="22"/>
        <v>0.96939023298661509</v>
      </c>
      <c r="M73" s="22">
        <f t="shared" si="22"/>
        <v>0.98743000712843043</v>
      </c>
      <c r="N73" s="22">
        <f t="shared" si="22"/>
        <v>1.0203038166804093</v>
      </c>
      <c r="O73" s="22">
        <f t="shared" si="22"/>
        <v>1.0571846424580704</v>
      </c>
      <c r="P73" s="60"/>
      <c r="Q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</row>
    <row r="74" spans="1:37">
      <c r="A74" s="34">
        <f t="shared" si="21"/>
        <v>2016</v>
      </c>
      <c r="B74" s="110"/>
      <c r="C74" s="110"/>
      <c r="D74" s="6"/>
      <c r="E74" s="110"/>
      <c r="F74" s="110"/>
      <c r="H74" s="22">
        <f t="shared" ref="H74:O74" si="23">H52/H51</f>
        <v>0.98551243576619363</v>
      </c>
      <c r="I74" s="22">
        <f t="shared" si="23"/>
        <v>0.97158708271761507</v>
      </c>
      <c r="J74" s="22">
        <f t="shared" si="23"/>
        <v>0.98075414420566775</v>
      </c>
      <c r="K74" s="22">
        <f t="shared" si="23"/>
        <v>1.0235977741891549</v>
      </c>
      <c r="L74" s="22">
        <f t="shared" si="23"/>
        <v>0.94927571351761375</v>
      </c>
      <c r="M74" s="22">
        <f t="shared" si="23"/>
        <v>1.0011185871642188</v>
      </c>
      <c r="N74" s="22">
        <f t="shared" si="23"/>
        <v>1.0186033073645133</v>
      </c>
      <c r="O74" s="22">
        <f t="shared" si="23"/>
        <v>0.99953402167350303</v>
      </c>
      <c r="P74" s="60"/>
      <c r="Q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</row>
    <row r="75" spans="1:37">
      <c r="A75" s="34">
        <f t="shared" si="21"/>
        <v>2017</v>
      </c>
      <c r="B75" s="110"/>
      <c r="C75" s="110"/>
      <c r="D75" s="6"/>
      <c r="E75" s="110"/>
      <c r="F75" s="110"/>
      <c r="H75" s="22">
        <f t="shared" ref="H75:O75" si="24">H53/H52</f>
        <v>0.96773125968120133</v>
      </c>
      <c r="I75" s="22">
        <f t="shared" si="24"/>
        <v>0.96973235009489134</v>
      </c>
      <c r="J75" s="22">
        <f t="shared" si="24"/>
        <v>0.94127000954267515</v>
      </c>
      <c r="K75" s="22">
        <f t="shared" si="24"/>
        <v>0.9990971990114158</v>
      </c>
      <c r="L75" s="22">
        <f t="shared" si="24"/>
        <v>0.96674551672681552</v>
      </c>
      <c r="M75" s="22">
        <f t="shared" si="24"/>
        <v>0.70817474085901155</v>
      </c>
      <c r="N75" s="22">
        <f t="shared" si="24"/>
        <v>0.95595089191471228</v>
      </c>
      <c r="O75" s="22">
        <f t="shared" si="24"/>
        <v>1.01960662541591</v>
      </c>
      <c r="P75" s="60"/>
      <c r="Q75" s="22"/>
      <c r="AB75" s="22"/>
      <c r="AC75" s="22"/>
      <c r="AD75" s="22"/>
      <c r="AE75" s="22"/>
      <c r="AF75" s="22"/>
      <c r="AG75" s="22"/>
      <c r="AH75" s="22"/>
      <c r="AI75" s="22"/>
      <c r="AJ75" s="22"/>
      <c r="AK75" s="22"/>
    </row>
    <row r="76" spans="1:37">
      <c r="A76" s="34">
        <f t="shared" si="21"/>
        <v>2018</v>
      </c>
      <c r="B76" s="110"/>
      <c r="C76" s="110"/>
      <c r="D76" s="6"/>
      <c r="E76" s="110"/>
      <c r="F76" s="110"/>
      <c r="H76" s="22">
        <f>H54/H53</f>
        <v>1.0312625947063205</v>
      </c>
      <c r="I76" s="22">
        <f t="shared" ref="I76:O76" si="25">I54/I53</f>
        <v>1.0321838637312082</v>
      </c>
      <c r="J76" s="22">
        <f t="shared" si="25"/>
        <v>1.0195400298899888</v>
      </c>
      <c r="K76" s="22">
        <f t="shared" si="25"/>
        <v>1.0344257894397471</v>
      </c>
      <c r="L76" s="22">
        <f t="shared" si="25"/>
        <v>1.1021911710761285</v>
      </c>
      <c r="M76" s="22">
        <f t="shared" si="25"/>
        <v>0.61644722460185697</v>
      </c>
      <c r="N76" s="22">
        <f t="shared" si="25"/>
        <v>0.99483614959889477</v>
      </c>
      <c r="O76" s="22">
        <f t="shared" si="25"/>
        <v>1.0531254460392312</v>
      </c>
      <c r="P76" s="60"/>
      <c r="Q76" s="22"/>
      <c r="AB76" s="22"/>
      <c r="AC76" s="22"/>
      <c r="AD76" s="22"/>
      <c r="AE76" s="22"/>
      <c r="AF76" s="22"/>
      <c r="AG76" s="22"/>
      <c r="AH76" s="22"/>
      <c r="AI76" s="22"/>
      <c r="AJ76" s="22"/>
      <c r="AK76" s="22"/>
    </row>
    <row r="77" spans="1:37">
      <c r="A77" s="34">
        <f t="shared" si="21"/>
        <v>2019</v>
      </c>
      <c r="B77" s="110"/>
      <c r="C77" s="110"/>
      <c r="D77" s="6"/>
      <c r="E77" s="110"/>
      <c r="F77" s="110"/>
      <c r="H77" s="22">
        <f>H55/H54</f>
        <v>0.97518909214748206</v>
      </c>
      <c r="I77" s="22">
        <f t="shared" ref="I77:N77" si="26">I55/I54</f>
        <v>0.99527657619922238</v>
      </c>
      <c r="J77" s="22">
        <f t="shared" si="26"/>
        <v>0.96558048489613124</v>
      </c>
      <c r="K77" s="22">
        <f t="shared" si="26"/>
        <v>0.97780780514778365</v>
      </c>
      <c r="L77" s="22">
        <f>L55/L54</f>
        <v>0.83532604877255612</v>
      </c>
      <c r="M77" s="22">
        <f t="shared" si="26"/>
        <v>0.990316631195163</v>
      </c>
      <c r="N77" s="22">
        <f t="shared" si="26"/>
        <v>1.0798015951944804</v>
      </c>
      <c r="O77" s="22">
        <f>O55/O54</f>
        <v>1.0826434676668297</v>
      </c>
      <c r="P77" s="60"/>
      <c r="Q77" s="22"/>
      <c r="AB77" s="22"/>
      <c r="AC77" s="22"/>
      <c r="AD77" s="22"/>
      <c r="AE77" s="22"/>
      <c r="AF77" s="22"/>
      <c r="AG77" s="22"/>
      <c r="AH77" s="22"/>
      <c r="AI77" s="22"/>
      <c r="AJ77" s="22"/>
      <c r="AK77" s="22"/>
    </row>
    <row r="78" spans="1:37">
      <c r="A78" s="3"/>
      <c r="D78" s="6"/>
      <c r="E78" s="6"/>
      <c r="F78" s="6"/>
    </row>
    <row r="79" spans="1:37">
      <c r="A79" t="s">
        <v>18</v>
      </c>
      <c r="D79" s="6"/>
      <c r="H79" s="230">
        <f>H81</f>
        <v>0.98764599117714935</v>
      </c>
      <c r="I79" s="230">
        <f t="shared" ref="I79:N79" si="27">I81</f>
        <v>0.99600436824406879</v>
      </c>
      <c r="J79" s="230">
        <f t="shared" si="27"/>
        <v>1.0006501106917571</v>
      </c>
      <c r="K79" s="230">
        <f t="shared" si="27"/>
        <v>1.0243688041909564</v>
      </c>
      <c r="L79" s="230">
        <f t="shared" si="27"/>
        <v>1.0708760500785026</v>
      </c>
      <c r="M79" s="230">
        <f t="shared" si="27"/>
        <v>0.93664565775628705</v>
      </c>
      <c r="N79" s="230">
        <f t="shared" si="27"/>
        <v>1.041910775578212</v>
      </c>
      <c r="O79" s="230">
        <f>O81</f>
        <v>1.0739218834433519</v>
      </c>
    </row>
    <row r="80" spans="1:37">
      <c r="A80" s="3"/>
      <c r="D80" s="6"/>
      <c r="H80" s="12"/>
      <c r="I80" s="12"/>
      <c r="K80" s="11"/>
      <c r="L80" s="11"/>
      <c r="M80" s="11"/>
      <c r="N80" s="11"/>
    </row>
    <row r="81" spans="1:17">
      <c r="A81" t="s">
        <v>15</v>
      </c>
      <c r="D81" s="6"/>
      <c r="H81" s="22">
        <f>GEOMEAN(H62:H77)</f>
        <v>0.98764599117714935</v>
      </c>
      <c r="I81" s="22">
        <f>GEOMEAN(I62:I77)</f>
        <v>0.99600436824406879</v>
      </c>
      <c r="J81" s="22">
        <f>GEOMEAN(J62:J77)</f>
        <v>1.0006501106917571</v>
      </c>
      <c r="K81" s="22">
        <f t="shared" ref="K81" si="28">GEOMEAN(K62:K77)</f>
        <v>1.0243688041909564</v>
      </c>
      <c r="L81" s="22">
        <f>GEOMEAN(L62:L77)</f>
        <v>1.0708760500785026</v>
      </c>
      <c r="M81" s="22">
        <f>GEOMEAN(M62:M77)</f>
        <v>0.93664565775628705</v>
      </c>
      <c r="N81" s="22">
        <f>GEOMEAN(N62:N77)</f>
        <v>1.041910775578212</v>
      </c>
      <c r="O81" s="22">
        <f>GEOMEAN(O62:O77)</f>
        <v>1.0739218834433519</v>
      </c>
    </row>
    <row r="82" spans="1:17">
      <c r="D82" s="6"/>
      <c r="H82" s="22"/>
      <c r="I82" s="22"/>
      <c r="J82" s="22"/>
      <c r="K82" s="22"/>
      <c r="L82" s="22"/>
      <c r="M82" s="22"/>
      <c r="N82" s="22"/>
    </row>
    <row r="83" spans="1:17">
      <c r="A83" s="17" t="s">
        <v>44</v>
      </c>
    </row>
    <row r="84" spans="1:17">
      <c r="A84" s="17">
        <v>2020</v>
      </c>
      <c r="G84" s="6">
        <f>SUM(H84:O84)</f>
        <v>1443350607.6222718</v>
      </c>
      <c r="H84" s="6">
        <f>H56*'Rate Class Customer Model'!B22</f>
        <v>404095707.75236374</v>
      </c>
      <c r="I84" s="6">
        <f>I56*'Rate Class Customer Model'!C22</f>
        <v>199172654.60698915</v>
      </c>
      <c r="J84" s="6">
        <f>J56*'Rate Class Customer Model'!D22</f>
        <v>684251974.28913367</v>
      </c>
      <c r="K84" s="6">
        <f>K56*'Rate Class Customer Model'!E22</f>
        <v>98527751.366641343</v>
      </c>
      <c r="L84" s="6">
        <f>L56*'Rate Class Customer Model'!F22</f>
        <v>9216027.4482361786</v>
      </c>
      <c r="M84" s="6">
        <f>M56*'Rate Class Customer Model'!G22</f>
        <v>3312567.3542689346</v>
      </c>
      <c r="N84" s="6">
        <f>N56*'Rate Class Customer Model'!H22</f>
        <v>2916210.6123742708</v>
      </c>
      <c r="O84" s="24">
        <f>O56*'Rate Class Customer Model'!I22</f>
        <v>41857714.1922644</v>
      </c>
    </row>
    <row r="85" spans="1:17">
      <c r="A85" s="17">
        <v>2021</v>
      </c>
      <c r="G85" s="6">
        <f>SUM(H85:O85)</f>
        <v>1465306074.6781659</v>
      </c>
      <c r="H85" s="6">
        <f>H57*'Rate Class Customer Model'!B23</f>
        <v>406730672.49909031</v>
      </c>
      <c r="I85" s="6">
        <f>I57*'Rate Class Customer Model'!C23</f>
        <v>201352916.92387268</v>
      </c>
      <c r="J85" s="6">
        <f>J57*'Rate Class Customer Model'!D23</f>
        <v>701326151.30119157</v>
      </c>
      <c r="K85" s="6">
        <f>K57*'Rate Class Customer Model'!E23</f>
        <v>98527751.366641343</v>
      </c>
      <c r="L85" s="6">
        <f>L57*'Rate Class Customer Model'!F23</f>
        <v>9216027.4482361786</v>
      </c>
      <c r="M85" s="6">
        <f>M57*'Rate Class Customer Model'!G23</f>
        <v>3347727.2638350842</v>
      </c>
      <c r="N85" s="6">
        <f>N57*'Rate Class Customer Model'!H23</f>
        <v>2947113.6830343921</v>
      </c>
      <c r="O85" s="6">
        <f>O57*'Rate Class Customer Model'!I23</f>
        <v>41857714.1922644</v>
      </c>
    </row>
    <row r="87" spans="1:17">
      <c r="A87" s="17" t="s">
        <v>43</v>
      </c>
      <c r="P87" s="6" t="s">
        <v>17</v>
      </c>
    </row>
    <row r="88" spans="1:17">
      <c r="A88" s="17">
        <v>2020</v>
      </c>
      <c r="G88" s="24">
        <f>G29</f>
        <v>1430063907.5450876</v>
      </c>
      <c r="H88" s="6">
        <f>H84+H96</f>
        <v>399456598.48546529</v>
      </c>
      <c r="I88" s="6">
        <f t="shared" ref="I88:O88" si="29">I84+I96</f>
        <v>196886107.90536895</v>
      </c>
      <c r="J88" s="6">
        <f t="shared" si="29"/>
        <v>679022050.84233797</v>
      </c>
      <c r="K88" s="6">
        <f>K84+K96</f>
        <v>97396630.704771414</v>
      </c>
      <c r="L88" s="6">
        <f>L84+L96</f>
        <v>9216027.4482361786</v>
      </c>
      <c r="M88" s="6">
        <f t="shared" si="29"/>
        <v>3312567.3542689346</v>
      </c>
      <c r="N88" s="6">
        <f>N84+N96</f>
        <v>2916210.6123742708</v>
      </c>
      <c r="O88" s="6">
        <f t="shared" si="29"/>
        <v>41857714.1922644</v>
      </c>
      <c r="P88" s="6">
        <f>SUM(H88:O88)</f>
        <v>1430063907.5450876</v>
      </c>
      <c r="Q88" s="6">
        <f>G88-P88</f>
        <v>0</v>
      </c>
    </row>
    <row r="89" spans="1:17">
      <c r="A89" s="17">
        <v>2021</v>
      </c>
      <c r="G89" s="24">
        <f>G30</f>
        <v>1431623886.2692995</v>
      </c>
      <c r="H89" s="6">
        <f>H85+H97</f>
        <v>395056933.99144065</v>
      </c>
      <c r="I89" s="6">
        <f t="shared" ref="I89:O89" si="30">I85+I97</f>
        <v>195573806.9160651</v>
      </c>
      <c r="J89" s="6">
        <f t="shared" si="30"/>
        <v>687924695.51628542</v>
      </c>
      <c r="K89" s="6">
        <f t="shared" si="30"/>
        <v>95699867.258138403</v>
      </c>
      <c r="L89" s="6">
        <f t="shared" si="30"/>
        <v>9216027.4482361786</v>
      </c>
      <c r="M89" s="6">
        <f t="shared" si="30"/>
        <v>3347727.2638350842</v>
      </c>
      <c r="N89" s="6">
        <f t="shared" si="30"/>
        <v>2947113.6830343921</v>
      </c>
      <c r="O89" s="6">
        <f t="shared" si="30"/>
        <v>41857714.1922644</v>
      </c>
      <c r="P89" s="6">
        <f>SUM(H89:O89)</f>
        <v>1431623886.2692997</v>
      </c>
      <c r="Q89" s="6">
        <f>G89-P89</f>
        <v>0</v>
      </c>
    </row>
    <row r="90" spans="1:17">
      <c r="G90" s="24"/>
    </row>
    <row r="91" spans="1:17">
      <c r="A91" t="s">
        <v>45</v>
      </c>
      <c r="G91" s="24"/>
      <c r="H91" s="204">
        <f>(100%+J91)/2</f>
        <v>0.74950000000000006</v>
      </c>
      <c r="I91" s="204">
        <f>H91</f>
        <v>0.74950000000000006</v>
      </c>
      <c r="J91" s="204">
        <v>0.499</v>
      </c>
      <c r="K91" s="204">
        <f>+I91</f>
        <v>0.74950000000000006</v>
      </c>
      <c r="L91" s="205">
        <v>0</v>
      </c>
      <c r="M91" s="205">
        <v>0</v>
      </c>
      <c r="N91" s="205">
        <v>0</v>
      </c>
      <c r="O91" s="206">
        <v>0</v>
      </c>
      <c r="P91" s="128" t="s">
        <v>17</v>
      </c>
    </row>
    <row r="92" spans="1:17">
      <c r="A92" s="17">
        <v>2020</v>
      </c>
      <c r="G92" s="6">
        <f>G88-G84</f>
        <v>-13286700.0771842</v>
      </c>
      <c r="H92" s="6">
        <f>H84*H$91</f>
        <v>302869732.96039665</v>
      </c>
      <c r="I92" s="6">
        <f t="shared" ref="I92:O93" si="31">I84*I$91</f>
        <v>149279904.62793839</v>
      </c>
      <c r="J92" s="6">
        <f t="shared" si="31"/>
        <v>341441735.17027771</v>
      </c>
      <c r="K92" s="6">
        <f t="shared" si="31"/>
        <v>73846549.649297684</v>
      </c>
      <c r="L92" s="6">
        <f t="shared" si="31"/>
        <v>0</v>
      </c>
      <c r="M92" s="6">
        <f t="shared" si="31"/>
        <v>0</v>
      </c>
      <c r="N92" s="6">
        <f t="shared" si="31"/>
        <v>0</v>
      </c>
      <c r="O92" s="6">
        <f t="shared" si="31"/>
        <v>0</v>
      </c>
      <c r="P92" s="6">
        <f>SUM(H92:O92)</f>
        <v>867437922.40791047</v>
      </c>
    </row>
    <row r="93" spans="1:17">
      <c r="A93" s="17">
        <v>2021</v>
      </c>
      <c r="G93" s="6">
        <f>G89-G85</f>
        <v>-33682188.408866405</v>
      </c>
      <c r="H93" s="6">
        <f>H85*H$91</f>
        <v>304844639.03806823</v>
      </c>
      <c r="I93" s="6">
        <f t="shared" si="31"/>
        <v>150914011.23444259</v>
      </c>
      <c r="J93" s="6">
        <f t="shared" si="31"/>
        <v>349961749.49929458</v>
      </c>
      <c r="K93" s="6">
        <f t="shared" si="31"/>
        <v>73846549.649297684</v>
      </c>
      <c r="L93" s="6">
        <f t="shared" si="31"/>
        <v>0</v>
      </c>
      <c r="M93" s="6">
        <f t="shared" si="31"/>
        <v>0</v>
      </c>
      <c r="N93" s="6">
        <f t="shared" si="31"/>
        <v>0</v>
      </c>
      <c r="O93" s="6">
        <f t="shared" si="31"/>
        <v>0</v>
      </c>
      <c r="P93" s="6">
        <f>SUM(H93:O93)</f>
        <v>879566949.42110312</v>
      </c>
    </row>
    <row r="94" spans="1:17" ht="12" customHeight="1"/>
    <row r="95" spans="1:17">
      <c r="A95" t="s">
        <v>46</v>
      </c>
    </row>
    <row r="96" spans="1:17">
      <c r="A96" s="17">
        <v>2020</v>
      </c>
      <c r="H96" s="6">
        <f>H92/$P$92*$G$92</f>
        <v>-4639109.2668984318</v>
      </c>
      <c r="I96" s="6">
        <f t="shared" ref="I96:O96" si="32">I92/$P$92*$G$92</f>
        <v>-2286546.7016201913</v>
      </c>
      <c r="J96" s="6">
        <f t="shared" si="32"/>
        <v>-5229923.4467956498</v>
      </c>
      <c r="K96" s="6">
        <f>K92/$P$92*$G$92</f>
        <v>-1131120.6618699273</v>
      </c>
      <c r="L96" s="6">
        <f t="shared" si="32"/>
        <v>0</v>
      </c>
      <c r="M96" s="6">
        <f t="shared" si="32"/>
        <v>0</v>
      </c>
      <c r="N96" s="6">
        <f t="shared" si="32"/>
        <v>0</v>
      </c>
      <c r="O96" s="6">
        <f t="shared" si="32"/>
        <v>0</v>
      </c>
      <c r="P96" s="6">
        <f>SUM(H96:O96)</f>
        <v>-13286700.0771842</v>
      </c>
    </row>
    <row r="97" spans="1:16">
      <c r="A97" s="17">
        <v>2021</v>
      </c>
      <c r="G97" s="23"/>
      <c r="H97" s="6">
        <f>H93/$P$93*$G$93</f>
        <v>-11673738.507649675</v>
      </c>
      <c r="I97" s="6">
        <f t="shared" ref="I97:O97" si="33">I93/$P$93*$G$93</f>
        <v>-5779110.0078075761</v>
      </c>
      <c r="J97" s="6">
        <f t="shared" si="33"/>
        <v>-13401455.784906209</v>
      </c>
      <c r="K97" s="6">
        <f t="shared" si="33"/>
        <v>-2827884.1085029463</v>
      </c>
      <c r="L97" s="6">
        <f t="shared" si="33"/>
        <v>0</v>
      </c>
      <c r="M97" s="6">
        <f t="shared" si="33"/>
        <v>0</v>
      </c>
      <c r="N97" s="6">
        <f t="shared" si="33"/>
        <v>0</v>
      </c>
      <c r="O97" s="6">
        <f t="shared" si="33"/>
        <v>0</v>
      </c>
      <c r="P97" s="6">
        <f>SUM(H97:O97)</f>
        <v>-33682188.408866405</v>
      </c>
    </row>
    <row r="98" spans="1:16">
      <c r="G98" s="23"/>
    </row>
    <row r="99" spans="1:16">
      <c r="A99" s="66"/>
      <c r="E99" s="20"/>
      <c r="F99" s="129"/>
      <c r="G99" s="24"/>
    </row>
    <row r="100" spans="1:16">
      <c r="A100" s="17"/>
      <c r="G100" s="128"/>
      <c r="H100" s="24"/>
      <c r="I100" s="24"/>
      <c r="J100" s="120"/>
      <c r="K100" s="120"/>
      <c r="O100" s="24"/>
    </row>
    <row r="101" spans="1:16">
      <c r="A101" s="17"/>
      <c r="E101" s="160"/>
      <c r="F101" s="20"/>
      <c r="G101" s="128"/>
      <c r="H101" s="24"/>
      <c r="I101" s="24"/>
      <c r="J101" s="120"/>
      <c r="K101" s="120"/>
      <c r="O101" s="24"/>
    </row>
    <row r="103" spans="1:16">
      <c r="A103" s="89"/>
    </row>
    <row r="104" spans="1:16">
      <c r="A104" s="17"/>
    </row>
    <row r="105" spans="1:16">
      <c r="A105" s="17"/>
    </row>
    <row r="108" spans="1:16">
      <c r="B108" s="20"/>
      <c r="C108" s="20"/>
      <c r="D108" s="20"/>
      <c r="E108" s="20"/>
      <c r="F108" s="20"/>
      <c r="G108" s="24"/>
    </row>
    <row r="109" spans="1:16">
      <c r="B109" s="20"/>
      <c r="C109" s="20"/>
      <c r="D109" s="20"/>
      <c r="E109" s="20"/>
      <c r="F109" s="20"/>
      <c r="G109" s="24"/>
    </row>
    <row r="110" spans="1:16">
      <c r="B110" s="20"/>
      <c r="C110" s="20"/>
      <c r="D110" s="20"/>
      <c r="E110" s="20"/>
      <c r="F110" s="20"/>
      <c r="G110" s="24"/>
    </row>
    <row r="111" spans="1:16">
      <c r="B111" s="20"/>
      <c r="C111" s="133"/>
      <c r="D111" s="20"/>
      <c r="E111" s="20"/>
      <c r="F111" s="20"/>
      <c r="G111" s="24"/>
    </row>
    <row r="112" spans="1:16">
      <c r="B112" s="20"/>
      <c r="C112" s="20"/>
      <c r="D112" s="20"/>
      <c r="E112" s="20"/>
      <c r="F112" s="20"/>
      <c r="G112" s="24"/>
    </row>
    <row r="113" spans="2:7">
      <c r="B113" s="20"/>
      <c r="C113" s="20"/>
      <c r="D113" s="20"/>
      <c r="E113" s="20"/>
      <c r="F113" s="20"/>
      <c r="G113" s="24"/>
    </row>
    <row r="114" spans="2:7">
      <c r="B114" s="20"/>
      <c r="C114" s="20"/>
      <c r="D114" s="20"/>
      <c r="E114" s="20"/>
      <c r="F114" s="20"/>
      <c r="G114" s="24"/>
    </row>
  </sheetData>
  <mergeCells count="3">
    <mergeCell ref="H1:O1"/>
    <mergeCell ref="Q1:Z1"/>
    <mergeCell ref="AB1:AK1"/>
  </mergeCells>
  <phoneticPr fontId="0" type="noConversion"/>
  <pageMargins left="0.39370078740157483" right="0.74803149606299213" top="0.74803149606299213" bottom="0.74803149606299213" header="0.51181102362204722" footer="0.51181102362204722"/>
  <pageSetup scale="22" orientation="landscape" r:id="rId1"/>
  <headerFooter alignWithMargins="0">
    <oddFooter>&amp;L&amp;Z&amp;F</oddFooter>
  </headerFooter>
  <colBreaks count="1" manualBreakCount="1">
    <brk id="27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90"/>
  <sheetViews>
    <sheetView zoomScaleNormal="100" workbookViewId="0">
      <pane xSplit="1" ySplit="2" topLeftCell="B3" activePane="bottomRight" state="frozen"/>
      <selection activeCell="M35" sqref="M35"/>
      <selection pane="topRight" activeCell="M35" sqref="M35"/>
      <selection pane="bottomLeft" activeCell="M35" sqref="M35"/>
      <selection pane="bottomRight" activeCell="L72" sqref="L72"/>
    </sheetView>
  </sheetViews>
  <sheetFormatPr defaultRowHeight="12.75"/>
  <cols>
    <col min="1" max="1" width="14.28515625" customWidth="1"/>
    <col min="2" max="2" width="15" style="6" customWidth="1"/>
    <col min="3" max="3" width="14.140625" style="6" bestFit="1" customWidth="1"/>
    <col min="4" max="4" width="17.85546875" style="6" bestFit="1" customWidth="1"/>
    <col min="5" max="6" width="12.5703125" style="6" customWidth="1"/>
    <col min="7" max="7" width="11.28515625" style="6" customWidth="1"/>
    <col min="8" max="8" width="11.5703125" style="6" customWidth="1"/>
    <col min="9" max="9" width="12.7109375" style="6" bestFit="1" customWidth="1"/>
    <col min="10" max="10" width="2.42578125" style="6" customWidth="1"/>
    <col min="11" max="11" width="14.28515625" style="6" customWidth="1"/>
    <col min="12" max="12" width="11.7109375" style="6" bestFit="1" customWidth="1"/>
    <col min="13" max="13" width="10.7109375" style="6" bestFit="1" customWidth="1"/>
    <col min="14" max="15" width="9.140625" style="6" customWidth="1"/>
  </cols>
  <sheetData>
    <row r="1" spans="1:13" ht="13.5" thickBot="1">
      <c r="A1" s="130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</row>
    <row r="2" spans="1:13" ht="39" thickBot="1">
      <c r="A2" s="135"/>
      <c r="B2" s="9" t="str">
        <f>'Rate Class Energy Model'!H2</f>
        <v xml:space="preserve">Residential </v>
      </c>
      <c r="C2" s="9" t="str">
        <f>'Rate Class Energy Model'!I2</f>
        <v>General Service &lt; 50 kW</v>
      </c>
      <c r="D2" s="9" t="str">
        <f>'Rate Class Energy Model'!J2</f>
        <v>General Service &gt; 50 to 4999 kW</v>
      </c>
      <c r="E2" s="9" t="str">
        <f>'Rate Class Energy Model'!K2</f>
        <v>Large User</v>
      </c>
      <c r="F2" s="9" t="s">
        <v>71</v>
      </c>
      <c r="G2" s="9" t="str">
        <f>'Rate Class Energy Model'!M2</f>
        <v>Street Lights</v>
      </c>
      <c r="H2" s="9" t="str">
        <f>'Rate Class Energy Model'!N2</f>
        <v xml:space="preserve">Unmetered Loads </v>
      </c>
      <c r="I2" s="88" t="str">
        <f>'Rate Class Energy Model'!O2</f>
        <v>Embedded Distributors - #1</v>
      </c>
      <c r="J2" s="88"/>
      <c r="K2" s="6" t="s">
        <v>10</v>
      </c>
    </row>
    <row r="3" spans="1:13">
      <c r="A3" s="4"/>
      <c r="B3" s="36"/>
      <c r="C3" s="36"/>
      <c r="D3" s="36"/>
      <c r="E3" s="36"/>
      <c r="F3" s="36"/>
      <c r="G3" s="36"/>
      <c r="H3" s="36"/>
      <c r="I3" s="56"/>
      <c r="J3" s="56"/>
      <c r="K3" s="35"/>
    </row>
    <row r="4" spans="1:13">
      <c r="A4" s="4">
        <v>2002</v>
      </c>
      <c r="B4" s="56"/>
      <c r="C4" s="56"/>
      <c r="D4" s="35"/>
      <c r="E4" s="56"/>
      <c r="F4" s="35"/>
      <c r="G4" s="35"/>
      <c r="H4" s="35"/>
      <c r="I4" s="56"/>
      <c r="J4" s="56"/>
      <c r="K4" s="56"/>
    </row>
    <row r="5" spans="1:13">
      <c r="A5" s="4">
        <v>2003</v>
      </c>
      <c r="B5" s="36">
        <f t="shared" ref="B5:B16" si="0">(+B63+B64)/2</f>
        <v>39235.5</v>
      </c>
      <c r="C5" s="36">
        <f t="shared" ref="C5:I5" si="1">(+C63+C64)/2</f>
        <v>4966.5</v>
      </c>
      <c r="D5" s="36">
        <f t="shared" si="1"/>
        <v>646</v>
      </c>
      <c r="E5" s="36">
        <f t="shared" si="1"/>
        <v>1</v>
      </c>
      <c r="F5" s="36">
        <f t="shared" si="1"/>
        <v>0</v>
      </c>
      <c r="G5" s="36">
        <f t="shared" si="1"/>
        <v>12291.5</v>
      </c>
      <c r="H5" s="36">
        <f t="shared" si="1"/>
        <v>458.5</v>
      </c>
      <c r="I5" s="36">
        <f t="shared" si="1"/>
        <v>0</v>
      </c>
      <c r="J5" s="36"/>
      <c r="K5" s="56">
        <f t="shared" ref="K5:K16" si="2">SUM(B5:J5)</f>
        <v>57599</v>
      </c>
    </row>
    <row r="6" spans="1:13">
      <c r="A6" s="4">
        <v>2004</v>
      </c>
      <c r="B6" s="36">
        <f t="shared" si="0"/>
        <v>40531</v>
      </c>
      <c r="C6" s="36">
        <f t="shared" ref="C6:I12" si="3">(+C64+C65)/2</f>
        <v>5001</v>
      </c>
      <c r="D6" s="36">
        <f t="shared" si="3"/>
        <v>631.5</v>
      </c>
      <c r="E6" s="36">
        <f t="shared" si="3"/>
        <v>1</v>
      </c>
      <c r="F6" s="36">
        <f t="shared" si="3"/>
        <v>0</v>
      </c>
      <c r="G6" s="36">
        <f t="shared" si="3"/>
        <v>12568</v>
      </c>
      <c r="H6" s="36">
        <f t="shared" si="3"/>
        <v>490</v>
      </c>
      <c r="I6" s="36">
        <f t="shared" si="3"/>
        <v>0</v>
      </c>
      <c r="J6" s="36"/>
      <c r="K6" s="56">
        <f t="shared" si="2"/>
        <v>59222.5</v>
      </c>
    </row>
    <row r="7" spans="1:13">
      <c r="A7" s="4">
        <v>2005</v>
      </c>
      <c r="B7" s="36">
        <f t="shared" si="0"/>
        <v>41768.5</v>
      </c>
      <c r="C7" s="36">
        <f t="shared" si="3"/>
        <v>5061.5</v>
      </c>
      <c r="D7" s="36">
        <f t="shared" si="3"/>
        <v>622.5</v>
      </c>
      <c r="E7" s="36">
        <f t="shared" si="3"/>
        <v>1</v>
      </c>
      <c r="F7" s="36">
        <f t="shared" si="3"/>
        <v>0</v>
      </c>
      <c r="G7" s="36">
        <f t="shared" si="3"/>
        <v>12934.5</v>
      </c>
      <c r="H7" s="36">
        <f t="shared" si="3"/>
        <v>490.5</v>
      </c>
      <c r="I7" s="36">
        <f t="shared" si="3"/>
        <v>0</v>
      </c>
      <c r="J7" s="36"/>
      <c r="K7" s="56">
        <f t="shared" si="2"/>
        <v>60878.5</v>
      </c>
    </row>
    <row r="8" spans="1:13">
      <c r="A8" s="4">
        <v>2006</v>
      </c>
      <c r="B8" s="36">
        <f t="shared" si="0"/>
        <v>42667.5</v>
      </c>
      <c r="C8" s="36">
        <f t="shared" si="3"/>
        <v>5119</v>
      </c>
      <c r="D8" s="36">
        <f t="shared" si="3"/>
        <v>621.5</v>
      </c>
      <c r="E8" s="36">
        <f t="shared" si="3"/>
        <v>1</v>
      </c>
      <c r="F8" s="36">
        <f t="shared" si="3"/>
        <v>0</v>
      </c>
      <c r="G8" s="36">
        <f t="shared" si="3"/>
        <v>13176.5</v>
      </c>
      <c r="H8" s="36">
        <f t="shared" si="3"/>
        <v>530</v>
      </c>
      <c r="I8" s="36">
        <f t="shared" si="3"/>
        <v>0</v>
      </c>
      <c r="J8" s="36"/>
      <c r="K8" s="56">
        <f t="shared" si="2"/>
        <v>62115.5</v>
      </c>
    </row>
    <row r="9" spans="1:13">
      <c r="A9" s="4">
        <v>2007</v>
      </c>
      <c r="B9" s="36">
        <f t="shared" si="0"/>
        <v>43381.5</v>
      </c>
      <c r="C9" s="36">
        <f t="shared" si="3"/>
        <v>5151</v>
      </c>
      <c r="D9" s="36">
        <f t="shared" si="3"/>
        <v>627</v>
      </c>
      <c r="E9" s="36">
        <f t="shared" si="3"/>
        <v>1</v>
      </c>
      <c r="F9" s="36">
        <f t="shared" si="3"/>
        <v>0</v>
      </c>
      <c r="G9" s="36">
        <f t="shared" si="3"/>
        <v>13357.5</v>
      </c>
      <c r="H9" s="36">
        <f t="shared" si="3"/>
        <v>553.5</v>
      </c>
      <c r="I9" s="36">
        <f t="shared" si="3"/>
        <v>0</v>
      </c>
      <c r="J9" s="36"/>
      <c r="K9" s="56">
        <f t="shared" si="2"/>
        <v>63071.5</v>
      </c>
    </row>
    <row r="10" spans="1:13">
      <c r="A10" s="4">
        <v>2008</v>
      </c>
      <c r="B10" s="36">
        <f t="shared" si="0"/>
        <v>44171.5</v>
      </c>
      <c r="C10" s="36">
        <f t="shared" si="3"/>
        <v>5183.5</v>
      </c>
      <c r="D10" s="36">
        <f t="shared" si="3"/>
        <v>647</v>
      </c>
      <c r="E10" s="36">
        <f t="shared" si="3"/>
        <v>1</v>
      </c>
      <c r="F10" s="36">
        <f t="shared" si="3"/>
        <v>0</v>
      </c>
      <c r="G10" s="36">
        <f t="shared" si="3"/>
        <v>13458.5</v>
      </c>
      <c r="H10" s="36">
        <f t="shared" si="3"/>
        <v>533.5</v>
      </c>
      <c r="I10" s="36">
        <f t="shared" si="3"/>
        <v>0</v>
      </c>
      <c r="J10" s="36"/>
      <c r="K10" s="56">
        <f t="shared" si="2"/>
        <v>63995</v>
      </c>
    </row>
    <row r="11" spans="1:13">
      <c r="A11" s="4">
        <v>2009</v>
      </c>
      <c r="B11" s="36">
        <f t="shared" si="0"/>
        <v>44853</v>
      </c>
      <c r="C11" s="36">
        <f t="shared" si="3"/>
        <v>5252.5</v>
      </c>
      <c r="D11" s="36">
        <f t="shared" si="3"/>
        <v>662.5</v>
      </c>
      <c r="E11" s="36">
        <f t="shared" si="3"/>
        <v>1</v>
      </c>
      <c r="F11" s="36">
        <f t="shared" si="3"/>
        <v>0</v>
      </c>
      <c r="G11" s="36">
        <f t="shared" si="3"/>
        <v>13548</v>
      </c>
      <c r="H11" s="36">
        <f t="shared" si="3"/>
        <v>534</v>
      </c>
      <c r="I11" s="36">
        <f t="shared" si="3"/>
        <v>0</v>
      </c>
      <c r="J11" s="36"/>
      <c r="K11" s="56">
        <f t="shared" si="2"/>
        <v>64851</v>
      </c>
    </row>
    <row r="12" spans="1:13">
      <c r="A12" s="4">
        <v>2010</v>
      </c>
      <c r="B12" s="36">
        <f t="shared" si="0"/>
        <v>45488</v>
      </c>
      <c r="C12" s="36">
        <f t="shared" si="3"/>
        <v>5342.5</v>
      </c>
      <c r="D12" s="36">
        <f t="shared" si="3"/>
        <v>663</v>
      </c>
      <c r="E12" s="36">
        <f t="shared" si="3"/>
        <v>1</v>
      </c>
      <c r="F12" s="36">
        <f t="shared" si="3"/>
        <v>0</v>
      </c>
      <c r="G12" s="36">
        <f t="shared" si="3"/>
        <v>13638.5</v>
      </c>
      <c r="H12" s="36">
        <f t="shared" si="3"/>
        <v>536.5</v>
      </c>
      <c r="I12" s="36">
        <f t="shared" si="3"/>
        <v>0</v>
      </c>
      <c r="J12" s="36"/>
      <c r="K12" s="56">
        <f t="shared" si="2"/>
        <v>65669.5</v>
      </c>
    </row>
    <row r="13" spans="1:13">
      <c r="A13" s="4">
        <v>2011</v>
      </c>
      <c r="B13" s="36">
        <f t="shared" si="0"/>
        <v>46194</v>
      </c>
      <c r="C13" s="36">
        <f t="shared" ref="C13:H13" si="4">(+C71+C72)/2</f>
        <v>5401.5</v>
      </c>
      <c r="D13" s="36">
        <f t="shared" si="4"/>
        <v>666</v>
      </c>
      <c r="E13" s="36">
        <f t="shared" si="4"/>
        <v>1</v>
      </c>
      <c r="F13" s="36">
        <f t="shared" si="4"/>
        <v>0</v>
      </c>
      <c r="G13" s="36">
        <f t="shared" si="4"/>
        <v>13677.5</v>
      </c>
      <c r="H13" s="36">
        <f t="shared" si="4"/>
        <v>499</v>
      </c>
      <c r="I13" s="97">
        <v>1</v>
      </c>
      <c r="J13" s="36"/>
      <c r="K13" s="56">
        <f t="shared" si="2"/>
        <v>66440</v>
      </c>
    </row>
    <row r="14" spans="1:13">
      <c r="A14" s="4">
        <v>2012</v>
      </c>
      <c r="B14" s="36">
        <f t="shared" si="0"/>
        <v>46876.5</v>
      </c>
      <c r="C14" s="36">
        <f t="shared" ref="C14:E16" si="5">(+C72+C73)/2</f>
        <v>5453.5</v>
      </c>
      <c r="D14" s="36">
        <f t="shared" si="5"/>
        <v>667</v>
      </c>
      <c r="E14" s="36">
        <f t="shared" si="5"/>
        <v>1</v>
      </c>
      <c r="F14" s="97">
        <v>2</v>
      </c>
      <c r="G14" s="36">
        <f t="shared" ref="G14:I16" si="6">(+G72+G73)/2</f>
        <v>13735.5</v>
      </c>
      <c r="H14" s="36">
        <f t="shared" si="6"/>
        <v>471.5</v>
      </c>
      <c r="I14" s="36">
        <f t="shared" si="6"/>
        <v>1</v>
      </c>
      <c r="J14" s="36"/>
      <c r="K14" s="56">
        <f t="shared" si="2"/>
        <v>67208</v>
      </c>
    </row>
    <row r="15" spans="1:13">
      <c r="A15" s="4">
        <v>2013</v>
      </c>
      <c r="B15" s="36">
        <f t="shared" si="0"/>
        <v>47602</v>
      </c>
      <c r="C15" s="36">
        <f t="shared" si="5"/>
        <v>5503</v>
      </c>
      <c r="D15" s="36">
        <f t="shared" si="5"/>
        <v>668</v>
      </c>
      <c r="E15" s="36">
        <f t="shared" si="5"/>
        <v>1</v>
      </c>
      <c r="F15" s="36">
        <f>(+F73+F74)/2</f>
        <v>2</v>
      </c>
      <c r="G15" s="36">
        <f t="shared" si="6"/>
        <v>13840.5</v>
      </c>
      <c r="H15" s="36">
        <f t="shared" si="6"/>
        <v>496</v>
      </c>
      <c r="I15" s="36">
        <f t="shared" si="6"/>
        <v>1</v>
      </c>
      <c r="J15" s="36"/>
      <c r="K15" s="56">
        <f t="shared" si="2"/>
        <v>68113.5</v>
      </c>
    </row>
    <row r="16" spans="1:13">
      <c r="A16" s="136">
        <v>2014</v>
      </c>
      <c r="B16" s="97">
        <f t="shared" si="0"/>
        <v>48190.5</v>
      </c>
      <c r="C16" s="97">
        <f t="shared" si="5"/>
        <v>5546.5</v>
      </c>
      <c r="D16" s="97">
        <f t="shared" si="5"/>
        <v>681</v>
      </c>
      <c r="E16" s="97">
        <f t="shared" si="5"/>
        <v>1</v>
      </c>
      <c r="F16" s="97">
        <f>(+F74+F75)/2</f>
        <v>2</v>
      </c>
      <c r="G16" s="97">
        <f t="shared" si="6"/>
        <v>13852.5</v>
      </c>
      <c r="H16" s="97">
        <f t="shared" si="6"/>
        <v>519</v>
      </c>
      <c r="I16" s="97">
        <f t="shared" si="6"/>
        <v>1</v>
      </c>
      <c r="J16" s="36"/>
      <c r="K16" s="56">
        <f t="shared" si="2"/>
        <v>68793.5</v>
      </c>
    </row>
    <row r="17" spans="1:15">
      <c r="A17" s="136">
        <v>2015</v>
      </c>
      <c r="B17" s="97">
        <f t="shared" ref="B17:I17" si="7">(+B75+B76)/2</f>
        <v>48750</v>
      </c>
      <c r="C17" s="97">
        <f t="shared" si="7"/>
        <v>5622.5</v>
      </c>
      <c r="D17" s="97">
        <f t="shared" si="7"/>
        <v>696.5</v>
      </c>
      <c r="E17" s="97">
        <f t="shared" si="7"/>
        <v>1</v>
      </c>
      <c r="F17" s="97">
        <f t="shared" si="7"/>
        <v>2</v>
      </c>
      <c r="G17" s="97">
        <f t="shared" si="7"/>
        <v>13824</v>
      </c>
      <c r="H17" s="97">
        <f t="shared" si="7"/>
        <v>529.5</v>
      </c>
      <c r="I17" s="97">
        <f t="shared" si="7"/>
        <v>1</v>
      </c>
      <c r="J17" s="36"/>
      <c r="K17" s="56">
        <f t="shared" ref="K17:K23" si="8">SUM(B17:J17)</f>
        <v>69426.5</v>
      </c>
    </row>
    <row r="18" spans="1:15">
      <c r="A18" s="136">
        <v>2016</v>
      </c>
      <c r="B18" s="97">
        <f t="shared" ref="B18:I18" si="9">(+B76+B77)/2</f>
        <v>49431</v>
      </c>
      <c r="C18" s="97">
        <f t="shared" si="9"/>
        <v>5699.5</v>
      </c>
      <c r="D18" s="97">
        <f t="shared" si="9"/>
        <v>715</v>
      </c>
      <c r="E18" s="97">
        <f t="shared" si="9"/>
        <v>1</v>
      </c>
      <c r="F18" s="97">
        <f t="shared" si="9"/>
        <v>2</v>
      </c>
      <c r="G18" s="97">
        <f t="shared" si="9"/>
        <v>13863.5</v>
      </c>
      <c r="H18" s="97">
        <f t="shared" si="9"/>
        <v>535.5</v>
      </c>
      <c r="I18" s="97">
        <f t="shared" si="9"/>
        <v>1</v>
      </c>
      <c r="J18" s="36"/>
      <c r="K18" s="56">
        <f t="shared" si="8"/>
        <v>70248.5</v>
      </c>
    </row>
    <row r="19" spans="1:15">
      <c r="A19" s="136">
        <v>2017</v>
      </c>
      <c r="B19" s="97">
        <f t="shared" ref="B19:I19" si="10">(+B77+B78)/2</f>
        <v>50115</v>
      </c>
      <c r="C19" s="97">
        <f t="shared" si="10"/>
        <v>5782</v>
      </c>
      <c r="D19" s="97">
        <f t="shared" si="10"/>
        <v>735</v>
      </c>
      <c r="E19" s="97">
        <f t="shared" si="10"/>
        <v>1</v>
      </c>
      <c r="F19" s="97">
        <f t="shared" si="10"/>
        <v>2</v>
      </c>
      <c r="G19" s="97">
        <f t="shared" si="10"/>
        <v>14174.5</v>
      </c>
      <c r="H19" s="97">
        <f t="shared" si="10"/>
        <v>550</v>
      </c>
      <c r="I19" s="97">
        <f t="shared" si="10"/>
        <v>1</v>
      </c>
      <c r="J19" s="36"/>
      <c r="K19" s="56">
        <f t="shared" si="8"/>
        <v>71360.5</v>
      </c>
    </row>
    <row r="20" spans="1:15">
      <c r="A20" s="136">
        <v>2018</v>
      </c>
      <c r="B20" s="97">
        <f t="shared" ref="B20:I20" si="11">(+B78+B79)/2</f>
        <v>50664</v>
      </c>
      <c r="C20" s="97">
        <f t="shared" si="11"/>
        <v>5837.5</v>
      </c>
      <c r="D20" s="97">
        <f t="shared" si="11"/>
        <v>750.5</v>
      </c>
      <c r="E20" s="97">
        <f t="shared" si="11"/>
        <v>1</v>
      </c>
      <c r="F20" s="97">
        <f t="shared" si="11"/>
        <v>2.5</v>
      </c>
      <c r="G20" s="97">
        <f t="shared" si="11"/>
        <v>14545</v>
      </c>
      <c r="H20" s="97">
        <f t="shared" si="11"/>
        <v>542.5</v>
      </c>
      <c r="I20" s="97">
        <f t="shared" si="11"/>
        <v>1</v>
      </c>
      <c r="J20" s="36"/>
      <c r="K20" s="56">
        <f t="shared" si="8"/>
        <v>72344</v>
      </c>
    </row>
    <row r="21" spans="1:15">
      <c r="A21" s="136">
        <v>2019</v>
      </c>
      <c r="B21" s="97">
        <f>(+B79+B80)/2</f>
        <v>51040.5</v>
      </c>
      <c r="C21" s="97">
        <f t="shared" ref="C21:I21" si="12">(+C79+C80)/2</f>
        <v>5866.5</v>
      </c>
      <c r="D21" s="97">
        <f t="shared" si="12"/>
        <v>752</v>
      </c>
      <c r="E21" s="97">
        <f t="shared" si="12"/>
        <v>1</v>
      </c>
      <c r="F21" s="97">
        <f t="shared" si="12"/>
        <v>3</v>
      </c>
      <c r="G21" s="97">
        <f t="shared" si="12"/>
        <v>14693.5</v>
      </c>
      <c r="H21" s="97">
        <f t="shared" si="12"/>
        <v>529.5</v>
      </c>
      <c r="I21" s="97">
        <f t="shared" si="12"/>
        <v>1</v>
      </c>
      <c r="J21" s="36"/>
      <c r="K21" s="56">
        <f t="shared" si="8"/>
        <v>72887</v>
      </c>
    </row>
    <row r="22" spans="1:15">
      <c r="A22" s="136">
        <v>2020</v>
      </c>
      <c r="B22" s="97">
        <f>(+B80+B81)/2</f>
        <v>51382.980682891895</v>
      </c>
      <c r="C22" s="97">
        <f t="shared" ref="C22:I22" si="13">(+C80+C81)/2</f>
        <v>5924.2486678616242</v>
      </c>
      <c r="D22" s="97">
        <f t="shared" si="13"/>
        <v>752.27005985853282</v>
      </c>
      <c r="E22" s="97">
        <f t="shared" si="13"/>
        <v>1</v>
      </c>
      <c r="F22" s="97">
        <f t="shared" si="13"/>
        <v>3</v>
      </c>
      <c r="G22" s="97">
        <f t="shared" si="13"/>
        <v>14847.37979561582</v>
      </c>
      <c r="H22" s="97">
        <f t="shared" si="13"/>
        <v>534.81880079604389</v>
      </c>
      <c r="I22" s="97">
        <f t="shared" si="13"/>
        <v>1</v>
      </c>
      <c r="J22" s="36"/>
      <c r="K22" s="56">
        <f t="shared" si="8"/>
        <v>73446.698007023922</v>
      </c>
    </row>
    <row r="23" spans="1:15">
      <c r="A23" s="136">
        <v>2021</v>
      </c>
      <c r="B23" s="97">
        <f>(+B81+B82)/2</f>
        <v>51718.030870468057</v>
      </c>
      <c r="C23" s="97">
        <f t="shared" ref="C23:I23" si="14">(+C81+C82)/2</f>
        <v>5989.0990166802058</v>
      </c>
      <c r="D23" s="97">
        <f t="shared" si="14"/>
        <v>771.04149588725591</v>
      </c>
      <c r="E23" s="97">
        <f t="shared" si="14"/>
        <v>1</v>
      </c>
      <c r="F23" s="97">
        <f t="shared" si="14"/>
        <v>3</v>
      </c>
      <c r="G23" s="97">
        <f t="shared" si="14"/>
        <v>15004.971317561896</v>
      </c>
      <c r="H23" s="97">
        <f t="shared" si="14"/>
        <v>540.486273207409</v>
      </c>
      <c r="I23" s="97">
        <f t="shared" si="14"/>
        <v>1</v>
      </c>
      <c r="J23" s="36"/>
      <c r="K23" s="56">
        <f t="shared" si="8"/>
        <v>74028.628973804822</v>
      </c>
    </row>
    <row r="24" spans="1:15" s="51" customFormat="1">
      <c r="A24" s="217"/>
      <c r="B24" s="218"/>
      <c r="C24" s="218"/>
      <c r="D24" s="219"/>
      <c r="E24" s="218"/>
      <c r="F24" s="218"/>
      <c r="G24" s="220"/>
      <c r="H24" s="220"/>
      <c r="I24" s="220"/>
      <c r="J24" s="220"/>
      <c r="K24" s="220"/>
      <c r="L24" s="220"/>
      <c r="M24" s="220"/>
      <c r="N24" s="220"/>
      <c r="O24" s="220"/>
    </row>
    <row r="25" spans="1:15">
      <c r="A25" s="17" t="s">
        <v>42</v>
      </c>
      <c r="B25" s="5"/>
      <c r="C25" s="5"/>
      <c r="D25" s="117"/>
      <c r="E25" s="95"/>
      <c r="F25" s="5"/>
      <c r="G25" s="21"/>
      <c r="H25" s="99"/>
    </row>
    <row r="26" spans="1:15">
      <c r="A26" s="4"/>
      <c r="B26" s="21"/>
      <c r="C26" s="21"/>
      <c r="D26" s="118"/>
      <c r="E26" s="96"/>
      <c r="F26" s="21"/>
      <c r="G26" s="21"/>
      <c r="H26" s="100"/>
    </row>
    <row r="27" spans="1:15">
      <c r="A27" s="4">
        <v>2002</v>
      </c>
      <c r="B27" s="21"/>
      <c r="C27" s="21"/>
      <c r="D27" s="118"/>
      <c r="E27" s="21"/>
      <c r="F27" s="118"/>
      <c r="G27" s="21"/>
      <c r="H27" s="100"/>
    </row>
    <row r="28" spans="1:15">
      <c r="A28" s="4">
        <v>2003</v>
      </c>
      <c r="B28" s="21"/>
      <c r="C28" s="21"/>
      <c r="D28" s="21"/>
      <c r="E28" s="21"/>
      <c r="F28" s="118"/>
      <c r="G28" s="21"/>
      <c r="H28" s="21"/>
    </row>
    <row r="29" spans="1:15">
      <c r="A29" s="4">
        <v>2004</v>
      </c>
      <c r="B29" s="21">
        <f t="shared" ref="B29:E39" si="15">B6/B5</f>
        <v>1.0330185673688368</v>
      </c>
      <c r="C29" s="21">
        <f t="shared" si="15"/>
        <v>1.0069465418302628</v>
      </c>
      <c r="D29" s="21">
        <f t="shared" si="15"/>
        <v>0.97755417956656343</v>
      </c>
      <c r="E29" s="21">
        <f t="shared" si="15"/>
        <v>1</v>
      </c>
      <c r="F29" s="21"/>
      <c r="G29" s="21"/>
      <c r="H29" s="21"/>
      <c r="K29" s="52"/>
    </row>
    <row r="30" spans="1:15">
      <c r="A30" s="4">
        <v>2005</v>
      </c>
      <c r="B30" s="21">
        <f t="shared" si="15"/>
        <v>1.0305321852409266</v>
      </c>
      <c r="C30" s="21">
        <f t="shared" si="15"/>
        <v>1.0120975804839032</v>
      </c>
      <c r="D30" s="21">
        <f t="shared" si="15"/>
        <v>0.98574821852731587</v>
      </c>
      <c r="E30" s="21">
        <f t="shared" si="15"/>
        <v>1</v>
      </c>
      <c r="F30" s="21"/>
      <c r="G30" s="21"/>
      <c r="H30" s="21"/>
    </row>
    <row r="31" spans="1:15">
      <c r="A31" s="4">
        <v>2006</v>
      </c>
      <c r="B31" s="21">
        <f t="shared" si="15"/>
        <v>1.0215233968181763</v>
      </c>
      <c r="C31" s="21">
        <f t="shared" si="15"/>
        <v>1.0113602686950509</v>
      </c>
      <c r="D31" s="21">
        <f t="shared" si="15"/>
        <v>0.99839357429718878</v>
      </c>
      <c r="E31" s="21">
        <f t="shared" si="15"/>
        <v>1</v>
      </c>
      <c r="F31" s="21"/>
      <c r="G31" s="21">
        <f t="shared" ref="G31:G39" si="16">G8/G7</f>
        <v>1.0187096524798021</v>
      </c>
      <c r="H31" s="21"/>
    </row>
    <row r="32" spans="1:15">
      <c r="A32" s="4">
        <v>2007</v>
      </c>
      <c r="B32" s="21">
        <f t="shared" si="15"/>
        <v>1.0167340481631217</v>
      </c>
      <c r="C32" s="21">
        <f t="shared" si="15"/>
        <v>1.0062512209415901</v>
      </c>
      <c r="D32" s="21">
        <f t="shared" si="15"/>
        <v>1.0088495575221239</v>
      </c>
      <c r="E32" s="21">
        <f t="shared" si="15"/>
        <v>1</v>
      </c>
      <c r="F32" s="21"/>
      <c r="G32" s="21">
        <f t="shared" si="16"/>
        <v>1.0137365764808561</v>
      </c>
      <c r="H32" s="21"/>
    </row>
    <row r="33" spans="1:18">
      <c r="A33" s="4">
        <v>2008</v>
      </c>
      <c r="B33" s="21">
        <f t="shared" si="15"/>
        <v>1.0182105275290159</v>
      </c>
      <c r="C33" s="21">
        <f t="shared" si="15"/>
        <v>1.0063094544748592</v>
      </c>
      <c r="D33" s="21">
        <f t="shared" si="15"/>
        <v>1.0318979266347688</v>
      </c>
      <c r="E33" s="21">
        <f t="shared" si="15"/>
        <v>1</v>
      </c>
      <c r="F33" s="21"/>
      <c r="G33" s="21">
        <f t="shared" si="16"/>
        <v>1.0075612951525361</v>
      </c>
      <c r="H33" s="21"/>
    </row>
    <row r="34" spans="1:18">
      <c r="A34" s="4">
        <v>2009</v>
      </c>
      <c r="B34" s="21">
        <f t="shared" si="15"/>
        <v>1.0154285002773282</v>
      </c>
      <c r="C34" s="21">
        <f t="shared" si="15"/>
        <v>1.0133114690845952</v>
      </c>
      <c r="D34" s="21">
        <f t="shared" si="15"/>
        <v>1.0239567233384854</v>
      </c>
      <c r="E34" s="21">
        <f t="shared" si="15"/>
        <v>1</v>
      </c>
      <c r="F34" s="21"/>
      <c r="G34" s="21">
        <f t="shared" si="16"/>
        <v>1.0066500724449232</v>
      </c>
      <c r="H34" s="21">
        <f t="shared" ref="H34:H39" si="17">H11/H10</f>
        <v>1.0009372071227742</v>
      </c>
    </row>
    <row r="35" spans="1:18">
      <c r="A35" s="4">
        <v>2010</v>
      </c>
      <c r="B35" s="21">
        <f t="shared" si="15"/>
        <v>1.0141573584821528</v>
      </c>
      <c r="C35" s="21">
        <f t="shared" si="15"/>
        <v>1.0171346977629701</v>
      </c>
      <c r="D35" s="21">
        <f t="shared" si="15"/>
        <v>1.0007547169811322</v>
      </c>
      <c r="E35" s="21">
        <f t="shared" si="15"/>
        <v>1</v>
      </c>
      <c r="F35" s="21"/>
      <c r="G35" s="21">
        <f t="shared" si="16"/>
        <v>1.006679952760555</v>
      </c>
      <c r="H35" s="21">
        <f t="shared" si="17"/>
        <v>1.0046816479400749</v>
      </c>
    </row>
    <row r="36" spans="1:18">
      <c r="A36" s="4">
        <v>2011</v>
      </c>
      <c r="B36" s="21">
        <f t="shared" si="15"/>
        <v>1.0155205768554345</v>
      </c>
      <c r="C36" s="21">
        <f t="shared" si="15"/>
        <v>1.0110435189518017</v>
      </c>
      <c r="D36" s="21">
        <f t="shared" si="15"/>
        <v>1.004524886877828</v>
      </c>
      <c r="E36" s="21">
        <f t="shared" si="15"/>
        <v>1</v>
      </c>
      <c r="F36" s="21"/>
      <c r="G36" s="21">
        <f t="shared" si="16"/>
        <v>1.0028595520035195</v>
      </c>
      <c r="H36" s="21">
        <f t="shared" si="17"/>
        <v>0.93010251630941287</v>
      </c>
    </row>
    <row r="37" spans="1:18">
      <c r="A37" s="4">
        <v>2012</v>
      </c>
      <c r="B37" s="21">
        <f t="shared" si="15"/>
        <v>1.0147746460579297</v>
      </c>
      <c r="C37" s="21">
        <f t="shared" si="15"/>
        <v>1.009626955475331</v>
      </c>
      <c r="D37" s="21">
        <f t="shared" si="15"/>
        <v>1.0015015015015014</v>
      </c>
      <c r="E37" s="21">
        <f t="shared" si="15"/>
        <v>1</v>
      </c>
      <c r="F37" s="21"/>
      <c r="G37" s="21">
        <f t="shared" si="16"/>
        <v>1.0042405410345459</v>
      </c>
      <c r="H37" s="21">
        <f t="shared" si="17"/>
        <v>0.94488977955911824</v>
      </c>
      <c r="I37" s="21">
        <f>I14/I13</f>
        <v>1</v>
      </c>
      <c r="J37" s="21"/>
    </row>
    <row r="38" spans="1:18">
      <c r="A38" s="4">
        <v>2013</v>
      </c>
      <c r="B38" s="21">
        <f t="shared" si="15"/>
        <v>1.0154768380745149</v>
      </c>
      <c r="C38" s="21">
        <f t="shared" si="15"/>
        <v>1.0090767397084441</v>
      </c>
      <c r="D38" s="21">
        <f t="shared" si="15"/>
        <v>1.0014992503748126</v>
      </c>
      <c r="E38" s="21">
        <f t="shared" si="15"/>
        <v>1</v>
      </c>
      <c r="F38" s="21">
        <f t="shared" ref="F38" si="18">F15/F14</f>
        <v>1</v>
      </c>
      <c r="G38" s="59">
        <f t="shared" si="16"/>
        <v>1.0076444250300316</v>
      </c>
      <c r="H38" s="59">
        <f t="shared" si="17"/>
        <v>1.0519618239660657</v>
      </c>
      <c r="I38" s="21">
        <f>I15/I14</f>
        <v>1</v>
      </c>
      <c r="J38" s="21"/>
    </row>
    <row r="39" spans="1:18">
      <c r="A39" s="4">
        <v>2014</v>
      </c>
      <c r="B39" s="21">
        <f t="shared" si="15"/>
        <v>1.012362925927482</v>
      </c>
      <c r="C39" s="21">
        <f t="shared" si="15"/>
        <v>1.0079047792113394</v>
      </c>
      <c r="D39" s="21">
        <f t="shared" si="15"/>
        <v>1.0194610778443114</v>
      </c>
      <c r="E39" s="21">
        <f t="shared" si="15"/>
        <v>1</v>
      </c>
      <c r="F39" s="21">
        <f t="shared" ref="F39:I44" si="19">F16/F15</f>
        <v>1</v>
      </c>
      <c r="G39" s="21">
        <f t="shared" si="16"/>
        <v>1.0008670207001191</v>
      </c>
      <c r="H39" s="21">
        <f t="shared" si="17"/>
        <v>1.0463709677419355</v>
      </c>
      <c r="I39" s="21">
        <f>I16/I15</f>
        <v>1</v>
      </c>
      <c r="J39" s="21"/>
    </row>
    <row r="40" spans="1:18">
      <c r="A40" s="4">
        <v>2015</v>
      </c>
      <c r="B40" s="21">
        <f t="shared" ref="B40:E40" si="20">B17/B16</f>
        <v>1.0116101721293616</v>
      </c>
      <c r="C40" s="21">
        <f t="shared" si="20"/>
        <v>1.0137023348057332</v>
      </c>
      <c r="D40" s="21">
        <f t="shared" si="20"/>
        <v>1.0227606461086638</v>
      </c>
      <c r="E40" s="21">
        <f t="shared" si="20"/>
        <v>1</v>
      </c>
      <c r="F40" s="21">
        <f t="shared" si="19"/>
        <v>1</v>
      </c>
      <c r="G40" s="21">
        <f t="shared" si="19"/>
        <v>0.99794260963724957</v>
      </c>
      <c r="H40" s="21">
        <f t="shared" si="19"/>
        <v>1.0202312138728324</v>
      </c>
      <c r="I40" s="21">
        <f t="shared" si="19"/>
        <v>1</v>
      </c>
      <c r="J40" s="21"/>
    </row>
    <row r="41" spans="1:18">
      <c r="A41" s="4">
        <v>2016</v>
      </c>
      <c r="B41" s="21">
        <f t="shared" ref="B41:E41" si="21">B18/B17</f>
        <v>1.0139692307692307</v>
      </c>
      <c r="C41" s="21">
        <f t="shared" si="21"/>
        <v>1.0136949755446865</v>
      </c>
      <c r="D41" s="21">
        <f t="shared" si="21"/>
        <v>1.0265613783201724</v>
      </c>
      <c r="E41" s="21">
        <f t="shared" si="21"/>
        <v>1</v>
      </c>
      <c r="F41" s="21">
        <f t="shared" si="19"/>
        <v>1</v>
      </c>
      <c r="G41" s="21">
        <f t="shared" si="19"/>
        <v>1.002857349537037</v>
      </c>
      <c r="H41" s="21">
        <f t="shared" si="19"/>
        <v>1.0113314447592068</v>
      </c>
      <c r="I41" s="21">
        <f t="shared" si="19"/>
        <v>1</v>
      </c>
      <c r="J41" s="21"/>
    </row>
    <row r="42" spans="1:18">
      <c r="A42" s="4">
        <v>2017</v>
      </c>
      <c r="B42" s="21">
        <f t="shared" ref="B42:E42" si="22">B19/B18</f>
        <v>1.0138374704133033</v>
      </c>
      <c r="C42" s="21">
        <f t="shared" si="22"/>
        <v>1.0144749539433284</v>
      </c>
      <c r="D42" s="21">
        <f t="shared" si="22"/>
        <v>1.0279720279720279</v>
      </c>
      <c r="E42" s="21">
        <f t="shared" si="22"/>
        <v>1</v>
      </c>
      <c r="F42" s="21">
        <f t="shared" si="19"/>
        <v>1</v>
      </c>
      <c r="G42" s="21">
        <f t="shared" si="19"/>
        <v>1.022433007537779</v>
      </c>
      <c r="H42" s="21">
        <f t="shared" si="19"/>
        <v>1.0270774976657329</v>
      </c>
      <c r="I42" s="21">
        <f t="shared" si="19"/>
        <v>1</v>
      </c>
      <c r="J42" s="21"/>
    </row>
    <row r="43" spans="1:18">
      <c r="A43" s="4">
        <v>2018</v>
      </c>
      <c r="B43" s="21">
        <f>B20/B19</f>
        <v>1.0109548039509129</v>
      </c>
      <c r="C43" s="21">
        <f t="shared" ref="C43:E43" si="23">C20/C19</f>
        <v>1.0095987547561398</v>
      </c>
      <c r="D43" s="21">
        <f t="shared" si="23"/>
        <v>1.0210884353741496</v>
      </c>
      <c r="E43" s="21">
        <f t="shared" si="23"/>
        <v>1</v>
      </c>
      <c r="F43" s="21">
        <f t="shared" si="19"/>
        <v>1.25</v>
      </c>
      <c r="G43" s="21">
        <f t="shared" si="19"/>
        <v>1.0261384881300928</v>
      </c>
      <c r="H43" s="21">
        <f t="shared" si="19"/>
        <v>0.98636363636363633</v>
      </c>
      <c r="I43" s="21">
        <f t="shared" si="19"/>
        <v>1</v>
      </c>
      <c r="J43" s="21"/>
    </row>
    <row r="44" spans="1:18">
      <c r="A44" s="4">
        <v>2019</v>
      </c>
      <c r="B44" s="21">
        <f>B21/B20</f>
        <v>1.007431312174325</v>
      </c>
      <c r="C44" s="21">
        <f>C21/C20</f>
        <v>1.0049678800856532</v>
      </c>
      <c r="D44" s="21">
        <f t="shared" ref="D44:E44" si="24">D21/D20</f>
        <v>1.0019986675549633</v>
      </c>
      <c r="E44" s="21">
        <f t="shared" si="24"/>
        <v>1</v>
      </c>
      <c r="F44" s="21">
        <f t="shared" si="19"/>
        <v>1.2</v>
      </c>
      <c r="G44" s="21">
        <f t="shared" si="19"/>
        <v>1.0102096940529393</v>
      </c>
      <c r="H44" s="21">
        <f t="shared" si="19"/>
        <v>0.97603686635944698</v>
      </c>
      <c r="I44" s="21">
        <f t="shared" si="19"/>
        <v>1</v>
      </c>
      <c r="J44" s="21"/>
    </row>
    <row r="46" spans="1:18">
      <c r="A46" t="s">
        <v>61</v>
      </c>
      <c r="B46" s="229">
        <f>B51</f>
        <v>1.0065206452238322</v>
      </c>
      <c r="C46" s="229">
        <f t="shared" ref="C46:I46" si="25">C51</f>
        <v>1.0109465946577136</v>
      </c>
      <c r="D46" s="229">
        <f>D51</f>
        <v>1.0249530548008958</v>
      </c>
      <c r="E46" s="229">
        <f t="shared" si="25"/>
        <v>1</v>
      </c>
      <c r="F46" s="229">
        <v>1</v>
      </c>
      <c r="G46" s="229">
        <f t="shared" si="25"/>
        <v>1.0106140965015666</v>
      </c>
      <c r="H46" s="229">
        <f t="shared" si="25"/>
        <v>1.0105969954738492</v>
      </c>
      <c r="I46" s="229">
        <f t="shared" si="25"/>
        <v>1</v>
      </c>
      <c r="J46" s="22"/>
      <c r="K46" s="269"/>
    </row>
    <row r="47" spans="1:18">
      <c r="B47" s="22"/>
      <c r="C47" s="22"/>
      <c r="D47" s="22"/>
      <c r="E47" s="22"/>
      <c r="F47" s="22"/>
      <c r="G47" s="22"/>
      <c r="H47" s="22"/>
    </row>
    <row r="48" spans="1:18" s="66" customFormat="1">
      <c r="A48" s="66" t="s">
        <v>15</v>
      </c>
      <c r="B48" s="181">
        <f>GEOMEAN(B29:B44)</f>
        <v>1.0165757206741932</v>
      </c>
      <c r="C48" s="181">
        <f>GEOMEAN(C29:C44)</f>
        <v>1.0104632886602252</v>
      </c>
      <c r="D48" s="181">
        <f t="shared" ref="D48:I48" si="26">GEOMEAN(D29:D44)</f>
        <v>1.0095412818124017</v>
      </c>
      <c r="E48" s="181">
        <f t="shared" si="26"/>
        <v>1</v>
      </c>
      <c r="F48" s="181">
        <f>GEOMEAN(F29:F44)</f>
        <v>1.0596340226670484</v>
      </c>
      <c r="G48" s="181">
        <f t="shared" si="26"/>
        <v>1.0091492478916477</v>
      </c>
      <c r="H48" s="181">
        <f t="shared" si="26"/>
        <v>0.99931606074766188</v>
      </c>
      <c r="I48" s="181">
        <f t="shared" si="26"/>
        <v>1</v>
      </c>
      <c r="J48" s="181"/>
      <c r="K48" s="269"/>
      <c r="L48" s="269"/>
      <c r="M48" s="269"/>
      <c r="N48" s="269"/>
      <c r="O48" s="269"/>
      <c r="P48" s="269"/>
      <c r="Q48" s="269"/>
      <c r="R48" s="269"/>
    </row>
    <row r="49" spans="1:18" s="66" customFormat="1">
      <c r="A49" s="66" t="s">
        <v>149</v>
      </c>
      <c r="B49" s="181">
        <f>GEOMEAN(B40:B44)</f>
        <v>1.0115577868053836</v>
      </c>
      <c r="C49" s="181">
        <f t="shared" ref="C49:I49" si="27">GEOMEAN(C40:C44)</f>
        <v>1.0112813813404822</v>
      </c>
      <c r="D49" s="181">
        <f t="shared" si="27"/>
        <v>1.0200328203171782</v>
      </c>
      <c r="E49" s="181">
        <f t="shared" si="27"/>
        <v>1</v>
      </c>
      <c r="F49" s="181">
        <f t="shared" si="27"/>
        <v>1.0844717711976986</v>
      </c>
      <c r="G49" s="181">
        <f t="shared" si="27"/>
        <v>1.0118576505636125</v>
      </c>
      <c r="H49" s="181">
        <f t="shared" si="27"/>
        <v>1.0040138905420877</v>
      </c>
      <c r="I49" s="181">
        <f t="shared" si="27"/>
        <v>1</v>
      </c>
      <c r="J49" s="181"/>
      <c r="K49" s="128"/>
      <c r="L49" s="128"/>
      <c r="M49" s="128"/>
      <c r="N49" s="128"/>
      <c r="O49" s="128"/>
    </row>
    <row r="50" spans="1:18" s="66" customFormat="1">
      <c r="A50" s="66" t="s">
        <v>151</v>
      </c>
      <c r="B50" s="181">
        <f>GEOMEAN(B42:B44)</f>
        <v>1.010737799939458</v>
      </c>
      <c r="C50" s="181">
        <f t="shared" ref="C50:I50" si="28">GEOMEAN(C42:C44)</f>
        <v>1.0096730686655455</v>
      </c>
      <c r="D50" s="181">
        <f t="shared" si="28"/>
        <v>1.0169601445701468</v>
      </c>
      <c r="E50" s="181">
        <f t="shared" si="28"/>
        <v>1</v>
      </c>
      <c r="F50" s="181">
        <f t="shared" si="28"/>
        <v>1.1447142425533319</v>
      </c>
      <c r="G50" s="181">
        <f t="shared" si="28"/>
        <v>1.0195709592930293</v>
      </c>
      <c r="H50" s="181">
        <f t="shared" si="28"/>
        <v>0.99625113631901263</v>
      </c>
      <c r="I50" s="181">
        <f t="shared" si="28"/>
        <v>1</v>
      </c>
      <c r="J50" s="181"/>
      <c r="K50" s="128"/>
      <c r="L50" s="128"/>
      <c r="M50" s="128"/>
      <c r="N50" s="128"/>
      <c r="O50" s="128"/>
    </row>
    <row r="51" spans="1:18" s="66" customFormat="1">
      <c r="A51" s="66" t="s">
        <v>150</v>
      </c>
      <c r="B51" s="229">
        <f>TREND(B29:B44, $A29:$A44, 2020)</f>
        <v>1.0065206452238322</v>
      </c>
      <c r="C51" s="229">
        <f>TREND(C29:C44, $A29:$A44, 2020)</f>
        <v>1.0109465946577136</v>
      </c>
      <c r="D51" s="229">
        <f t="shared" ref="D51:E51" si="29">TREND(D29:D44, $A29:$A44, 2020)</f>
        <v>1.0249530548008958</v>
      </c>
      <c r="E51" s="229">
        <f t="shared" si="29"/>
        <v>1</v>
      </c>
      <c r="F51" s="181">
        <f>TREND(F38:F44, $A38:$A44, 2020)</f>
        <v>1.2214285714285751</v>
      </c>
      <c r="G51" s="229">
        <f>TREND(G31:G44, $A31:$A44, 2020)</f>
        <v>1.0106140965015666</v>
      </c>
      <c r="H51" s="229">
        <f>TREND(H34:H44, $A34:$A44, 2020)</f>
        <v>1.0105969954738492</v>
      </c>
      <c r="I51" s="229">
        <f>TREND(I37:I44, $A37:$A44, 2020)</f>
        <v>1</v>
      </c>
      <c r="J51" s="181"/>
      <c r="K51" s="269"/>
      <c r="L51" s="269"/>
      <c r="M51" s="269"/>
      <c r="N51" s="269"/>
      <c r="O51" s="269"/>
      <c r="P51" s="269"/>
      <c r="Q51" s="269"/>
      <c r="R51" s="269"/>
    </row>
    <row r="52" spans="1:18">
      <c r="A52" s="4"/>
      <c r="B52" s="22"/>
      <c r="C52" s="22"/>
      <c r="D52" s="22"/>
      <c r="E52" s="22"/>
      <c r="F52" s="22"/>
      <c r="G52" s="22"/>
      <c r="H52" s="22"/>
    </row>
    <row r="53" spans="1:18">
      <c r="A53" s="4"/>
      <c r="B53" s="22">
        <f>B48-1</f>
        <v>1.6575720674193217E-2</v>
      </c>
      <c r="C53" s="22">
        <f t="shared" ref="C53:I53" si="30">C48-1</f>
        <v>1.0463288660225167E-2</v>
      </c>
      <c r="D53" s="22">
        <f t="shared" si="30"/>
        <v>9.5412818124016585E-3</v>
      </c>
      <c r="E53" s="22">
        <f t="shared" si="30"/>
        <v>0</v>
      </c>
      <c r="F53" s="22">
        <f t="shared" si="30"/>
        <v>5.9634022667048425E-2</v>
      </c>
      <c r="G53" s="22">
        <f t="shared" si="30"/>
        <v>9.1492478916477271E-3</v>
      </c>
      <c r="H53" s="22">
        <f t="shared" si="30"/>
        <v>-6.8393925233811714E-4</v>
      </c>
      <c r="I53" s="22">
        <f t="shared" si="30"/>
        <v>0</v>
      </c>
      <c r="J53" s="22"/>
    </row>
    <row r="54" spans="1:18">
      <c r="A54" s="4"/>
      <c r="B54" s="22"/>
      <c r="C54" s="22"/>
      <c r="D54" s="22"/>
      <c r="E54" s="22"/>
      <c r="F54" s="22"/>
      <c r="G54" s="22"/>
      <c r="H54" s="22"/>
    </row>
    <row r="55" spans="1:18">
      <c r="A55" s="4"/>
      <c r="B55" s="53"/>
      <c r="C55" s="22"/>
      <c r="D55" s="22"/>
      <c r="G55" s="22"/>
      <c r="H55" s="22"/>
    </row>
    <row r="56" spans="1:18">
      <c r="A56" s="4"/>
      <c r="B56" s="22"/>
      <c r="C56" s="22"/>
      <c r="D56" s="22"/>
      <c r="E56" s="22"/>
      <c r="F56" s="60"/>
      <c r="G56" s="109"/>
      <c r="H56" s="60"/>
    </row>
    <row r="57" spans="1:18">
      <c r="A57" s="140"/>
      <c r="B57" s="141"/>
      <c r="C57" s="141"/>
      <c r="D57" s="141"/>
      <c r="E57" s="22"/>
      <c r="F57" s="22"/>
      <c r="G57" s="22"/>
      <c r="H57" s="139"/>
    </row>
    <row r="58" spans="1:18">
      <c r="A58" s="4">
        <v>1997</v>
      </c>
      <c r="B58" s="64"/>
      <c r="C58" s="64"/>
      <c r="D58" s="64"/>
      <c r="E58" s="64"/>
      <c r="F58" s="64"/>
      <c r="G58" s="64"/>
      <c r="H58" s="64"/>
      <c r="I58" s="56"/>
      <c r="K58" s="282" t="s">
        <v>173</v>
      </c>
      <c r="L58" s="128" t="s">
        <v>10</v>
      </c>
      <c r="M58" s="232"/>
      <c r="N58" s="227"/>
      <c r="P58" s="6"/>
    </row>
    <row r="59" spans="1:18">
      <c r="A59" s="4">
        <v>1998</v>
      </c>
      <c r="B59" s="64"/>
      <c r="C59" s="64"/>
      <c r="D59" s="64"/>
      <c r="E59" s="64"/>
      <c r="F59" s="64"/>
      <c r="G59" s="64"/>
      <c r="H59" s="64"/>
      <c r="I59" s="56"/>
      <c r="K59" s="282"/>
      <c r="L59" s="128"/>
      <c r="M59" s="227"/>
      <c r="N59" s="227"/>
      <c r="P59" s="6"/>
    </row>
    <row r="60" spans="1:18">
      <c r="A60" s="4">
        <v>1999</v>
      </c>
      <c r="B60" s="64"/>
      <c r="C60" s="64"/>
      <c r="D60" s="64"/>
      <c r="E60" s="64"/>
      <c r="F60" s="64"/>
      <c r="G60" s="64"/>
      <c r="H60" s="64"/>
      <c r="I60" s="56"/>
      <c r="J60" s="24"/>
      <c r="K60" s="128"/>
      <c r="L60" s="128"/>
      <c r="M60" s="227"/>
      <c r="N60" s="227"/>
      <c r="P60" s="6"/>
    </row>
    <row r="61" spans="1:18">
      <c r="A61" s="4">
        <v>2000</v>
      </c>
      <c r="B61" s="64"/>
      <c r="C61" s="64"/>
      <c r="D61" s="64"/>
      <c r="E61" s="64"/>
      <c r="F61" s="64"/>
      <c r="G61" s="64"/>
      <c r="H61" s="64"/>
      <c r="I61" s="56"/>
      <c r="J61" s="24"/>
      <c r="K61" s="128"/>
      <c r="L61" s="128"/>
      <c r="M61" s="227"/>
      <c r="N61" s="227"/>
      <c r="P61" s="6"/>
    </row>
    <row r="62" spans="1:18">
      <c r="A62" s="4">
        <v>2001</v>
      </c>
      <c r="B62" s="64"/>
      <c r="C62" s="64"/>
      <c r="D62" s="64"/>
      <c r="E62" s="64"/>
      <c r="F62" s="64"/>
      <c r="G62" s="64"/>
      <c r="H62" s="64"/>
      <c r="I62" s="56"/>
      <c r="J62" s="24"/>
      <c r="K62" s="128"/>
      <c r="L62" s="128"/>
      <c r="M62" s="227"/>
      <c r="N62" s="227"/>
      <c r="P62" s="6"/>
    </row>
    <row r="63" spans="1:18">
      <c r="A63" s="4">
        <v>2002</v>
      </c>
      <c r="B63" s="35">
        <v>38624</v>
      </c>
      <c r="C63" s="35">
        <v>4956</v>
      </c>
      <c r="D63" s="97">
        <v>655</v>
      </c>
      <c r="E63" s="35">
        <v>1</v>
      </c>
      <c r="F63" s="35"/>
      <c r="G63" s="134">
        <v>12238</v>
      </c>
      <c r="H63" s="35">
        <v>432</v>
      </c>
      <c r="I63" s="56"/>
      <c r="J63" s="24"/>
      <c r="K63" s="128"/>
      <c r="L63" s="128">
        <f>B63+C63+D63+E63+K63+I63</f>
        <v>44236</v>
      </c>
      <c r="M63" s="227"/>
      <c r="N63" s="227"/>
      <c r="P63" s="6"/>
    </row>
    <row r="64" spans="1:18">
      <c r="A64" s="4">
        <v>2003</v>
      </c>
      <c r="B64" s="36">
        <v>39847</v>
      </c>
      <c r="C64" s="36">
        <v>4977</v>
      </c>
      <c r="D64" s="36">
        <v>637</v>
      </c>
      <c r="E64" s="36">
        <v>1</v>
      </c>
      <c r="F64" s="36"/>
      <c r="G64" s="134">
        <v>12345</v>
      </c>
      <c r="H64" s="36">
        <v>485</v>
      </c>
      <c r="I64" s="56"/>
      <c r="J64" s="24"/>
      <c r="K64" s="128"/>
      <c r="L64" s="128">
        <f t="shared" ref="L64:L72" si="31">B64+C64+D64+E64+K64+I64</f>
        <v>45462</v>
      </c>
      <c r="M64" s="227"/>
      <c r="N64" s="227"/>
      <c r="P64" s="6"/>
    </row>
    <row r="65" spans="1:16">
      <c r="A65" s="4">
        <v>2004</v>
      </c>
      <c r="B65" s="36">
        <v>41215</v>
      </c>
      <c r="C65" s="36">
        <v>5025</v>
      </c>
      <c r="D65" s="36">
        <v>626</v>
      </c>
      <c r="E65" s="36">
        <v>1</v>
      </c>
      <c r="F65" s="36"/>
      <c r="G65" s="134">
        <v>12791</v>
      </c>
      <c r="H65" s="36">
        <v>495</v>
      </c>
      <c r="I65" s="56"/>
      <c r="J65" s="24"/>
      <c r="K65" s="128"/>
      <c r="L65" s="128">
        <f t="shared" si="31"/>
        <v>46867</v>
      </c>
      <c r="M65" s="227"/>
      <c r="N65" s="227"/>
      <c r="P65" s="6"/>
    </row>
    <row r="66" spans="1:16">
      <c r="A66" s="4">
        <v>2005</v>
      </c>
      <c r="B66" s="36">
        <v>42322</v>
      </c>
      <c r="C66" s="36">
        <v>5098</v>
      </c>
      <c r="D66" s="36">
        <v>619</v>
      </c>
      <c r="E66" s="36">
        <v>1</v>
      </c>
      <c r="F66" s="36"/>
      <c r="G66" s="134">
        <v>13078</v>
      </c>
      <c r="H66" s="36">
        <v>486</v>
      </c>
      <c r="I66" s="56"/>
      <c r="J66" s="24"/>
      <c r="K66" s="128"/>
      <c r="L66" s="128">
        <f t="shared" si="31"/>
        <v>48040</v>
      </c>
      <c r="M66" s="227"/>
      <c r="N66" s="227"/>
      <c r="P66" s="6"/>
    </row>
    <row r="67" spans="1:16">
      <c r="A67" s="4">
        <v>2006</v>
      </c>
      <c r="B67" s="36">
        <v>43013</v>
      </c>
      <c r="C67" s="36">
        <v>5140</v>
      </c>
      <c r="D67" s="36">
        <v>624</v>
      </c>
      <c r="E67" s="36">
        <v>1</v>
      </c>
      <c r="F67" s="36"/>
      <c r="G67" s="134">
        <v>13275</v>
      </c>
      <c r="H67" s="36">
        <v>574</v>
      </c>
      <c r="I67" s="56"/>
      <c r="J67" s="24"/>
      <c r="K67" s="128"/>
      <c r="L67" s="128">
        <f t="shared" si="31"/>
        <v>48778</v>
      </c>
      <c r="M67" s="227"/>
      <c r="N67" s="227"/>
      <c r="P67" s="6"/>
    </row>
    <row r="68" spans="1:16">
      <c r="A68" s="4">
        <v>2007</v>
      </c>
      <c r="B68" s="36">
        <v>43750</v>
      </c>
      <c r="C68" s="36">
        <v>5162</v>
      </c>
      <c r="D68" s="36">
        <v>630</v>
      </c>
      <c r="E68" s="36">
        <v>1</v>
      </c>
      <c r="F68" s="36"/>
      <c r="G68" s="134">
        <v>13440</v>
      </c>
      <c r="H68" s="36">
        <v>533</v>
      </c>
      <c r="I68" s="56"/>
      <c r="J68" s="24"/>
      <c r="K68" s="128">
        <v>15</v>
      </c>
      <c r="L68" s="128">
        <f t="shared" si="31"/>
        <v>49558</v>
      </c>
      <c r="M68" s="227"/>
      <c r="N68" s="227"/>
      <c r="P68" s="6"/>
    </row>
    <row r="69" spans="1:16">
      <c r="A69" s="4">
        <v>2008</v>
      </c>
      <c r="B69" s="36">
        <v>44593</v>
      </c>
      <c r="C69" s="36">
        <v>5205</v>
      </c>
      <c r="D69" s="36">
        <v>664</v>
      </c>
      <c r="E69" s="36">
        <v>1</v>
      </c>
      <c r="F69" s="36"/>
      <c r="G69" s="134">
        <v>13477</v>
      </c>
      <c r="H69" s="36">
        <v>534</v>
      </c>
      <c r="I69" s="56"/>
      <c r="J69" s="24"/>
      <c r="K69" s="128">
        <v>15</v>
      </c>
      <c r="L69" s="128">
        <f t="shared" si="31"/>
        <v>50478</v>
      </c>
      <c r="M69" s="227"/>
      <c r="N69" s="227"/>
      <c r="P69" s="6"/>
    </row>
    <row r="70" spans="1:16">
      <c r="A70" s="4">
        <v>2009</v>
      </c>
      <c r="B70" s="36">
        <v>45113</v>
      </c>
      <c r="C70" s="36">
        <v>5300</v>
      </c>
      <c r="D70" s="36">
        <v>661</v>
      </c>
      <c r="E70" s="36">
        <v>1</v>
      </c>
      <c r="F70" s="36"/>
      <c r="G70" s="134">
        <v>13619</v>
      </c>
      <c r="H70" s="36">
        <v>534</v>
      </c>
      <c r="I70" s="56"/>
      <c r="J70" s="226"/>
      <c r="K70" s="128">
        <v>14</v>
      </c>
      <c r="L70" s="128">
        <f t="shared" si="31"/>
        <v>51089</v>
      </c>
      <c r="M70" s="227"/>
      <c r="N70" s="227"/>
      <c r="P70" s="6"/>
    </row>
    <row r="71" spans="1:16">
      <c r="A71" s="4">
        <v>2010</v>
      </c>
      <c r="B71" s="36">
        <v>45863</v>
      </c>
      <c r="C71" s="36">
        <v>5385</v>
      </c>
      <c r="D71" s="36">
        <v>665</v>
      </c>
      <c r="E71" s="36">
        <v>1</v>
      </c>
      <c r="F71" s="36"/>
      <c r="G71" s="134">
        <v>13658</v>
      </c>
      <c r="H71" s="36">
        <v>539</v>
      </c>
      <c r="I71" s="56"/>
      <c r="J71" s="211"/>
      <c r="K71" s="128">
        <v>14</v>
      </c>
      <c r="L71" s="128">
        <f t="shared" si="31"/>
        <v>51928</v>
      </c>
      <c r="M71" s="227"/>
      <c r="N71" s="227"/>
      <c r="P71" s="6"/>
    </row>
    <row r="72" spans="1:16">
      <c r="A72" s="4">
        <v>2011</v>
      </c>
      <c r="B72" s="57">
        <v>46525</v>
      </c>
      <c r="C72" s="57">
        <v>5418</v>
      </c>
      <c r="D72" s="57">
        <v>667</v>
      </c>
      <c r="E72" s="57">
        <v>1</v>
      </c>
      <c r="F72" s="57"/>
      <c r="G72" s="137">
        <v>13697</v>
      </c>
      <c r="H72" s="137">
        <v>459</v>
      </c>
      <c r="I72" s="56">
        <v>1</v>
      </c>
      <c r="J72" s="24"/>
      <c r="K72" s="128">
        <v>14</v>
      </c>
      <c r="L72" s="128">
        <f t="shared" si="31"/>
        <v>52626</v>
      </c>
      <c r="M72" s="227"/>
      <c r="N72" s="227"/>
      <c r="P72" s="6"/>
    </row>
    <row r="73" spans="1:16">
      <c r="A73" s="4">
        <v>2012</v>
      </c>
      <c r="B73" s="58">
        <v>47228</v>
      </c>
      <c r="C73" s="58">
        <v>5489</v>
      </c>
      <c r="D73" s="58">
        <v>667</v>
      </c>
      <c r="E73" s="58">
        <v>1</v>
      </c>
      <c r="F73" s="58">
        <v>2</v>
      </c>
      <c r="G73" s="137">
        <v>13774</v>
      </c>
      <c r="H73" s="58">
        <v>484</v>
      </c>
      <c r="I73" s="56">
        <v>1</v>
      </c>
      <c r="J73" s="24"/>
      <c r="K73" s="128">
        <v>14</v>
      </c>
      <c r="L73" s="128">
        <f t="shared" ref="L73:L79" si="32">B73+C73+D73+E73+K73+I73+F73</f>
        <v>53402</v>
      </c>
      <c r="M73" s="227"/>
      <c r="N73" s="227"/>
      <c r="O73" s="228"/>
      <c r="P73" s="6"/>
    </row>
    <row r="74" spans="1:16">
      <c r="A74" s="4">
        <v>2013</v>
      </c>
      <c r="B74" s="56">
        <v>47976</v>
      </c>
      <c r="C74" s="56">
        <v>5517</v>
      </c>
      <c r="D74" s="56">
        <v>669</v>
      </c>
      <c r="E74" s="56">
        <v>1</v>
      </c>
      <c r="F74" s="56">
        <v>2</v>
      </c>
      <c r="G74" s="107">
        <v>13907</v>
      </c>
      <c r="H74" s="56">
        <v>508</v>
      </c>
      <c r="I74" s="56">
        <v>1</v>
      </c>
      <c r="J74" s="24"/>
      <c r="K74" s="128">
        <v>14</v>
      </c>
      <c r="L74" s="128">
        <f>B74+C74+D74+E74+K74+I74+F74</f>
        <v>54180</v>
      </c>
      <c r="M74" s="227"/>
      <c r="N74" s="227"/>
      <c r="O74" s="228"/>
      <c r="P74" s="6"/>
    </row>
    <row r="75" spans="1:16">
      <c r="A75" s="4">
        <v>2014</v>
      </c>
      <c r="B75" s="56">
        <v>48405</v>
      </c>
      <c r="C75" s="56">
        <v>5576</v>
      </c>
      <c r="D75" s="56">
        <v>693</v>
      </c>
      <c r="E75" s="56">
        <v>1</v>
      </c>
      <c r="F75" s="56">
        <v>2</v>
      </c>
      <c r="G75" s="56">
        <v>13798</v>
      </c>
      <c r="H75" s="56">
        <v>530</v>
      </c>
      <c r="I75" s="56">
        <v>1</v>
      </c>
      <c r="J75" s="24"/>
      <c r="K75" s="128">
        <v>14</v>
      </c>
      <c r="L75" s="128">
        <f t="shared" si="32"/>
        <v>54692</v>
      </c>
      <c r="M75" s="227"/>
      <c r="N75" s="227"/>
      <c r="O75" s="228"/>
      <c r="P75" s="6"/>
    </row>
    <row r="76" spans="1:16">
      <c r="A76" s="4">
        <v>2015</v>
      </c>
      <c r="B76" s="107">
        <v>49095</v>
      </c>
      <c r="C76" s="107">
        <v>5669</v>
      </c>
      <c r="D76" s="107">
        <v>700</v>
      </c>
      <c r="E76" s="107">
        <v>1</v>
      </c>
      <c r="F76" s="107">
        <v>2</v>
      </c>
      <c r="G76" s="107">
        <f>13150+700</f>
        <v>13850</v>
      </c>
      <c r="H76" s="107">
        <v>529</v>
      </c>
      <c r="I76" s="107">
        <v>1</v>
      </c>
      <c r="J76" s="120"/>
      <c r="K76" s="128">
        <v>13</v>
      </c>
      <c r="L76" s="128">
        <f t="shared" si="32"/>
        <v>55481</v>
      </c>
      <c r="M76" s="227"/>
      <c r="N76" s="227"/>
      <c r="O76" s="228"/>
      <c r="P76" s="6"/>
    </row>
    <row r="77" spans="1:16">
      <c r="A77" s="4">
        <v>2016</v>
      </c>
      <c r="B77" s="107">
        <v>49767</v>
      </c>
      <c r="C77" s="107">
        <v>5730</v>
      </c>
      <c r="D77" s="107">
        <v>730</v>
      </c>
      <c r="E77" s="107">
        <v>1</v>
      </c>
      <c r="F77" s="107">
        <v>2</v>
      </c>
      <c r="G77" s="107">
        <f>13177+700</f>
        <v>13877</v>
      </c>
      <c r="H77" s="107">
        <v>542</v>
      </c>
      <c r="I77" s="107">
        <v>1</v>
      </c>
      <c r="J77" s="120"/>
      <c r="K77" s="128">
        <v>13</v>
      </c>
      <c r="L77" s="128">
        <f t="shared" si="32"/>
        <v>56244</v>
      </c>
      <c r="M77" s="227"/>
      <c r="N77" s="227"/>
      <c r="O77" s="228"/>
      <c r="P77" s="6"/>
    </row>
    <row r="78" spans="1:16">
      <c r="A78" s="4">
        <v>2017</v>
      </c>
      <c r="B78" s="107">
        <v>50463</v>
      </c>
      <c r="C78" s="107">
        <v>5834</v>
      </c>
      <c r="D78" s="107">
        <v>740</v>
      </c>
      <c r="E78" s="107">
        <v>1</v>
      </c>
      <c r="F78" s="107">
        <v>2</v>
      </c>
      <c r="G78" s="107">
        <f>14472</f>
        <v>14472</v>
      </c>
      <c r="H78" s="107">
        <v>558</v>
      </c>
      <c r="I78" s="107">
        <v>1</v>
      </c>
      <c r="J78" s="24"/>
      <c r="K78" s="128">
        <v>14</v>
      </c>
      <c r="L78" s="128">
        <f t="shared" si="32"/>
        <v>57055</v>
      </c>
      <c r="M78" s="227"/>
      <c r="N78" s="227"/>
      <c r="O78" s="228"/>
      <c r="P78" s="6"/>
    </row>
    <row r="79" spans="1:16">
      <c r="A79" s="4">
        <v>2018</v>
      </c>
      <c r="B79" s="107">
        <v>50865</v>
      </c>
      <c r="C79" s="107">
        <v>5841</v>
      </c>
      <c r="D79" s="107">
        <v>761</v>
      </c>
      <c r="E79" s="107">
        <v>1</v>
      </c>
      <c r="F79" s="107">
        <v>3</v>
      </c>
      <c r="G79" s="107">
        <f>14618</f>
        <v>14618</v>
      </c>
      <c r="H79" s="107">
        <v>527</v>
      </c>
      <c r="I79" s="107">
        <v>1</v>
      </c>
      <c r="J79" s="24"/>
      <c r="K79" s="128">
        <v>14</v>
      </c>
      <c r="L79" s="128">
        <f t="shared" si="32"/>
        <v>57486</v>
      </c>
      <c r="M79" s="227"/>
      <c r="N79" s="227"/>
      <c r="O79" s="228"/>
      <c r="P79" s="6"/>
    </row>
    <row r="80" spans="1:16">
      <c r="A80" s="4">
        <v>2019</v>
      </c>
      <c r="B80" s="107">
        <v>51216</v>
      </c>
      <c r="C80" s="107">
        <v>5892</v>
      </c>
      <c r="D80" s="107">
        <f>746-3</f>
        <v>743</v>
      </c>
      <c r="E80" s="107">
        <f t="shared" ref="E80" si="33">E79</f>
        <v>1</v>
      </c>
      <c r="F80" s="107">
        <f t="shared" ref="F80" si="34">F79</f>
        <v>3</v>
      </c>
      <c r="G80" s="107">
        <v>14769</v>
      </c>
      <c r="H80" s="107">
        <v>532</v>
      </c>
      <c r="I80" s="107">
        <f t="shared" ref="I80" si="35">I79</f>
        <v>1</v>
      </c>
      <c r="J80" s="24"/>
      <c r="K80" s="128">
        <v>14</v>
      </c>
      <c r="L80" s="128">
        <f>B80+C80+D80+E80+K80+I80+F80</f>
        <v>57870</v>
      </c>
      <c r="M80" s="227"/>
      <c r="N80" s="227"/>
      <c r="P80" s="6"/>
    </row>
    <row r="81" spans="1:16">
      <c r="A81" s="138">
        <v>2020</v>
      </c>
      <c r="B81" s="107">
        <f>B$46*B80</f>
        <v>51549.961365783791</v>
      </c>
      <c r="C81" s="107">
        <f t="shared" ref="C81:I81" si="36">C$46*C80</f>
        <v>5956.4973357232484</v>
      </c>
      <c r="D81" s="107">
        <f t="shared" si="36"/>
        <v>761.54011971706564</v>
      </c>
      <c r="E81" s="107">
        <f t="shared" si="36"/>
        <v>1</v>
      </c>
      <c r="F81" s="107">
        <f t="shared" si="36"/>
        <v>3</v>
      </c>
      <c r="G81" s="107">
        <f t="shared" si="36"/>
        <v>14925.759591231637</v>
      </c>
      <c r="H81" s="107">
        <f t="shared" si="36"/>
        <v>537.63760159208778</v>
      </c>
      <c r="I81" s="107">
        <f t="shared" si="36"/>
        <v>1</v>
      </c>
      <c r="J81" s="24"/>
      <c r="K81" s="128">
        <v>14</v>
      </c>
      <c r="L81" s="128">
        <f>B81+C81+D81+E81+K81+I81+F81</f>
        <v>58286.998821224108</v>
      </c>
      <c r="M81" s="227"/>
      <c r="N81" s="227"/>
      <c r="P81" s="6"/>
    </row>
    <row r="82" spans="1:16">
      <c r="A82" s="138">
        <v>2021</v>
      </c>
      <c r="B82" s="107">
        <f>B$46*B81</f>
        <v>51886.100375152324</v>
      </c>
      <c r="C82" s="107">
        <f t="shared" ref="C82" si="37">C$46*C81</f>
        <v>6021.7006976371622</v>
      </c>
      <c r="D82" s="107">
        <f>D$46*D81</f>
        <v>780.54287205744629</v>
      </c>
      <c r="E82" s="107">
        <f t="shared" ref="E82" si="38">E$46*E81</f>
        <v>1</v>
      </c>
      <c r="F82" s="107">
        <f t="shared" ref="F82" si="39">F$46*F81</f>
        <v>3</v>
      </c>
      <c r="G82" s="107">
        <f t="shared" ref="G82" si="40">G$46*G81</f>
        <v>15084.183043892153</v>
      </c>
      <c r="H82" s="107">
        <f t="shared" ref="H82" si="41">H$46*H81</f>
        <v>543.33494482273022</v>
      </c>
      <c r="I82" s="107">
        <f t="shared" ref="I82" si="42">I$46*I81</f>
        <v>1</v>
      </c>
      <c r="J82" s="24"/>
      <c r="K82" s="128">
        <v>14</v>
      </c>
      <c r="L82" s="128">
        <f>B82+C82+D82+E82+K82+I82+F82</f>
        <v>58707.343944846936</v>
      </c>
      <c r="M82" s="227"/>
      <c r="N82" s="227"/>
      <c r="P82" s="6"/>
    </row>
    <row r="83" spans="1:16" s="28" customFormat="1">
      <c r="A83" s="115"/>
      <c r="B83" s="116"/>
      <c r="C83" s="121"/>
      <c r="D83" s="60"/>
      <c r="E83" s="60"/>
      <c r="F83" s="60"/>
      <c r="G83" s="109"/>
      <c r="H83" s="60"/>
      <c r="I83" s="6"/>
      <c r="J83" s="24"/>
      <c r="K83" s="6"/>
      <c r="L83" s="6"/>
      <c r="M83" s="6"/>
      <c r="N83" s="6"/>
      <c r="O83" s="6"/>
    </row>
    <row r="84" spans="1:16" s="28" customFormat="1">
      <c r="A84" s="115"/>
      <c r="B84" s="116"/>
      <c r="C84" s="225"/>
      <c r="D84" s="60"/>
      <c r="E84" s="60"/>
      <c r="F84" s="60"/>
      <c r="G84" s="109"/>
      <c r="H84" s="60"/>
      <c r="I84" s="6"/>
      <c r="J84" s="24"/>
      <c r="K84" s="24"/>
      <c r="L84" s="24"/>
      <c r="M84" s="24"/>
      <c r="N84" s="24"/>
      <c r="O84" s="24"/>
    </row>
    <row r="85" spans="1:16" s="28" customFormat="1">
      <c r="A85" s="115"/>
      <c r="B85" s="116"/>
      <c r="C85" s="60"/>
      <c r="D85" s="60"/>
      <c r="E85" s="60"/>
      <c r="F85" s="60"/>
      <c r="G85" s="60"/>
      <c r="H85" s="60"/>
      <c r="I85" s="6"/>
      <c r="J85" s="24"/>
      <c r="K85" s="24"/>
      <c r="L85" s="24"/>
      <c r="M85" s="24"/>
      <c r="N85" s="24"/>
      <c r="O85" s="24"/>
    </row>
    <row r="86" spans="1:16">
      <c r="A86" s="226"/>
      <c r="B86" s="103"/>
      <c r="C86" s="22"/>
      <c r="D86" s="22"/>
      <c r="E86" s="22"/>
      <c r="F86" s="22"/>
      <c r="G86" s="22"/>
      <c r="H86" s="22"/>
    </row>
    <row r="87" spans="1:16">
      <c r="B87" s="105"/>
      <c r="C87" s="22"/>
      <c r="D87" s="22"/>
      <c r="E87" s="22"/>
      <c r="F87" s="22"/>
      <c r="G87" s="22"/>
      <c r="H87" s="22"/>
    </row>
    <row r="88" spans="1:16">
      <c r="B88" s="105"/>
      <c r="C88" s="22"/>
      <c r="D88" s="22"/>
      <c r="E88" s="22"/>
      <c r="F88" s="22"/>
      <c r="G88" s="22"/>
      <c r="H88" s="22"/>
    </row>
    <row r="89" spans="1:16">
      <c r="B89" s="105"/>
      <c r="C89" s="22"/>
      <c r="D89" s="22"/>
      <c r="E89" s="22"/>
      <c r="F89" s="22"/>
      <c r="G89" s="22"/>
      <c r="H89" s="22"/>
    </row>
    <row r="90" spans="1:16">
      <c r="B90" s="104"/>
      <c r="C90" s="22"/>
      <c r="D90" s="22"/>
      <c r="E90" s="22"/>
      <c r="F90" s="22"/>
      <c r="G90" s="22"/>
      <c r="H90" s="22"/>
    </row>
  </sheetData>
  <mergeCells count="1">
    <mergeCell ref="K58:K59"/>
  </mergeCells>
  <phoneticPr fontId="0" type="noConversion"/>
  <pageMargins left="0.39370078740157483" right="0.74803149606299213" top="0.74803149606299213" bottom="0.74803149606299213" header="0.51181102362204722" footer="0.51181102362204722"/>
  <pageSetup scale="85" fitToHeight="0" orientation="landscape" r:id="rId1"/>
  <headerFooter alignWithMargins="0">
    <oddFooter>&amp;L&amp;Z&amp;F</oddFooter>
  </headerFooter>
  <rowBreaks count="1" manualBreakCount="1">
    <brk id="44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75"/>
  <sheetViews>
    <sheetView zoomScaleNormal="100" workbookViewId="0">
      <selection activeCell="N18" sqref="N18:N21"/>
    </sheetView>
  </sheetViews>
  <sheetFormatPr defaultRowHeight="12.75"/>
  <cols>
    <col min="1" max="1" width="13.140625" customWidth="1"/>
    <col min="2" max="5" width="13.5703125" style="6" customWidth="1"/>
    <col min="6" max="6" width="13.5703125" customWidth="1"/>
    <col min="7" max="7" width="13.5703125" style="6" customWidth="1"/>
    <col min="8" max="8" width="4.5703125" style="6" customWidth="1"/>
    <col min="9" max="11" width="13.5703125" style="6" customWidth="1"/>
    <col min="12" max="15" width="13.5703125" customWidth="1"/>
    <col min="16" max="16" width="3.28515625" customWidth="1"/>
    <col min="17" max="24" width="13.5703125" customWidth="1"/>
  </cols>
  <sheetData>
    <row r="1" spans="1:23">
      <c r="B1" s="281" t="s">
        <v>168</v>
      </c>
      <c r="C1" s="281"/>
      <c r="D1" s="281"/>
      <c r="E1" s="281"/>
      <c r="F1" s="281"/>
      <c r="G1" s="281"/>
      <c r="I1" s="281" t="s">
        <v>169</v>
      </c>
      <c r="J1" s="281"/>
      <c r="K1" s="281"/>
      <c r="L1" s="281"/>
      <c r="M1" s="281"/>
      <c r="N1" s="281"/>
      <c r="O1" s="271"/>
      <c r="Q1" s="281" t="s">
        <v>172</v>
      </c>
      <c r="R1" s="281"/>
      <c r="S1" s="281"/>
      <c r="T1" s="281"/>
      <c r="U1" s="281"/>
      <c r="V1" s="281"/>
    </row>
    <row r="2" spans="1:23" ht="42" customHeight="1">
      <c r="A2" s="142"/>
      <c r="B2" s="8" t="str">
        <f>'Rate Class Customer Model'!D2</f>
        <v>General Service &gt; 50 to 4999 kW</v>
      </c>
      <c r="C2" s="8" t="str">
        <f>'Rate Class Customer Model'!E2</f>
        <v>Large User</v>
      </c>
      <c r="D2" s="98" t="s">
        <v>71</v>
      </c>
      <c r="E2" s="143" t="str">
        <f>'Rate Class Customer Model'!G2</f>
        <v>Street Lights</v>
      </c>
      <c r="F2" s="37" t="s">
        <v>67</v>
      </c>
      <c r="G2" s="6" t="s">
        <v>10</v>
      </c>
      <c r="I2" s="8" t="s">
        <v>106</v>
      </c>
      <c r="J2" s="8" t="s">
        <v>72</v>
      </c>
      <c r="K2" s="98" t="s">
        <v>71</v>
      </c>
      <c r="L2" s="143" t="s">
        <v>64</v>
      </c>
      <c r="M2" s="37" t="s">
        <v>67</v>
      </c>
      <c r="N2" s="6" t="s">
        <v>10</v>
      </c>
      <c r="O2" s="98" t="s">
        <v>167</v>
      </c>
      <c r="Q2" s="8" t="s">
        <v>106</v>
      </c>
      <c r="R2" s="8" t="s">
        <v>72</v>
      </c>
      <c r="S2" s="98" t="s">
        <v>71</v>
      </c>
      <c r="T2" s="143" t="s">
        <v>64</v>
      </c>
      <c r="U2" s="37" t="s">
        <v>67</v>
      </c>
      <c r="V2" s="6" t="s">
        <v>10</v>
      </c>
      <c r="W2" s="98" t="s">
        <v>167</v>
      </c>
    </row>
    <row r="3" spans="1:23">
      <c r="A3" s="27">
        <v>2001</v>
      </c>
      <c r="B3" s="19"/>
      <c r="C3" s="19"/>
      <c r="D3" s="19"/>
      <c r="E3" s="19"/>
      <c r="F3" s="63"/>
      <c r="Q3" s="6"/>
      <c r="R3" s="6"/>
      <c r="S3" s="6"/>
    </row>
    <row r="4" spans="1:23">
      <c r="A4" s="27">
        <v>2002</v>
      </c>
      <c r="B4" s="93"/>
      <c r="C4" s="102"/>
      <c r="D4" s="42"/>
      <c r="E4" s="42"/>
      <c r="F4" s="63"/>
      <c r="G4" s="6">
        <f t="shared" ref="G4:G12" si="0">SUM(B4:E4)</f>
        <v>0</v>
      </c>
      <c r="Q4" s="6"/>
      <c r="R4" s="6"/>
      <c r="S4" s="6"/>
    </row>
    <row r="5" spans="1:23">
      <c r="A5" s="27">
        <v>2003</v>
      </c>
      <c r="B5" s="43">
        <v>1578391.22</v>
      </c>
      <c r="C5" s="42">
        <v>120390.91</v>
      </c>
      <c r="D5" s="42"/>
      <c r="E5" s="144">
        <v>20125.75</v>
      </c>
      <c r="F5" s="63"/>
      <c r="G5" s="6">
        <f t="shared" si="0"/>
        <v>1718907.88</v>
      </c>
      <c r="I5" s="6">
        <v>1584751.3878028097</v>
      </c>
      <c r="J5" s="6">
        <v>120876.02825194578</v>
      </c>
      <c r="K5" s="6">
        <v>0</v>
      </c>
      <c r="L5" s="6">
        <v>20206.847224525489</v>
      </c>
      <c r="M5" s="6">
        <v>0</v>
      </c>
      <c r="N5" s="6">
        <f>SUM(I5:M5)</f>
        <v>1725834.2632792809</v>
      </c>
      <c r="O5" s="6">
        <f>I5+K5</f>
        <v>1584751.3878028097</v>
      </c>
      <c r="P5" s="6"/>
      <c r="Q5" s="6">
        <v>1584156.3031166245</v>
      </c>
      <c r="R5" s="6">
        <v>120830.63849939956</v>
      </c>
      <c r="S5" s="6">
        <v>0</v>
      </c>
      <c r="T5" s="6">
        <v>20199.259418998416</v>
      </c>
      <c r="U5" s="6">
        <v>0</v>
      </c>
      <c r="V5" s="6">
        <f>SUM(Q5:U5)</f>
        <v>1725186.2010350225</v>
      </c>
      <c r="W5" s="6">
        <f>Q5+S5</f>
        <v>1584156.3031166245</v>
      </c>
    </row>
    <row r="6" spans="1:23">
      <c r="A6" s="27">
        <v>2004</v>
      </c>
      <c r="B6" s="43">
        <v>1578376.8800000001</v>
      </c>
      <c r="C6" s="42">
        <v>136143.48000000001</v>
      </c>
      <c r="D6" s="42"/>
      <c r="E6" s="144">
        <v>20541.026000000002</v>
      </c>
      <c r="F6" s="63"/>
      <c r="G6" s="6">
        <f t="shared" si="0"/>
        <v>1735061.3860000002</v>
      </c>
      <c r="I6" s="6">
        <v>1618444.2751175682</v>
      </c>
      <c r="J6" s="6">
        <v>139599.50794551877</v>
      </c>
      <c r="K6" s="6">
        <v>0</v>
      </c>
      <c r="L6" s="6">
        <v>21062.463823431779</v>
      </c>
      <c r="M6" s="6">
        <v>0</v>
      </c>
      <c r="N6" s="6">
        <f t="shared" ref="N6:N21" si="1">SUM(I6:M6)</f>
        <v>1779106.2468865188</v>
      </c>
      <c r="O6" s="6">
        <f t="shared" ref="O6:O21" si="2">I6+K6</f>
        <v>1618444.2751175682</v>
      </c>
      <c r="P6" s="6"/>
      <c r="Q6" s="6">
        <v>1617860.3849605569</v>
      </c>
      <c r="R6" s="6">
        <v>139549.14428464632</v>
      </c>
      <c r="S6" s="6">
        <v>0</v>
      </c>
      <c r="T6" s="6">
        <v>21054.865066095499</v>
      </c>
      <c r="U6" s="6">
        <v>0</v>
      </c>
      <c r="V6" s="6">
        <f t="shared" ref="V6:V21" si="3">SUM(Q6:U6)</f>
        <v>1778464.3943112986</v>
      </c>
      <c r="W6" s="6">
        <f t="shared" ref="W6:W21" si="4">Q6+S6</f>
        <v>1617860.3849605569</v>
      </c>
    </row>
    <row r="7" spans="1:23">
      <c r="A7" s="27">
        <v>2005</v>
      </c>
      <c r="B7" s="43">
        <v>1609886.5499999998</v>
      </c>
      <c r="C7" s="42">
        <v>138634.15</v>
      </c>
      <c r="D7" s="42"/>
      <c r="E7" s="144">
        <v>21197.885999999999</v>
      </c>
      <c r="F7" s="63"/>
      <c r="G7" s="6">
        <f t="shared" si="0"/>
        <v>1769718.5859999997</v>
      </c>
      <c r="I7" s="6">
        <v>1613876.5831030828</v>
      </c>
      <c r="J7" s="6">
        <v>138977.74865154334</v>
      </c>
      <c r="K7" s="6">
        <v>0</v>
      </c>
      <c r="L7" s="6">
        <v>21250.424029375659</v>
      </c>
      <c r="M7" s="6">
        <v>0</v>
      </c>
      <c r="N7" s="6">
        <f t="shared" si="1"/>
        <v>1774104.7557840019</v>
      </c>
      <c r="O7" s="6">
        <f t="shared" si="2"/>
        <v>1613876.5831030828</v>
      </c>
      <c r="P7" s="6"/>
      <c r="Q7" s="6">
        <v>1613309.2000566779</v>
      </c>
      <c r="R7" s="6">
        <v>138928.88889408851</v>
      </c>
      <c r="S7" s="6">
        <v>0</v>
      </c>
      <c r="T7" s="6">
        <v>21242.953117132787</v>
      </c>
      <c r="U7" s="6">
        <v>0</v>
      </c>
      <c r="V7" s="6">
        <f t="shared" si="3"/>
        <v>1773481.0420678994</v>
      </c>
      <c r="W7" s="6">
        <f t="shared" si="4"/>
        <v>1613309.2000566779</v>
      </c>
    </row>
    <row r="8" spans="1:23">
      <c r="A8" s="27">
        <v>2006</v>
      </c>
      <c r="B8" s="43">
        <v>1625473.94</v>
      </c>
      <c r="C8" s="42">
        <v>144512.38</v>
      </c>
      <c r="D8" s="42"/>
      <c r="E8" s="144">
        <v>21492.79</v>
      </c>
      <c r="F8" s="63"/>
      <c r="G8" s="6">
        <f t="shared" si="0"/>
        <v>1791479.1099999999</v>
      </c>
      <c r="I8" s="6">
        <v>1642477.4439048495</v>
      </c>
      <c r="J8" s="6">
        <v>146024.07253296621</v>
      </c>
      <c r="K8" s="6">
        <v>0</v>
      </c>
      <c r="L8" s="6">
        <v>21717.618420621195</v>
      </c>
      <c r="M8" s="6">
        <v>0</v>
      </c>
      <c r="N8" s="6">
        <f t="shared" si="1"/>
        <v>1810219.1348584369</v>
      </c>
      <c r="O8" s="6">
        <f t="shared" si="2"/>
        <v>1642477.4439048495</v>
      </c>
      <c r="P8" s="6"/>
      <c r="Q8" s="6">
        <v>1641910.4008108648</v>
      </c>
      <c r="R8" s="6">
        <v>145973.65969947944</v>
      </c>
      <c r="S8" s="6">
        <v>0</v>
      </c>
      <c r="T8" s="6">
        <v>21710.120706975933</v>
      </c>
      <c r="U8" s="6">
        <v>0</v>
      </c>
      <c r="V8" s="6">
        <f t="shared" si="3"/>
        <v>1809594.18121732</v>
      </c>
      <c r="W8" s="6">
        <f t="shared" si="4"/>
        <v>1641910.4008108648</v>
      </c>
    </row>
    <row r="9" spans="1:23">
      <c r="A9" s="27">
        <v>2007</v>
      </c>
      <c r="B9" s="43">
        <v>1650920.52526434</v>
      </c>
      <c r="C9" s="42">
        <v>147257.86545956359</v>
      </c>
      <c r="D9" s="42"/>
      <c r="E9" s="144">
        <v>21702.994999999999</v>
      </c>
      <c r="F9" s="63"/>
      <c r="G9" s="6">
        <f t="shared" si="0"/>
        <v>1819881.3857239038</v>
      </c>
      <c r="I9" s="6">
        <v>1626518.6441793109</v>
      </c>
      <c r="J9" s="6">
        <v>145081.28041698312</v>
      </c>
      <c r="K9" s="6">
        <v>0</v>
      </c>
      <c r="L9" s="6">
        <v>21382.207963268367</v>
      </c>
      <c r="M9" s="6">
        <v>0</v>
      </c>
      <c r="N9" s="6">
        <f t="shared" si="1"/>
        <v>1792982.1325595623</v>
      </c>
      <c r="O9" s="6">
        <f t="shared" si="2"/>
        <v>1626518.6441793109</v>
      </c>
      <c r="P9" s="6"/>
      <c r="Q9" s="6">
        <v>1625963.3712254404</v>
      </c>
      <c r="R9" s="6">
        <v>145031.75149739973</v>
      </c>
      <c r="S9" s="6">
        <v>0</v>
      </c>
      <c r="T9" s="6">
        <v>21374.908347110555</v>
      </c>
      <c r="U9" s="6">
        <v>0</v>
      </c>
      <c r="V9" s="6">
        <f t="shared" si="3"/>
        <v>1792370.0310699507</v>
      </c>
      <c r="W9" s="6">
        <f t="shared" si="4"/>
        <v>1625963.3712254404</v>
      </c>
    </row>
    <row r="10" spans="1:23">
      <c r="A10" s="27">
        <v>2008</v>
      </c>
      <c r="B10" s="43">
        <v>1665645.4876041899</v>
      </c>
      <c r="C10" s="42">
        <v>145766.05751103099</v>
      </c>
      <c r="D10" s="42"/>
      <c r="E10" s="144">
        <v>21921.075000000001</v>
      </c>
      <c r="F10" s="63"/>
      <c r="G10" s="6">
        <f t="shared" si="0"/>
        <v>1833332.6201152208</v>
      </c>
      <c r="I10" s="6">
        <v>1668038.5763579165</v>
      </c>
      <c r="J10" s="6">
        <v>145975.48449624525</v>
      </c>
      <c r="K10" s="6">
        <v>0</v>
      </c>
      <c r="L10" s="6">
        <v>21952.569743895085</v>
      </c>
      <c r="M10" s="6">
        <v>0</v>
      </c>
      <c r="N10" s="6">
        <f t="shared" si="1"/>
        <v>1835966.6305980566</v>
      </c>
      <c r="O10" s="6">
        <f t="shared" si="2"/>
        <v>1668038.5763579165</v>
      </c>
      <c r="P10" s="6"/>
      <c r="Q10" s="6">
        <v>1667477.5076087038</v>
      </c>
      <c r="R10" s="6">
        <v>145926.38354398738</v>
      </c>
      <c r="S10" s="6">
        <v>0</v>
      </c>
      <c r="T10" s="6">
        <v>21945.185681546176</v>
      </c>
      <c r="U10" s="6">
        <v>0</v>
      </c>
      <c r="V10" s="6">
        <f t="shared" si="3"/>
        <v>1835349.0768342372</v>
      </c>
      <c r="W10" s="6">
        <f t="shared" si="4"/>
        <v>1667477.5076087038</v>
      </c>
    </row>
    <row r="11" spans="1:23">
      <c r="A11" s="27">
        <v>2009</v>
      </c>
      <c r="B11" s="43">
        <v>1682115.0064068299</v>
      </c>
      <c r="C11" s="42">
        <v>144355.31891495423</v>
      </c>
      <c r="D11" s="42"/>
      <c r="E11" s="144">
        <v>22078.296999999999</v>
      </c>
      <c r="F11" s="63"/>
      <c r="G11" s="6">
        <f t="shared" si="0"/>
        <v>1848548.6223217843</v>
      </c>
      <c r="I11" s="6">
        <v>1714393.4170812967</v>
      </c>
      <c r="J11" s="6">
        <v>147125.37937409832</v>
      </c>
      <c r="K11" s="6">
        <v>0</v>
      </c>
      <c r="L11" s="6">
        <v>22501.961455072629</v>
      </c>
      <c r="M11" s="6">
        <v>0</v>
      </c>
      <c r="N11" s="6">
        <f t="shared" si="1"/>
        <v>1884020.7579104677</v>
      </c>
      <c r="O11" s="6">
        <f t="shared" si="2"/>
        <v>1714393.4170812967</v>
      </c>
      <c r="P11" s="6"/>
      <c r="Q11" s="6">
        <v>1713822.9215325057</v>
      </c>
      <c r="R11" s="6">
        <v>147076.42073181071</v>
      </c>
      <c r="S11" s="6">
        <v>0</v>
      </c>
      <c r="T11" s="6">
        <v>22494.473518685754</v>
      </c>
      <c r="U11" s="6">
        <v>0</v>
      </c>
      <c r="V11" s="6">
        <f t="shared" si="3"/>
        <v>1883393.8157830019</v>
      </c>
      <c r="W11" s="6">
        <f t="shared" si="4"/>
        <v>1713822.9215325057</v>
      </c>
    </row>
    <row r="12" spans="1:23">
      <c r="A12" s="27">
        <v>2010</v>
      </c>
      <c r="B12" s="42">
        <v>1762264.4908548973</v>
      </c>
      <c r="C12" s="42">
        <v>155986.1286054042</v>
      </c>
      <c r="D12" s="42"/>
      <c r="E12" s="144">
        <v>22211.699000000001</v>
      </c>
      <c r="F12" s="63"/>
      <c r="G12" s="6">
        <f t="shared" si="0"/>
        <v>1940462.3184603015</v>
      </c>
      <c r="I12" s="6">
        <v>1735505.4271445638</v>
      </c>
      <c r="J12" s="6">
        <v>153617.56090461861</v>
      </c>
      <c r="K12" s="6">
        <v>0</v>
      </c>
      <c r="L12" s="6">
        <v>21874.425978986332</v>
      </c>
      <c r="M12" s="6">
        <v>0</v>
      </c>
      <c r="N12" s="6">
        <f t="shared" si="1"/>
        <v>1910997.4140281687</v>
      </c>
      <c r="O12" s="6">
        <f t="shared" si="2"/>
        <v>1735505.4271445638</v>
      </c>
      <c r="P12" s="6"/>
      <c r="Q12" s="6">
        <v>1734934.9691487406</v>
      </c>
      <c r="R12" s="6">
        <v>153567.06704585775</v>
      </c>
      <c r="S12" s="6">
        <v>0</v>
      </c>
      <c r="T12" s="6">
        <v>21867.235888417563</v>
      </c>
      <c r="U12" s="6">
        <v>0</v>
      </c>
      <c r="V12" s="6">
        <f t="shared" si="3"/>
        <v>1910369.2720830159</v>
      </c>
      <c r="W12" s="6">
        <f t="shared" si="4"/>
        <v>1734934.9691487406</v>
      </c>
    </row>
    <row r="13" spans="1:23">
      <c r="A13" s="27">
        <v>2011</v>
      </c>
      <c r="B13" s="61">
        <v>1775934.1105933774</v>
      </c>
      <c r="C13" s="61">
        <v>160630.4092067632</v>
      </c>
      <c r="D13" s="61"/>
      <c r="E13" s="102">
        <v>22236.633999999998</v>
      </c>
      <c r="F13" s="61">
        <v>39512.080000000002</v>
      </c>
      <c r="G13" s="6">
        <f t="shared" ref="G13:G23" si="5">SUM(B13:F13)</f>
        <v>1998313.2338001407</v>
      </c>
      <c r="I13" s="6">
        <v>1759478.9089475214</v>
      </c>
      <c r="J13" s="6">
        <v>159142.06244987229</v>
      </c>
      <c r="K13" s="6">
        <v>0</v>
      </c>
      <c r="L13" s="6">
        <v>22030.596909877982</v>
      </c>
      <c r="M13" s="6">
        <v>39145.974500945231</v>
      </c>
      <c r="N13" s="6">
        <f t="shared" si="1"/>
        <v>1979797.542808217</v>
      </c>
      <c r="O13" s="6">
        <f t="shared" si="2"/>
        <v>1759478.9089475214</v>
      </c>
      <c r="P13" s="6"/>
      <c r="Q13" s="6">
        <v>1758907.776110701</v>
      </c>
      <c r="R13" s="6">
        <v>159090.40439525037</v>
      </c>
      <c r="S13" s="6">
        <v>0</v>
      </c>
      <c r="T13" s="6">
        <v>22023.445703207643</v>
      </c>
      <c r="U13" s="6">
        <v>39133.267584509267</v>
      </c>
      <c r="V13" s="6">
        <f t="shared" si="3"/>
        <v>1979154.8937936684</v>
      </c>
      <c r="W13" s="6">
        <f t="shared" si="4"/>
        <v>1758907.776110701</v>
      </c>
    </row>
    <row r="14" spans="1:23">
      <c r="A14" s="27">
        <v>2012</v>
      </c>
      <c r="B14" s="61">
        <f>1801338.99122326</f>
        <v>1801338.9912232601</v>
      </c>
      <c r="C14" s="61">
        <v>165061.06945578445</v>
      </c>
      <c r="D14" s="61">
        <v>5848.15</v>
      </c>
      <c r="E14" s="102">
        <v>21334.085999999999</v>
      </c>
      <c r="F14" s="61">
        <v>71506.52</v>
      </c>
      <c r="G14" s="6">
        <f t="shared" si="5"/>
        <v>2065088.8166790444</v>
      </c>
      <c r="I14" s="6">
        <v>1789930.5116093794</v>
      </c>
      <c r="J14" s="6">
        <v>164015.6827433962</v>
      </c>
      <c r="K14" s="6">
        <v>5811.1117188219478</v>
      </c>
      <c r="L14" s="6">
        <v>21198.970129862479</v>
      </c>
      <c r="M14" s="6">
        <v>71053.645399686386</v>
      </c>
      <c r="N14" s="6">
        <f t="shared" si="1"/>
        <v>2052009.9216011465</v>
      </c>
      <c r="O14" s="6">
        <f t="shared" si="2"/>
        <v>1795741.6233282015</v>
      </c>
      <c r="P14" s="6"/>
      <c r="Q14" s="6">
        <v>1789355.1685788292</v>
      </c>
      <c r="R14" s="6">
        <v>163962.96266328398</v>
      </c>
      <c r="S14" s="6">
        <v>5809.2438347865127</v>
      </c>
      <c r="T14" s="6">
        <v>21192.156077786181</v>
      </c>
      <c r="U14" s="6">
        <v>71030.806401518174</v>
      </c>
      <c r="V14" s="6">
        <f t="shared" si="3"/>
        <v>2051350.3375562041</v>
      </c>
      <c r="W14" s="6">
        <f t="shared" si="4"/>
        <v>1795164.4124136157</v>
      </c>
    </row>
    <row r="15" spans="1:23">
      <c r="A15" s="27">
        <v>2013</v>
      </c>
      <c r="B15" s="61">
        <f>1766194.57204795</f>
        <v>1766194.57204795</v>
      </c>
      <c r="C15" s="61">
        <v>168360.64399864853</v>
      </c>
      <c r="D15" s="61">
        <v>13337.56</v>
      </c>
      <c r="E15" s="102">
        <v>21461.001000000004</v>
      </c>
      <c r="F15" s="61">
        <v>71173.789999999994</v>
      </c>
      <c r="G15" s="6">
        <f t="shared" si="5"/>
        <v>2040527.5670465985</v>
      </c>
      <c r="I15" s="6">
        <v>1767238.556943618</v>
      </c>
      <c r="J15" s="6">
        <v>168460.1607631892</v>
      </c>
      <c r="K15" s="6">
        <v>13345.443735691089</v>
      </c>
      <c r="L15" s="6">
        <v>21473.686443180781</v>
      </c>
      <c r="M15" s="6">
        <v>71215.860314847159</v>
      </c>
      <c r="N15" s="6">
        <f t="shared" si="1"/>
        <v>2041733.7082005262</v>
      </c>
      <c r="O15" s="6">
        <f t="shared" si="2"/>
        <v>1780584.000679309</v>
      </c>
      <c r="P15" s="6"/>
      <c r="Q15" s="6">
        <v>1766674.4732005645</v>
      </c>
      <c r="R15" s="6">
        <v>168406.39007237594</v>
      </c>
      <c r="S15" s="6">
        <v>13341.184012053011</v>
      </c>
      <c r="T15" s="6">
        <v>21466.832270959134</v>
      </c>
      <c r="U15" s="6">
        <v>71193.128970007878</v>
      </c>
      <c r="V15" s="6">
        <f t="shared" si="3"/>
        <v>2041082.0085259606</v>
      </c>
      <c r="W15" s="6">
        <f t="shared" si="4"/>
        <v>1780015.6572126176</v>
      </c>
    </row>
    <row r="16" spans="1:23">
      <c r="A16" s="27">
        <v>2014</v>
      </c>
      <c r="B16" s="61">
        <f>1726654.3667195</f>
        <v>1726654.3667194999</v>
      </c>
      <c r="C16" s="61">
        <v>166648.90999999997</v>
      </c>
      <c r="D16" s="61">
        <v>12738.060000000001</v>
      </c>
      <c r="E16" s="102">
        <v>21568.221999999994</v>
      </c>
      <c r="F16" s="61">
        <v>72406.850000000006</v>
      </c>
      <c r="G16" s="6">
        <f t="shared" si="5"/>
        <v>2000016.4087195001</v>
      </c>
      <c r="I16" s="6">
        <v>1739395.2419664026</v>
      </c>
      <c r="J16" s="6">
        <v>167878.6019483523</v>
      </c>
      <c r="K16" s="6">
        <v>12832.053352969597</v>
      </c>
      <c r="L16" s="6">
        <v>21727.372569503721</v>
      </c>
      <c r="M16" s="6">
        <v>72941.13564549599</v>
      </c>
      <c r="N16" s="6">
        <f t="shared" si="1"/>
        <v>2014774.4054827243</v>
      </c>
      <c r="O16" s="6">
        <f t="shared" si="2"/>
        <v>1752227.2953193723</v>
      </c>
      <c r="P16" s="6"/>
      <c r="Q16" s="6">
        <v>1738840.3673411917</v>
      </c>
      <c r="R16" s="6">
        <v>167825.04794631206</v>
      </c>
      <c r="S16" s="6">
        <v>12827.959872302794</v>
      </c>
      <c r="T16" s="6">
        <v>21720.441443431595</v>
      </c>
      <c r="U16" s="6">
        <v>72917.867106910126</v>
      </c>
      <c r="V16" s="6">
        <f t="shared" si="3"/>
        <v>2014131.6837101483</v>
      </c>
      <c r="W16" s="6">
        <f t="shared" si="4"/>
        <v>1751668.3272134946</v>
      </c>
    </row>
    <row r="17" spans="1:23">
      <c r="A17" s="27">
        <v>2015</v>
      </c>
      <c r="B17" s="102">
        <f>1734984</f>
        <v>1734984</v>
      </c>
      <c r="C17" s="102">
        <v>170150.59999999998</v>
      </c>
      <c r="D17" s="102">
        <v>12034.579999999998</v>
      </c>
      <c r="E17" s="102">
        <v>21206.239999999994</v>
      </c>
      <c r="F17" s="102">
        <v>75403.429999999978</v>
      </c>
      <c r="G17" s="6">
        <f t="shared" si="5"/>
        <v>2013778.85</v>
      </c>
      <c r="I17" s="6">
        <v>1757945.0570055551</v>
      </c>
      <c r="J17" s="6">
        <v>172402.40037748442</v>
      </c>
      <c r="K17" s="6">
        <v>12193.847565244356</v>
      </c>
      <c r="L17" s="6">
        <v>21486.886787240386</v>
      </c>
      <c r="M17" s="6">
        <v>76401.331107240389</v>
      </c>
      <c r="N17" s="6">
        <f t="shared" si="1"/>
        <v>2040429.5228427649</v>
      </c>
      <c r="O17" s="6">
        <f t="shared" si="2"/>
        <v>1770138.9045707996</v>
      </c>
      <c r="P17" s="6"/>
      <c r="Q17" s="6">
        <v>1757385.9930433517</v>
      </c>
      <c r="R17" s="6">
        <v>172347.57274298905</v>
      </c>
      <c r="S17" s="6">
        <v>12189.969662060088</v>
      </c>
      <c r="T17" s="6">
        <v>21480.053499695463</v>
      </c>
      <c r="U17" s="6">
        <v>76377.033857041242</v>
      </c>
      <c r="V17" s="6">
        <f t="shared" si="3"/>
        <v>2039780.6228051374</v>
      </c>
      <c r="W17" s="6">
        <f t="shared" si="4"/>
        <v>1769575.9627054117</v>
      </c>
    </row>
    <row r="18" spans="1:23">
      <c r="A18" s="27">
        <v>2016</v>
      </c>
      <c r="B18" s="102">
        <f>1796640.9</f>
        <v>1796640.9</v>
      </c>
      <c r="C18" s="102">
        <v>178218.15000000002</v>
      </c>
      <c r="D18" s="102">
        <v>12126.05</v>
      </c>
      <c r="E18" s="102">
        <v>21345.936000000002</v>
      </c>
      <c r="F18" s="102">
        <v>78347.76999999999</v>
      </c>
      <c r="G18" s="6">
        <f t="shared" ref="G18:G21" si="6">SUM(B18:F18)</f>
        <v>2086678.8059999999</v>
      </c>
      <c r="I18" s="6">
        <v>1809056.3243712962</v>
      </c>
      <c r="J18" s="6">
        <v>179449.70048007503</v>
      </c>
      <c r="K18" s="6">
        <v>12209.845296376454</v>
      </c>
      <c r="L18" s="6">
        <v>21493.443971149125</v>
      </c>
      <c r="M18" s="6">
        <v>78889.180814534324</v>
      </c>
      <c r="N18" s="6">
        <f t="shared" si="1"/>
        <v>2101098.494933431</v>
      </c>
      <c r="O18" s="6">
        <f t="shared" si="2"/>
        <v>1821266.1696676726</v>
      </c>
      <c r="P18" s="6"/>
      <c r="Q18" s="6">
        <v>1808480.8738668864</v>
      </c>
      <c r="R18" s="6">
        <v>179392.61855329011</v>
      </c>
      <c r="S18" s="6">
        <v>12205.961414188865</v>
      </c>
      <c r="T18" s="6">
        <v>21486.607029143459</v>
      </c>
      <c r="U18" s="6">
        <v>78864.08661581832</v>
      </c>
      <c r="V18" s="6">
        <f t="shared" si="3"/>
        <v>2100430.1474793274</v>
      </c>
      <c r="W18" s="6">
        <f t="shared" si="4"/>
        <v>1820686.8352810752</v>
      </c>
    </row>
    <row r="19" spans="1:23">
      <c r="A19" s="27">
        <v>2017</v>
      </c>
      <c r="B19" s="102">
        <f>1747019.43491</f>
        <v>1747019.4349100001</v>
      </c>
      <c r="C19" s="102">
        <v>177858.1936</v>
      </c>
      <c r="D19" s="102">
        <v>11765.203000000001</v>
      </c>
      <c r="E19" s="102">
        <v>15684.612999999998</v>
      </c>
      <c r="F19" s="102">
        <v>80787.810000000012</v>
      </c>
      <c r="G19" s="6">
        <f t="shared" si="6"/>
        <v>2033115.2545100001</v>
      </c>
      <c r="I19" s="6">
        <v>1795483.9883046316</v>
      </c>
      <c r="J19" s="6">
        <v>182792.20735402781</v>
      </c>
      <c r="K19" s="6">
        <v>12091.584777785747</v>
      </c>
      <c r="L19" s="6">
        <v>16119.72422373506</v>
      </c>
      <c r="M19" s="6">
        <v>83028.967169257274</v>
      </c>
      <c r="N19" s="6">
        <f t="shared" si="1"/>
        <v>2089516.4718294374</v>
      </c>
      <c r="O19" s="6">
        <f t="shared" si="2"/>
        <v>1807575.5730824172</v>
      </c>
      <c r="P19" s="6"/>
      <c r="Q19" s="6">
        <v>1794908.8514716218</v>
      </c>
      <c r="R19" s="6">
        <v>182733.65460060796</v>
      </c>
      <c r="S19" s="6">
        <v>12087.711551502214</v>
      </c>
      <c r="T19" s="6">
        <v>16114.560687218207</v>
      </c>
      <c r="U19" s="6">
        <v>83002.370988206996</v>
      </c>
      <c r="V19" s="6">
        <f t="shared" si="3"/>
        <v>2088847.1492991569</v>
      </c>
      <c r="W19" s="6">
        <f t="shared" si="4"/>
        <v>1806996.5630231239</v>
      </c>
    </row>
    <row r="20" spans="1:23">
      <c r="A20" s="27">
        <v>2018</v>
      </c>
      <c r="B20" s="102">
        <f>1795199.37548704</f>
        <v>1795199.37548704</v>
      </c>
      <c r="C20" s="102">
        <v>173375.9088</v>
      </c>
      <c r="D20" s="102">
        <v>25176.652000000002</v>
      </c>
      <c r="E20" s="102">
        <v>9803.7398699999994</v>
      </c>
      <c r="F20" s="102">
        <v>85275.301890000002</v>
      </c>
      <c r="G20" s="6">
        <f t="shared" si="6"/>
        <v>2088830.9780470401</v>
      </c>
      <c r="I20" s="6">
        <v>1752016.9689282905</v>
      </c>
      <c r="J20" s="6">
        <v>169205.45894160305</v>
      </c>
      <c r="K20" s="6">
        <v>24571.043265228025</v>
      </c>
      <c r="L20" s="6">
        <v>9567.9169933639678</v>
      </c>
      <c r="M20" s="6">
        <v>83224.0574399873</v>
      </c>
      <c r="N20" s="6">
        <f t="shared" si="1"/>
        <v>2038585.4455684728</v>
      </c>
      <c r="O20" s="6">
        <f t="shared" si="2"/>
        <v>1776588.0121935185</v>
      </c>
      <c r="P20" s="6"/>
      <c r="Q20" s="6">
        <v>1751450.9179471543</v>
      </c>
      <c r="R20" s="6">
        <v>169150.79114000857</v>
      </c>
      <c r="S20" s="6">
        <v>24563.104721598316</v>
      </c>
      <c r="T20" s="6">
        <v>9564.825739741671</v>
      </c>
      <c r="U20" s="6">
        <v>83197.168967898528</v>
      </c>
      <c r="V20" s="6">
        <f t="shared" si="3"/>
        <v>2037926.8085164011</v>
      </c>
      <c r="W20" s="6">
        <f t="shared" si="4"/>
        <v>1776014.0226687526</v>
      </c>
    </row>
    <row r="21" spans="1:23">
      <c r="A21" s="27">
        <v>2019</v>
      </c>
      <c r="B21" s="102">
        <f>1752761.49419987</f>
        <v>1752761.4941998699</v>
      </c>
      <c r="C21" s="102">
        <v>169281.44640010002</v>
      </c>
      <c r="D21" s="102">
        <v>18269.653000000002</v>
      </c>
      <c r="E21" s="102">
        <v>9890.8847100000003</v>
      </c>
      <c r="F21" s="102">
        <v>89358.433560001009</v>
      </c>
      <c r="G21" s="6">
        <f t="shared" si="6"/>
        <v>2039561.9118699708</v>
      </c>
      <c r="I21" s="6">
        <v>1746129.3846148436</v>
      </c>
      <c r="J21" s="6">
        <v>168640.91823528556</v>
      </c>
      <c r="K21" s="6">
        <v>18200.524176040006</v>
      </c>
      <c r="L21" s="6">
        <v>9853.4595203739991</v>
      </c>
      <c r="M21" s="6">
        <v>89020.318576486519</v>
      </c>
      <c r="N21" s="6">
        <f t="shared" si="1"/>
        <v>2031844.6051230296</v>
      </c>
      <c r="O21" s="6">
        <f t="shared" si="2"/>
        <v>1764329.9087908836</v>
      </c>
      <c r="P21" s="6"/>
      <c r="Q21" s="6">
        <v>1745563.6741171533</v>
      </c>
      <c r="R21" s="6">
        <v>168586.28199891822</v>
      </c>
      <c r="S21" s="6">
        <v>18194.627575432645</v>
      </c>
      <c r="T21" s="6">
        <v>9850.2671993820077</v>
      </c>
      <c r="U21" s="6">
        <v>88991.477799182059</v>
      </c>
      <c r="V21" s="6">
        <f t="shared" si="3"/>
        <v>2031186.3286900681</v>
      </c>
      <c r="W21" s="6">
        <f t="shared" si="4"/>
        <v>1763758.3016925859</v>
      </c>
    </row>
    <row r="22" spans="1:23">
      <c r="A22" s="27">
        <v>2020</v>
      </c>
      <c r="B22" s="102">
        <f>B52*'Rate Class Energy Model'!J88</f>
        <v>1719145.2678783264</v>
      </c>
      <c r="C22" s="102">
        <f>C52*'Rate Class Energy Model'!K88</f>
        <v>172288.32087892957</v>
      </c>
      <c r="D22" s="102">
        <f>D52*'Rate Class Energy Model'!L88</f>
        <v>22951.013023062791</v>
      </c>
      <c r="E22" s="102">
        <f>E52*'Rate Class Energy Model'!M88</f>
        <v>9204.4550831272427</v>
      </c>
      <c r="F22" s="102">
        <f>F52*'Rate Class Energy Model'!O88</f>
        <v>103033.33238010788</v>
      </c>
      <c r="G22" s="6">
        <f t="shared" si="5"/>
        <v>2026622.3892435539</v>
      </c>
      <c r="H22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</row>
    <row r="23" spans="1:23">
      <c r="A23" s="27">
        <v>2021</v>
      </c>
      <c r="B23" s="102">
        <f>B52*'Rate Class Energy Model'!J89</f>
        <v>1741684.9474716957</v>
      </c>
      <c r="C23" s="102">
        <f>C52*'Rate Class Energy Model'!K89</f>
        <v>169286.85642339554</v>
      </c>
      <c r="D23" s="102">
        <f>D52*'Rate Class Energy Model'!L89</f>
        <v>22951.013023062791</v>
      </c>
      <c r="E23" s="102">
        <f>E52*'Rate Class Energy Model'!M89</f>
        <v>9302.1520576238909</v>
      </c>
      <c r="F23" s="102">
        <f>F52*'Rate Class Energy Model'!O89</f>
        <v>103033.33238010788</v>
      </c>
      <c r="G23" s="6">
        <f t="shared" si="5"/>
        <v>2046258.3013558858</v>
      </c>
    </row>
    <row r="24" spans="1:23">
      <c r="A24" s="132"/>
      <c r="B24" s="24"/>
    </row>
    <row r="25" spans="1:23">
      <c r="A25" s="17" t="s">
        <v>63</v>
      </c>
      <c r="B25" s="5"/>
      <c r="C25" s="146"/>
      <c r="D25" s="147"/>
      <c r="E25" s="5"/>
    </row>
    <row r="26" spans="1:23">
      <c r="A26" s="4">
        <v>2001</v>
      </c>
      <c r="B26" s="25"/>
      <c r="C26" s="148"/>
      <c r="D26" s="147"/>
      <c r="E26" s="130"/>
      <c r="F26" s="24"/>
      <c r="G26" s="24"/>
      <c r="H26" s="24"/>
      <c r="I26" s="24"/>
      <c r="J26" s="24"/>
      <c r="K26" s="24"/>
      <c r="L26" s="24"/>
      <c r="M26" s="24"/>
      <c r="R26" s="6"/>
    </row>
    <row r="27" spans="1:23">
      <c r="A27" s="4">
        <v>2002</v>
      </c>
      <c r="B27" s="25"/>
      <c r="C27" s="149"/>
      <c r="D27" s="147"/>
      <c r="E27" s="25"/>
    </row>
    <row r="28" spans="1:23">
      <c r="A28" s="4">
        <v>2003</v>
      </c>
      <c r="B28" s="25">
        <f>B5/'Rate Class Energy Model'!J12</f>
        <v>2.7160519245640873E-3</v>
      </c>
      <c r="C28" s="25">
        <f>C5/'Rate Class Energy Model'!K12</f>
        <v>1.8398947325799805E-3</v>
      </c>
      <c r="D28" s="25"/>
      <c r="E28" s="25">
        <f>E5/'Rate Class Energy Model'!M12</f>
        <v>2.7861951576611359E-3</v>
      </c>
    </row>
    <row r="29" spans="1:23">
      <c r="A29" s="4">
        <v>2004</v>
      </c>
      <c r="B29" s="25">
        <f>B6/'Rate Class Energy Model'!J13</f>
        <v>2.601995073411125E-3</v>
      </c>
      <c r="C29" s="25">
        <f>C6/'Rate Class Energy Model'!K13</f>
        <v>2.0606862962475958E-3</v>
      </c>
      <c r="D29" s="25"/>
      <c r="E29" s="25">
        <f>E6/'Rate Class Energy Model'!M13</f>
        <v>2.8910025510189424E-3</v>
      </c>
    </row>
    <row r="30" spans="1:23">
      <c r="A30" s="4">
        <v>2005</v>
      </c>
      <c r="B30" s="25">
        <f>B7/'Rate Class Energy Model'!J14</f>
        <v>2.5646854506443588E-3</v>
      </c>
      <c r="C30" s="25">
        <f>C7/'Rate Class Energy Model'!K14</f>
        <v>1.964937901232899E-3</v>
      </c>
      <c r="D30" s="25"/>
      <c r="E30" s="25">
        <f>E7/'Rate Class Energy Model'!M14</f>
        <v>2.7520598148500055E-3</v>
      </c>
    </row>
    <row r="31" spans="1:23">
      <c r="A31" s="4">
        <v>2006</v>
      </c>
      <c r="B31" s="25">
        <f>B8/'Rate Class Energy Model'!J15</f>
        <v>2.4616176775028192E-3</v>
      </c>
      <c r="C31" s="25">
        <f>C8/'Rate Class Energy Model'!K15</f>
        <v>1.9616465775045529E-3</v>
      </c>
      <c r="D31" s="25"/>
      <c r="E31" s="25">
        <f>E8/'Rate Class Energy Model'!M15</f>
        <v>2.7864629568363141E-3</v>
      </c>
    </row>
    <row r="32" spans="1:23">
      <c r="A32" s="4">
        <v>2007</v>
      </c>
      <c r="B32" s="25">
        <f>B9/'Rate Class Energy Model'!J16</f>
        <v>2.4179196766858581E-3</v>
      </c>
      <c r="C32" s="25">
        <f>C9/'Rate Class Energy Model'!K16</f>
        <v>1.9095764241745621E-3</v>
      </c>
      <c r="D32" s="25"/>
      <c r="E32" s="25">
        <f>E9/'Rate Class Energy Model'!M16</f>
        <v>2.8061387214359311E-3</v>
      </c>
    </row>
    <row r="33" spans="1:8">
      <c r="A33" s="4">
        <v>2008</v>
      </c>
      <c r="B33" s="25">
        <f>B10/'Rate Class Energy Model'!J17</f>
        <v>2.4013967051245235E-3</v>
      </c>
      <c r="C33" s="25">
        <f>C10/'Rate Class Energy Model'!K17</f>
        <v>1.8996377443688327E-3</v>
      </c>
      <c r="D33" s="25"/>
      <c r="E33" s="25">
        <f>E10/'Rate Class Energy Model'!M17</f>
        <v>2.765789570636377E-3</v>
      </c>
    </row>
    <row r="34" spans="1:8">
      <c r="A34" s="4">
        <v>2009</v>
      </c>
      <c r="B34" s="25">
        <f>B11/'Rate Class Energy Model'!J18</f>
        <v>2.4129292592214406E-3</v>
      </c>
      <c r="C34" s="25">
        <f>C11/'Rate Class Energy Model'!K18</f>
        <v>1.8868015199307441E-3</v>
      </c>
      <c r="D34" s="25"/>
      <c r="E34" s="25">
        <f>E11/'Rate Class Energy Model'!M18</f>
        <v>2.7870536307707809E-3</v>
      </c>
    </row>
    <row r="35" spans="1:8">
      <c r="A35" s="4">
        <v>2010</v>
      </c>
      <c r="B35" s="25">
        <f>B12/'Rate Class Energy Model'!J19</f>
        <v>2.3983727930878226E-3</v>
      </c>
      <c r="C35" s="25">
        <f>C12/'Rate Class Energy Model'!K19</f>
        <v>1.8886117626821445E-3</v>
      </c>
      <c r="D35" s="25"/>
      <c r="E35" s="25">
        <f>E12/'Rate Class Energy Model'!M19</f>
        <v>2.7924088357621306E-3</v>
      </c>
    </row>
    <row r="36" spans="1:8">
      <c r="A36" s="4">
        <v>2011</v>
      </c>
      <c r="B36" s="25">
        <f>B13/'Rate Class Energy Model'!J20</f>
        <v>2.4491459829135507E-3</v>
      </c>
      <c r="C36" s="25">
        <f>C13/'Rate Class Energy Model'!K20</f>
        <v>1.9066006140475969E-3</v>
      </c>
      <c r="D36" s="25"/>
      <c r="E36" s="25">
        <f>E13/'Rate Class Energy Model'!M20</f>
        <v>2.8006949915047258E-3</v>
      </c>
      <c r="F36" s="150">
        <f>F13/('Rate Class Energy Model'!O20)</f>
        <v>1.7935298681043582E-3</v>
      </c>
      <c r="H36" s="25"/>
    </row>
    <row r="37" spans="1:8">
      <c r="A37" s="4">
        <v>2012</v>
      </c>
      <c r="B37" s="25">
        <f>B14/'Rate Class Energy Model'!J21</f>
        <v>2.5141123879028355E-3</v>
      </c>
      <c r="C37" s="25">
        <f>C14/'Rate Class Energy Model'!K21</f>
        <v>1.9029237991238001E-3</v>
      </c>
      <c r="D37" s="25">
        <f>D14/'Rate Class Energy Model'!L21</f>
        <v>1.6461888243872902E-3</v>
      </c>
      <c r="E37" s="25">
        <f>E14/'Rate Class Energy Model'!M21</f>
        <v>2.1893515680728682E-3</v>
      </c>
      <c r="F37" s="150">
        <f>F14/('Rate Class Energy Model'!O21)</f>
        <v>2.2287969329798361E-3</v>
      </c>
      <c r="H37" s="25"/>
    </row>
    <row r="38" spans="1:8">
      <c r="A38" s="4">
        <v>2013</v>
      </c>
      <c r="B38" s="25">
        <f>B15/'Rate Class Energy Model'!J22</f>
        <v>2.5026238566984013E-3</v>
      </c>
      <c r="C38" s="25">
        <f>C15/'Rate Class Energy Model'!K22</f>
        <v>1.8664705550928973E-3</v>
      </c>
      <c r="D38" s="25">
        <f>D15/'Rate Class Energy Model'!L22</f>
        <v>1.7401179034658035E-3</v>
      </c>
      <c r="E38" s="25">
        <f>E15/'Rate Class Energy Model'!M22</f>
        <v>2.7884761525430158E-3</v>
      </c>
      <c r="F38" s="150">
        <f>F15/('Rate Class Energy Model'!O22)</f>
        <v>2.3159579799973263E-3</v>
      </c>
      <c r="H38" s="25"/>
    </row>
    <row r="39" spans="1:8">
      <c r="A39" s="4">
        <v>2014</v>
      </c>
      <c r="B39" s="25">
        <f>B16/'Rate Class Energy Model'!J23</f>
        <v>2.4672035546610704E-3</v>
      </c>
      <c r="C39" s="25">
        <f>C16/'Rate Class Energy Model'!K23</f>
        <v>1.8271854744217576E-3</v>
      </c>
      <c r="D39" s="25">
        <f>D16/'Rate Class Energy Model'!L23</f>
        <v>1.8184699313601501E-3</v>
      </c>
      <c r="E39" s="25">
        <f>E16/'Rate Class Energy Model'!M23</f>
        <v>2.7935012037110496E-3</v>
      </c>
      <c r="F39" s="150">
        <f>F16/('Rate Class Energy Model'!O23)</f>
        <v>2.2820411948972167E-3</v>
      </c>
      <c r="H39" s="25"/>
    </row>
    <row r="40" spans="1:8">
      <c r="A40" s="4">
        <v>2015</v>
      </c>
      <c r="B40" s="25">
        <f>B17/'Rate Class Energy Model'!J24</f>
        <v>2.4904708023384095E-3</v>
      </c>
      <c r="C40" s="25">
        <f>C17/'Rate Class Energy Model'!K24</f>
        <v>1.8298739351537588E-3</v>
      </c>
      <c r="D40" s="25">
        <f>D17/'Rate Class Energy Model'!L24</f>
        <v>1.7722914105148628E-3</v>
      </c>
      <c r="E40" s="25">
        <f>E17/'Rate Class Energy Model'!M24</f>
        <v>2.7873166096879323E-3</v>
      </c>
      <c r="F40" s="150">
        <f>F17/('Rate Class Energy Model'!O24)</f>
        <v>2.2479367215882773E-3</v>
      </c>
      <c r="H40" s="25"/>
    </row>
    <row r="41" spans="1:8">
      <c r="A41" s="4">
        <v>2016</v>
      </c>
      <c r="B41" s="25">
        <f>B18/'Rate Class Energy Model'!J25</f>
        <v>2.561546178250807E-3</v>
      </c>
      <c r="C41" s="25">
        <f>C18/'Rate Class Energy Model'!K25</f>
        <v>1.8724502367824978E-3</v>
      </c>
      <c r="D41" s="25">
        <f>D18/'Rate Class Energy Model'!L25</f>
        <v>1.8811835791718776E-3</v>
      </c>
      <c r="E41" s="25">
        <f>E18/'Rate Class Energy Model'!M25</f>
        <v>2.794558125754435E-3</v>
      </c>
      <c r="F41" s="150">
        <f>F18/('Rate Class Energy Model'!O25)</f>
        <v>2.3368026625153176E-3</v>
      </c>
      <c r="H41" s="25"/>
    </row>
    <row r="42" spans="1:8">
      <c r="A42" s="4">
        <v>2017</v>
      </c>
      <c r="B42" s="25">
        <f>B19/'Rate Class Energy Model'!J26</f>
        <v>2.5742049732594349E-3</v>
      </c>
      <c r="C42" s="25">
        <f>C19/'Rate Class Energy Model'!K26</f>
        <v>1.8703569124232564E-3</v>
      </c>
      <c r="D42" s="25">
        <f>D19/'Rate Class Energy Model'!L26</f>
        <v>1.8879873617273712E-3</v>
      </c>
      <c r="E42" s="25">
        <f>E19/'Rate Class Energy Model'!M26</f>
        <v>2.8359362101233105E-3</v>
      </c>
      <c r="F42" s="150">
        <f>F19/('Rate Class Energy Model'!O26)</f>
        <v>2.3632441179752988E-3</v>
      </c>
      <c r="H42" s="25"/>
    </row>
    <row r="43" spans="1:8">
      <c r="A43" s="4">
        <v>2018</v>
      </c>
      <c r="B43" s="25">
        <f>B20/'Rate Class Energy Model'!J27</f>
        <v>2.5409167585586016E-3</v>
      </c>
      <c r="C43" s="25">
        <f>C20/'Rate Class Energy Model'!K27</f>
        <v>1.7625442253434774E-3</v>
      </c>
      <c r="D43" s="25">
        <f>D20/'Rate Class Energy Model'!L27</f>
        <v>2.9324505267606304E-3</v>
      </c>
      <c r="E43" s="25">
        <f>E20/'Rate Class Energy Model'!M27</f>
        <v>2.8022866042295876E-3</v>
      </c>
      <c r="F43" s="150">
        <f>F20/('Rate Class Energy Model'!O27)</f>
        <v>2.368677361267061E-3</v>
      </c>
      <c r="H43" s="25"/>
    </row>
    <row r="44" spans="1:8">
      <c r="A44" s="4">
        <v>2019</v>
      </c>
      <c r="B44" s="25">
        <f>B21/'Rate Class Energy Model'!J28</f>
        <v>2.5641589850086068E-3</v>
      </c>
      <c r="C44" s="25">
        <f>C21/'Rate Class Energy Model'!K28</f>
        <v>1.7599775739862912E-3</v>
      </c>
      <c r="D44" s="25">
        <f>D21/'Rate Class Energy Model'!L28</f>
        <v>2.1228814639315391E-3</v>
      </c>
      <c r="E44" s="25">
        <f>E21/'Rate Class Energy Model'!M28</f>
        <v>2.8259879576112853E-3</v>
      </c>
      <c r="F44" s="150">
        <f>F21/('Rate Class Energy Model'!O28)</f>
        <v>2.2926234535768971E-3</v>
      </c>
      <c r="H44" s="25"/>
    </row>
    <row r="45" spans="1:8">
      <c r="A45" s="4"/>
      <c r="C45" s="145"/>
      <c r="F45" s="66"/>
    </row>
    <row r="46" spans="1:8">
      <c r="A46" s="65" t="s">
        <v>161</v>
      </c>
      <c r="B46" s="264">
        <f>AVERAGE(B35:B44)</f>
        <v>2.5062756272679538E-3</v>
      </c>
      <c r="C46" s="264">
        <f t="shared" ref="C46:F46" si="7">AVERAGE(C35:C44)</f>
        <v>1.8486995089057479E-3</v>
      </c>
      <c r="D46" s="264">
        <f>AVERAGE(D35:D44)</f>
        <v>1.9751963751649406E-3</v>
      </c>
      <c r="E46" s="264">
        <f t="shared" si="7"/>
        <v>2.7410518259000341E-3</v>
      </c>
      <c r="F46" s="264">
        <f t="shared" si="7"/>
        <v>2.2477344769890654E-3</v>
      </c>
    </row>
    <row r="47" spans="1:8">
      <c r="A47" s="65" t="s">
        <v>160</v>
      </c>
      <c r="B47" s="25">
        <f>AVERAGE(B40:B44)</f>
        <v>2.546259539483172E-3</v>
      </c>
      <c r="C47" s="25">
        <f t="shared" ref="C47:F47" si="8">AVERAGE(C40:C44)</f>
        <v>1.8190405767378568E-3</v>
      </c>
      <c r="D47" s="25">
        <f>AVERAGE(D40:D44)</f>
        <v>2.1193588684212559E-3</v>
      </c>
      <c r="E47" s="25">
        <f t="shared" si="8"/>
        <v>2.80921710148131E-3</v>
      </c>
      <c r="F47" s="25">
        <f t="shared" si="8"/>
        <v>2.3218568633845702E-3</v>
      </c>
    </row>
    <row r="48" spans="1:8">
      <c r="A48" s="132" t="s">
        <v>162</v>
      </c>
      <c r="B48" s="145">
        <f>TREND(B35:B44, $A35:$A44, 2020)</f>
        <v>2.5941079037986245E-3</v>
      </c>
      <c r="C48" s="145">
        <f t="shared" ref="C48:E48" si="9">TREND(C35:C44, $A35:$A44, 2020)</f>
        <v>1.7717558640093015E-3</v>
      </c>
      <c r="D48" s="145">
        <f>TREND(D37:D44, $A37:$A44, 2020)</f>
        <v>2.4903368780065105E-3</v>
      </c>
      <c r="E48" s="145">
        <f t="shared" si="9"/>
        <v>2.8596630899526965E-3</v>
      </c>
      <c r="F48" s="145">
        <f>TREND(F36:F44, $A36:$A44, 2020)</f>
        <v>2.4615135911828928E-3</v>
      </c>
    </row>
    <row r="49" spans="1:6">
      <c r="A49" s="132" t="s">
        <v>163</v>
      </c>
      <c r="B49" s="145">
        <f>TREND(B40:B44, $A40:$A44, 2020)</f>
        <v>2.5842836231776273E-3</v>
      </c>
      <c r="C49" s="145">
        <f t="shared" ref="C49:F49" si="10">TREND(C40:C44, $A40:$A44, 2020)</f>
        <v>1.7441309566056731E-3</v>
      </c>
      <c r="D49" s="145">
        <f t="shared" si="10"/>
        <v>2.6450929847479099E-3</v>
      </c>
      <c r="E49" s="145">
        <f t="shared" si="10"/>
        <v>2.8347384537778676E-3</v>
      </c>
      <c r="F49" s="145">
        <f t="shared" si="10"/>
        <v>2.3582313122032655E-3</v>
      </c>
    </row>
    <row r="50" spans="1:6">
      <c r="A50" s="132" t="s">
        <v>150</v>
      </c>
      <c r="B50" s="252">
        <f>TREND(B29:B44, $A29:$A44, 2020)</f>
        <v>2.5317959346764932E-3</v>
      </c>
      <c r="C50" s="252">
        <f>TREND(C29:C44, $A29:$A44, 2020)</f>
        <v>1.7689351226242087E-3</v>
      </c>
      <c r="D50" s="252">
        <f>TREND(D37:D44, $A37:$A44, 2020)</f>
        <v>2.4903368780065105E-3</v>
      </c>
      <c r="E50" s="252">
        <f>TREND(E30:E44, $A30:$A44, 2020)</f>
        <v>2.7786469220815635E-3</v>
      </c>
      <c r="F50" s="252">
        <f>TREND(F36:F44, $A36:$A44, 2020)</f>
        <v>2.4615135911828928E-3</v>
      </c>
    </row>
    <row r="51" spans="1:6">
      <c r="A51" s="28"/>
      <c r="B51" s="120"/>
      <c r="C51" s="120"/>
      <c r="D51" s="24"/>
      <c r="E51" s="24"/>
      <c r="F51" s="28"/>
    </row>
    <row r="52" spans="1:6">
      <c r="A52" s="251" t="s">
        <v>61</v>
      </c>
      <c r="B52" s="265">
        <f>B50</f>
        <v>2.5317959346764932E-3</v>
      </c>
      <c r="C52" s="265">
        <f t="shared" ref="C52:F52" si="11">C50</f>
        <v>1.7689351226242087E-3</v>
      </c>
      <c r="D52" s="265">
        <f t="shared" si="11"/>
        <v>2.4903368780065105E-3</v>
      </c>
      <c r="E52" s="265">
        <f>E50</f>
        <v>2.7786469220815635E-3</v>
      </c>
      <c r="F52" s="265">
        <f t="shared" si="11"/>
        <v>2.4615135911828928E-3</v>
      </c>
    </row>
    <row r="54" spans="1:6">
      <c r="B54" s="23"/>
      <c r="C54" s="23"/>
      <c r="D54" s="23"/>
      <c r="E54" s="23"/>
    </row>
    <row r="55" spans="1:6">
      <c r="B55" s="23"/>
      <c r="C55" s="23"/>
      <c r="D55" s="23"/>
      <c r="E55" s="23"/>
    </row>
    <row r="74" spans="2:5">
      <c r="B74" s="15"/>
      <c r="C74" s="15"/>
      <c r="D74" s="15"/>
      <c r="E74" s="15"/>
    </row>
    <row r="75" spans="2:5">
      <c r="B75" s="15"/>
      <c r="C75" s="15"/>
      <c r="D75" s="15"/>
      <c r="E75" s="15"/>
    </row>
  </sheetData>
  <mergeCells count="3">
    <mergeCell ref="B1:G1"/>
    <mergeCell ref="I1:N1"/>
    <mergeCell ref="Q1:V1"/>
  </mergeCells>
  <phoneticPr fontId="0" type="noConversion"/>
  <pageMargins left="0.39370078740157483" right="0.74803149606299213" top="0.74803149606299213" bottom="0.74803149606299213" header="0.51181102362204722" footer="0.51181102362204722"/>
  <pageSetup scale="85" orientation="portrait" r:id="rId1"/>
  <headerFooter alignWithMargins="0">
    <oddFooter>&amp;L&amp;Z&amp;F</oddFooter>
  </headerFooter>
  <colBreaks count="2" manualBreakCount="2">
    <brk id="7" max="51" man="1"/>
    <brk id="15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216"/>
  <sheetViews>
    <sheetView zoomScaleNormal="100" workbookViewId="0">
      <selection activeCell="J21" sqref="J21"/>
    </sheetView>
  </sheetViews>
  <sheetFormatPr defaultColWidth="9.140625" defaultRowHeight="12.75"/>
  <cols>
    <col min="1" max="1" width="9.140625" style="72"/>
    <col min="2" max="2" width="14.140625" style="72" customWidth="1"/>
    <col min="3" max="3" width="14.140625" style="208" customWidth="1"/>
    <col min="4" max="10" width="14.140625" style="72" customWidth="1"/>
    <col min="11" max="16" width="15.140625" style="72" customWidth="1"/>
    <col min="17" max="17" width="13.5703125" style="72" customWidth="1"/>
    <col min="18" max="19" width="12.28515625" style="72" customWidth="1"/>
    <col min="20" max="20" width="13.140625" style="72" customWidth="1"/>
    <col min="21" max="22" width="12.85546875" style="72" customWidth="1"/>
    <col min="23" max="24" width="10.5703125" style="72" customWidth="1"/>
    <col min="25" max="25" width="14.140625" style="72" customWidth="1"/>
    <col min="26" max="26" width="11.28515625" style="72" bestFit="1" customWidth="1"/>
    <col min="27" max="27" width="11.85546875" style="72" customWidth="1"/>
    <col min="28" max="28" width="14" style="72" bestFit="1" customWidth="1"/>
    <col min="29" max="29" width="11" style="72" customWidth="1"/>
    <col min="30" max="30" width="10.140625" style="72" bestFit="1" customWidth="1"/>
    <col min="31" max="16384" width="9.140625" style="72"/>
  </cols>
  <sheetData>
    <row r="1" spans="1:34" ht="15.75">
      <c r="A1" s="182"/>
      <c r="B1" s="182"/>
      <c r="C1" s="182"/>
      <c r="D1" s="182"/>
      <c r="E1" s="182"/>
      <c r="F1" s="182"/>
      <c r="G1" s="182"/>
      <c r="H1" s="182"/>
      <c r="I1" s="182"/>
      <c r="J1" s="182"/>
    </row>
    <row r="2" spans="1:34" ht="51">
      <c r="B2" s="183" t="s">
        <v>121</v>
      </c>
      <c r="C2" s="212" t="s">
        <v>146</v>
      </c>
      <c r="D2" s="183" t="s">
        <v>122</v>
      </c>
      <c r="E2" s="183" t="s">
        <v>123</v>
      </c>
      <c r="F2" s="183" t="s">
        <v>124</v>
      </c>
      <c r="G2" s="183" t="s">
        <v>140</v>
      </c>
      <c r="H2" s="183" t="s">
        <v>141</v>
      </c>
      <c r="I2" s="183" t="s">
        <v>145</v>
      </c>
      <c r="J2" s="235" t="s">
        <v>125</v>
      </c>
      <c r="K2" s="236" t="s">
        <v>126</v>
      </c>
      <c r="L2" s="237" t="s">
        <v>152</v>
      </c>
      <c r="M2" s="238" t="s">
        <v>164</v>
      </c>
      <c r="N2" s="236" t="s">
        <v>153</v>
      </c>
      <c r="O2" s="238" t="s">
        <v>154</v>
      </c>
      <c r="P2" s="237" t="s">
        <v>155</v>
      </c>
      <c r="Q2" s="235"/>
      <c r="R2" s="283" t="s">
        <v>156</v>
      </c>
      <c r="S2" s="283"/>
      <c r="U2" s="284" t="s">
        <v>157</v>
      </c>
      <c r="V2" s="284"/>
    </row>
    <row r="3" spans="1:34">
      <c r="G3" s="208"/>
      <c r="H3" s="208"/>
      <c r="I3" s="208"/>
      <c r="K3" s="239"/>
      <c r="L3" s="240"/>
      <c r="M3" s="241"/>
      <c r="N3" s="239"/>
      <c r="O3" s="241"/>
      <c r="P3" s="240"/>
      <c r="R3" s="242"/>
      <c r="S3" s="242"/>
      <c r="T3" s="233"/>
      <c r="U3" s="233"/>
      <c r="V3" s="233"/>
      <c r="X3" s="185" t="s">
        <v>128</v>
      </c>
      <c r="Y3" s="185">
        <v>1</v>
      </c>
    </row>
    <row r="4" spans="1:34">
      <c r="A4" s="72">
        <v>2006</v>
      </c>
      <c r="B4" s="207">
        <v>3672995.6495007449</v>
      </c>
      <c r="C4" s="213"/>
      <c r="D4" s="207"/>
      <c r="E4" s="207"/>
      <c r="F4" s="207"/>
      <c r="G4" s="209"/>
      <c r="H4" s="209"/>
      <c r="I4" s="209"/>
      <c r="J4" s="184">
        <f>SUM(B4:I4)</f>
        <v>3672995.6495007449</v>
      </c>
      <c r="K4" s="239">
        <f>J4</f>
        <v>3672995.6495007449</v>
      </c>
      <c r="L4" s="243">
        <f t="shared" ref="L4:L19" si="0">K4/$Y$15</f>
        <v>47089.687814112112</v>
      </c>
      <c r="M4" s="263">
        <f>J4-J3</f>
        <v>3672995.6495007449</v>
      </c>
      <c r="N4" s="239">
        <f>J3+0.5*M4</f>
        <v>1836497.8247503724</v>
      </c>
      <c r="O4" s="241">
        <f>N4</f>
        <v>1836497.8247503724</v>
      </c>
      <c r="P4" s="240">
        <f t="shared" ref="P4:P19" si="1">O4/$Y$15</f>
        <v>23544.843907056056</v>
      </c>
      <c r="R4" s="186">
        <f>L35</f>
        <v>3672995.6495007444</v>
      </c>
      <c r="S4" s="186">
        <f t="shared" ref="S4:S19" si="2">J4-R4</f>
        <v>0</v>
      </c>
      <c r="T4" s="186"/>
      <c r="U4" s="186">
        <f>O35</f>
        <v>1836497.8247503722</v>
      </c>
      <c r="V4" s="186">
        <f>N4-U4</f>
        <v>0</v>
      </c>
      <c r="X4" s="185" t="s">
        <v>129</v>
      </c>
      <c r="Y4" s="185">
        <v>2</v>
      </c>
    </row>
    <row r="5" spans="1:34">
      <c r="A5" s="72">
        <v>2007</v>
      </c>
      <c r="B5" s="207">
        <v>6313622.1050187033</v>
      </c>
      <c r="C5" s="213"/>
      <c r="D5" s="207"/>
      <c r="E5" s="207"/>
      <c r="F5" s="207"/>
      <c r="G5" s="208"/>
      <c r="H5" s="208"/>
      <c r="I5" s="208"/>
      <c r="J5" s="184">
        <f>SUM(B5:I5)</f>
        <v>6313622.1050187033</v>
      </c>
      <c r="K5" s="239">
        <f>J5-M35</f>
        <v>-467292.94021344092</v>
      </c>
      <c r="L5" s="243">
        <f t="shared" si="0"/>
        <v>-5990.9351309415506</v>
      </c>
      <c r="M5" s="263">
        <f>J5-J4</f>
        <v>2640626.4555179584</v>
      </c>
      <c r="N5" s="239">
        <f>J4+0.5*M5</f>
        <v>4993308.8772597238</v>
      </c>
      <c r="O5" s="241">
        <f>N5-P35</f>
        <v>1602851.3546436517</v>
      </c>
      <c r="P5" s="240">
        <f t="shared" si="1"/>
        <v>20549.376341585277</v>
      </c>
      <c r="R5" s="186">
        <f>L47</f>
        <v>6313622.1050187014</v>
      </c>
      <c r="S5" s="186">
        <f t="shared" si="2"/>
        <v>0</v>
      </c>
      <c r="T5" s="186"/>
      <c r="U5" s="186">
        <f>O47</f>
        <v>4993308.8772597257</v>
      </c>
      <c r="V5" s="186">
        <f>N5-U5</f>
        <v>0</v>
      </c>
      <c r="X5" s="185" t="s">
        <v>130</v>
      </c>
      <c r="Y5" s="185">
        <v>3</v>
      </c>
    </row>
    <row r="6" spans="1:34">
      <c r="A6" s="72">
        <v>2008</v>
      </c>
      <c r="B6" s="207">
        <v>8314385.6097135106</v>
      </c>
      <c r="C6" s="213"/>
      <c r="D6" s="207"/>
      <c r="E6" s="207"/>
      <c r="F6" s="207"/>
      <c r="G6" s="209"/>
      <c r="H6" s="209"/>
      <c r="I6" s="209"/>
      <c r="J6" s="184">
        <f>SUM(B6:I6)</f>
        <v>8314385.6097135106</v>
      </c>
      <c r="K6" s="239">
        <f>J6-M47</f>
        <v>2396165.2233369518</v>
      </c>
      <c r="L6" s="243">
        <f t="shared" si="0"/>
        <v>30720.066965858357</v>
      </c>
      <c r="M6" s="263">
        <f>J6-J5</f>
        <v>2000763.5046948073</v>
      </c>
      <c r="N6" s="239">
        <f t="shared" ref="N6:N19" si="3">J5+0.5*M6</f>
        <v>7314003.8573661074</v>
      </c>
      <c r="O6" s="241">
        <f>N6-P47</f>
        <v>964436.14156175219</v>
      </c>
      <c r="P6" s="240">
        <f t="shared" si="1"/>
        <v>12364.565917458362</v>
      </c>
      <c r="R6" s="186">
        <f>L59</f>
        <v>8314385.6097135087</v>
      </c>
      <c r="S6" s="186">
        <f t="shared" si="2"/>
        <v>0</v>
      </c>
      <c r="T6" s="186"/>
      <c r="U6" s="186">
        <f>O59</f>
        <v>7314003.8573661102</v>
      </c>
      <c r="V6" s="186">
        <f t="shared" ref="V6:V19" si="4">N6-U6</f>
        <v>0</v>
      </c>
      <c r="X6" s="185" t="s">
        <v>131</v>
      </c>
      <c r="Y6" s="185">
        <v>4</v>
      </c>
    </row>
    <row r="7" spans="1:34">
      <c r="A7" s="72">
        <v>2009</v>
      </c>
      <c r="B7" s="207">
        <v>13364168.616744306</v>
      </c>
      <c r="C7" s="213"/>
      <c r="D7" s="207"/>
      <c r="E7" s="207"/>
      <c r="F7" s="207"/>
      <c r="G7" s="209"/>
      <c r="H7" s="209"/>
      <c r="I7" s="209"/>
      <c r="J7" s="184">
        <f t="shared" ref="J7:J19" si="5">SUM(B7:I7)</f>
        <v>13364168.616744306</v>
      </c>
      <c r="K7" s="239">
        <f>J7-M59</f>
        <v>3022258.5872841477</v>
      </c>
      <c r="L7" s="243">
        <f t="shared" si="0"/>
        <v>38746.904965181384</v>
      </c>
      <c r="M7" s="263">
        <f t="shared" ref="M7:M19" si="6">J7-J6</f>
        <v>5049783.0070307953</v>
      </c>
      <c r="N7" s="239">
        <f t="shared" si="3"/>
        <v>10839277.113228908</v>
      </c>
      <c r="O7" s="241">
        <f>N7-P59</f>
        <v>2709211.9053105451</v>
      </c>
      <c r="P7" s="240">
        <f t="shared" si="1"/>
        <v>34733.485965519809</v>
      </c>
      <c r="R7" s="186">
        <f>L71</f>
        <v>13364168.616744306</v>
      </c>
      <c r="S7" s="186">
        <f t="shared" si="2"/>
        <v>0</v>
      </c>
      <c r="T7" s="186"/>
      <c r="U7" s="186">
        <f>O71</f>
        <v>10839277.113228906</v>
      </c>
      <c r="V7" s="186">
        <f t="shared" si="4"/>
        <v>0</v>
      </c>
      <c r="X7" s="185" t="s">
        <v>68</v>
      </c>
      <c r="Y7" s="185">
        <v>5</v>
      </c>
      <c r="AD7" s="186"/>
      <c r="AE7" s="186"/>
      <c r="AF7" s="186"/>
    </row>
    <row r="8" spans="1:34">
      <c r="A8" s="72">
        <v>2010</v>
      </c>
      <c r="B8" s="207">
        <v>14361143.85456383</v>
      </c>
      <c r="C8" s="213"/>
      <c r="D8" s="207"/>
      <c r="E8" s="207"/>
      <c r="F8" s="207"/>
      <c r="G8" s="209"/>
      <c r="H8" s="209"/>
      <c r="I8" s="209"/>
      <c r="J8" s="184">
        <f t="shared" si="5"/>
        <v>14361143.85456383</v>
      </c>
      <c r="K8" s="239">
        <f>J8-M71</f>
        <v>-1560320.489882445</v>
      </c>
      <c r="L8" s="243">
        <f t="shared" si="0"/>
        <v>-20004.108844646729</v>
      </c>
      <c r="M8" s="263">
        <f t="shared" si="6"/>
        <v>996975.23781952448</v>
      </c>
      <c r="N8" s="239">
        <f t="shared" si="3"/>
        <v>13862656.235654067</v>
      </c>
      <c r="O8" s="241">
        <f>N8-P71</f>
        <v>730969.04870085232</v>
      </c>
      <c r="P8" s="240">
        <f t="shared" si="1"/>
        <v>9371.3980602673382</v>
      </c>
      <c r="R8" s="186">
        <f>L83</f>
        <v>14361143.854563832</v>
      </c>
      <c r="S8" s="186">
        <f t="shared" si="2"/>
        <v>0</v>
      </c>
      <c r="T8" s="186"/>
      <c r="U8" s="186">
        <f>O83</f>
        <v>13862656.235654067</v>
      </c>
      <c r="V8" s="186">
        <f t="shared" si="4"/>
        <v>0</v>
      </c>
      <c r="X8" s="185" t="s">
        <v>132</v>
      </c>
      <c r="Y8" s="185">
        <v>6</v>
      </c>
      <c r="AE8" s="187"/>
      <c r="AF8" s="187"/>
      <c r="AG8" s="188"/>
      <c r="AH8" s="188"/>
    </row>
    <row r="9" spans="1:34">
      <c r="A9" s="72">
        <v>2011</v>
      </c>
      <c r="B9" s="207">
        <v>12467883.84844563</v>
      </c>
      <c r="C9" s="213">
        <v>5907906.487484795</v>
      </c>
      <c r="D9" s="207"/>
      <c r="E9" s="207"/>
      <c r="F9" s="207"/>
      <c r="G9" s="208"/>
      <c r="H9" s="208"/>
      <c r="I9" s="208"/>
      <c r="J9" s="184">
        <f t="shared" si="5"/>
        <v>18375790.335930426</v>
      </c>
      <c r="K9" s="239">
        <f>J9-M83</f>
        <v>5334917.6651132777</v>
      </c>
      <c r="L9" s="243">
        <f t="shared" si="0"/>
        <v>68396.380321965102</v>
      </c>
      <c r="M9" s="263">
        <f t="shared" si="6"/>
        <v>4014646.4813665953</v>
      </c>
      <c r="N9" s="239">
        <f t="shared" si="3"/>
        <v>16368467.095247127</v>
      </c>
      <c r="O9" s="241">
        <f>N9-P83</f>
        <v>1887298.5876154173</v>
      </c>
      <c r="P9" s="240">
        <f t="shared" si="1"/>
        <v>24196.135738659195</v>
      </c>
      <c r="R9" s="186">
        <f>L95</f>
        <v>18375790.335930426</v>
      </c>
      <c r="S9" s="186">
        <f t="shared" si="2"/>
        <v>0</v>
      </c>
      <c r="T9" s="186"/>
      <c r="U9" s="186">
        <f>O95</f>
        <v>16368467.095247125</v>
      </c>
      <c r="V9" s="186">
        <f t="shared" si="4"/>
        <v>0</v>
      </c>
      <c r="X9" s="185" t="s">
        <v>133</v>
      </c>
      <c r="Y9" s="185">
        <v>7</v>
      </c>
      <c r="AE9" s="87"/>
      <c r="AF9" s="187"/>
      <c r="AG9" s="188"/>
    </row>
    <row r="10" spans="1:34">
      <c r="A10" s="72">
        <v>2012</v>
      </c>
      <c r="B10" s="207">
        <v>12173773.034232905</v>
      </c>
      <c r="C10" s="213">
        <v>12851074.142525805</v>
      </c>
      <c r="D10" s="207"/>
      <c r="E10" s="207"/>
      <c r="F10" s="207"/>
      <c r="G10" s="209"/>
      <c r="H10" s="209"/>
      <c r="I10" s="209"/>
      <c r="J10" s="184">
        <f t="shared" si="5"/>
        <v>25024847.17675871</v>
      </c>
      <c r="K10" s="239">
        <f>J10-M95</f>
        <v>2134895.7395785898</v>
      </c>
      <c r="L10" s="243">
        <f t="shared" si="0"/>
        <v>27370.458199725512</v>
      </c>
      <c r="M10" s="263">
        <f t="shared" si="6"/>
        <v>6649056.8408282846</v>
      </c>
      <c r="N10" s="239">
        <f t="shared" si="3"/>
        <v>21700318.756344568</v>
      </c>
      <c r="O10" s="241">
        <f>N10-P95</f>
        <v>3734906.7023459338</v>
      </c>
      <c r="P10" s="240">
        <f t="shared" si="1"/>
        <v>47883.419260845301</v>
      </c>
      <c r="R10" s="186">
        <f>L107</f>
        <v>25024847.176758707</v>
      </c>
      <c r="S10" s="186">
        <f t="shared" si="2"/>
        <v>0</v>
      </c>
      <c r="T10" s="186"/>
      <c r="U10" s="186">
        <f>O107</f>
        <v>21700318.756344568</v>
      </c>
      <c r="V10" s="186">
        <f t="shared" si="4"/>
        <v>0</v>
      </c>
      <c r="X10" s="185" t="s">
        <v>134</v>
      </c>
      <c r="Y10" s="185">
        <v>8</v>
      </c>
    </row>
    <row r="11" spans="1:34">
      <c r="A11" s="72">
        <v>2013</v>
      </c>
      <c r="B11" s="207">
        <v>12094963.232748095</v>
      </c>
      <c r="C11" s="213">
        <v>19640051.031526528</v>
      </c>
      <c r="D11" s="207"/>
      <c r="E11" s="207"/>
      <c r="F11" s="207"/>
      <c r="G11" s="209"/>
      <c r="H11" s="209"/>
      <c r="I11" s="209"/>
      <c r="J11" s="184">
        <f t="shared" si="5"/>
        <v>31735014.264274623</v>
      </c>
      <c r="K11" s="239">
        <f>J11-M107</f>
        <v>4903716.846334029</v>
      </c>
      <c r="L11" s="243">
        <f t="shared" si="0"/>
        <v>62868.164696590116</v>
      </c>
      <c r="M11" s="263">
        <f t="shared" si="6"/>
        <v>6710167.087515913</v>
      </c>
      <c r="N11" s="239">
        <f t="shared" si="3"/>
        <v>28379930.720516667</v>
      </c>
      <c r="O11" s="241">
        <f>N11-P107</f>
        <v>3519306.292956315</v>
      </c>
      <c r="P11" s="240">
        <f t="shared" si="1"/>
        <v>45119.311448157881</v>
      </c>
      <c r="R11" s="186">
        <f>L119</f>
        <v>31735014.264274612</v>
      </c>
      <c r="S11" s="186">
        <f t="shared" si="2"/>
        <v>0</v>
      </c>
      <c r="T11" s="186"/>
      <c r="U11" s="186">
        <f>O119</f>
        <v>28379930.720516659</v>
      </c>
      <c r="V11" s="186">
        <f t="shared" si="4"/>
        <v>0</v>
      </c>
      <c r="X11" s="185" t="s">
        <v>135</v>
      </c>
      <c r="Y11" s="185">
        <v>9</v>
      </c>
      <c r="AF11" s="189"/>
    </row>
    <row r="12" spans="1:34">
      <c r="A12" s="72">
        <v>2014</v>
      </c>
      <c r="B12" s="207">
        <v>11576489.974550452</v>
      </c>
      <c r="C12" s="213">
        <v>27849035.028331347</v>
      </c>
      <c r="D12" s="207"/>
      <c r="E12" s="207"/>
      <c r="F12" s="207"/>
      <c r="G12" s="209"/>
      <c r="H12" s="209"/>
      <c r="I12" s="209"/>
      <c r="J12" s="184">
        <f t="shared" si="5"/>
        <v>39425525.002881795</v>
      </c>
      <c r="K12" s="239">
        <f>J12-M119</f>
        <v>3541211.8686322346</v>
      </c>
      <c r="L12" s="243">
        <f t="shared" si="0"/>
        <v>45400.152161951723</v>
      </c>
      <c r="M12" s="263">
        <f t="shared" si="6"/>
        <v>7690510.7386071719</v>
      </c>
      <c r="N12" s="239">
        <f t="shared" si="3"/>
        <v>35580269.633578211</v>
      </c>
      <c r="O12" s="241">
        <f>N12-P119</f>
        <v>4222464.3574831411</v>
      </c>
      <c r="P12" s="240">
        <f t="shared" si="1"/>
        <v>54134.158429271039</v>
      </c>
      <c r="R12" s="186">
        <f>L131</f>
        <v>39425525.002881795</v>
      </c>
      <c r="S12" s="186">
        <f t="shared" si="2"/>
        <v>0</v>
      </c>
      <c r="T12" s="186"/>
      <c r="U12" s="186">
        <f>O131</f>
        <v>35580269.633578211</v>
      </c>
      <c r="V12" s="186">
        <f t="shared" si="4"/>
        <v>0</v>
      </c>
      <c r="X12" s="185" t="s">
        <v>136</v>
      </c>
      <c r="Y12" s="185">
        <v>10</v>
      </c>
    </row>
    <row r="13" spans="1:34">
      <c r="A13" s="72">
        <v>2015</v>
      </c>
      <c r="B13" s="207">
        <v>9881052.0189065691</v>
      </c>
      <c r="C13" s="213">
        <v>27271115.77713646</v>
      </c>
      <c r="D13" s="207">
        <v>14057755</v>
      </c>
      <c r="E13" s="207"/>
      <c r="F13" s="207"/>
      <c r="G13" s="209"/>
      <c r="H13" s="209"/>
      <c r="I13" s="209"/>
      <c r="J13" s="184">
        <f t="shared" si="5"/>
        <v>51209922.796043031</v>
      </c>
      <c r="K13" s="239">
        <f>J13-M131</f>
        <v>8787987.7504724339</v>
      </c>
      <c r="L13" s="243">
        <f t="shared" si="0"/>
        <v>112666.50962144147</v>
      </c>
      <c r="M13" s="263">
        <f t="shared" si="6"/>
        <v>11784397.793161236</v>
      </c>
      <c r="N13" s="239">
        <f t="shared" si="3"/>
        <v>45317723.899462417</v>
      </c>
      <c r="O13" s="241">
        <f>N13-P131</f>
        <v>6164599.8095523119</v>
      </c>
      <c r="P13" s="240">
        <f t="shared" si="1"/>
        <v>79033.3308916963</v>
      </c>
      <c r="R13" s="186">
        <f>L143</f>
        <v>51209922.796043009</v>
      </c>
      <c r="S13" s="186">
        <f t="shared" si="2"/>
        <v>0</v>
      </c>
      <c r="T13" s="186"/>
      <c r="U13" s="186">
        <f>O143</f>
        <v>45317723.899462417</v>
      </c>
      <c r="V13" s="186">
        <f t="shared" si="4"/>
        <v>0</v>
      </c>
      <c r="X13" s="185" t="s">
        <v>137</v>
      </c>
      <c r="Y13" s="185">
        <v>11</v>
      </c>
    </row>
    <row r="14" spans="1:34">
      <c r="A14" s="72">
        <v>2016</v>
      </c>
      <c r="B14" s="207">
        <v>9311005.7919388413</v>
      </c>
      <c r="C14" s="213">
        <v>26465592.157246113</v>
      </c>
      <c r="D14" s="207">
        <v>14014168</v>
      </c>
      <c r="E14" s="207">
        <v>15699334</v>
      </c>
      <c r="F14" s="207"/>
      <c r="G14" s="209"/>
      <c r="H14" s="209"/>
      <c r="I14" s="209"/>
      <c r="J14" s="184">
        <f t="shared" si="5"/>
        <v>65490099.949184954</v>
      </c>
      <c r="K14" s="239">
        <f>J14-M143</f>
        <v>6844187.5181268007</v>
      </c>
      <c r="L14" s="243">
        <f t="shared" si="0"/>
        <v>87745.993822138465</v>
      </c>
      <c r="M14" s="263">
        <f t="shared" si="6"/>
        <v>14280177.153141923</v>
      </c>
      <c r="N14" s="239">
        <f t="shared" si="3"/>
        <v>58350011.372613996</v>
      </c>
      <c r="O14" s="241">
        <f>N14-P143</f>
        <v>7816087.634299621</v>
      </c>
      <c r="P14" s="240">
        <f t="shared" si="1"/>
        <v>100206.25172179002</v>
      </c>
      <c r="R14" s="186">
        <f>L155</f>
        <v>65490099.949184984</v>
      </c>
      <c r="S14" s="186">
        <f t="shared" si="2"/>
        <v>0</v>
      </c>
      <c r="T14" s="186"/>
      <c r="U14" s="186">
        <f>O155</f>
        <v>58350011.372614011</v>
      </c>
      <c r="V14" s="186">
        <f t="shared" si="4"/>
        <v>0</v>
      </c>
      <c r="X14" s="185" t="s">
        <v>138</v>
      </c>
      <c r="Y14" s="185">
        <v>12</v>
      </c>
    </row>
    <row r="15" spans="1:34">
      <c r="A15" s="72">
        <v>2017</v>
      </c>
      <c r="B15" s="207">
        <v>7384130.4927519355</v>
      </c>
      <c r="C15" s="213">
        <v>23606096.548061498</v>
      </c>
      <c r="D15" s="207">
        <v>14013492</v>
      </c>
      <c r="E15" s="207">
        <v>15699333</v>
      </c>
      <c r="F15" s="207">
        <v>26195382</v>
      </c>
      <c r="G15" s="209"/>
      <c r="H15" s="209"/>
      <c r="I15" s="209"/>
      <c r="J15" s="184">
        <f t="shared" si="5"/>
        <v>86898434.040813431</v>
      </c>
      <c r="K15" s="239">
        <f>J15-M155</f>
        <v>15617098.499367297</v>
      </c>
      <c r="L15" s="243">
        <f t="shared" si="0"/>
        <v>200219.21153034994</v>
      </c>
      <c r="M15" s="263">
        <f t="shared" si="6"/>
        <v>21408334.091628477</v>
      </c>
      <c r="N15" s="239">
        <f t="shared" si="3"/>
        <v>76194266.9949992</v>
      </c>
      <c r="O15" s="241">
        <f>N15-P155</f>
        <v>11230643.008747056</v>
      </c>
      <c r="P15" s="240">
        <f t="shared" si="1"/>
        <v>143982.60267624431</v>
      </c>
      <c r="R15" s="186">
        <f>L167</f>
        <v>86898434.040813446</v>
      </c>
      <c r="S15" s="186">
        <f t="shared" si="2"/>
        <v>0</v>
      </c>
      <c r="T15" s="186"/>
      <c r="U15" s="186">
        <f>O167</f>
        <v>76194266.9949992</v>
      </c>
      <c r="V15" s="186">
        <f t="shared" si="4"/>
        <v>0</v>
      </c>
      <c r="X15" s="185" t="s">
        <v>10</v>
      </c>
      <c r="Y15" s="185">
        <f>SUM(Y3:Y14)</f>
        <v>78</v>
      </c>
    </row>
    <row r="16" spans="1:34">
      <c r="A16" s="72">
        <v>2018</v>
      </c>
      <c r="B16" s="207">
        <v>5180407.711016464</v>
      </c>
      <c r="C16" s="213">
        <v>22862613.037664637</v>
      </c>
      <c r="D16" s="207">
        <v>14022609</v>
      </c>
      <c r="E16" s="207">
        <v>15683800</v>
      </c>
      <c r="F16" s="207">
        <v>24093655</v>
      </c>
      <c r="G16" s="210">
        <v>16428240</v>
      </c>
      <c r="H16" s="210"/>
      <c r="I16" s="210"/>
      <c r="J16" s="184">
        <f t="shared" si="5"/>
        <v>98271324.748681098</v>
      </c>
      <c r="K16" s="239">
        <f>J16-M167</f>
        <v>-1841577.2531354576</v>
      </c>
      <c r="L16" s="243">
        <f t="shared" si="0"/>
        <v>-23609.96478378792</v>
      </c>
      <c r="M16" s="263">
        <f t="shared" si="6"/>
        <v>11372890.707867667</v>
      </c>
      <c r="N16" s="239">
        <f t="shared" si="3"/>
        <v>92584879.394747257</v>
      </c>
      <c r="O16" s="241">
        <f>N16-P167</f>
        <v>6887760.6231159121</v>
      </c>
      <c r="P16" s="240">
        <f t="shared" si="1"/>
        <v>88304.62337328092</v>
      </c>
      <c r="R16" s="186">
        <f>L179</f>
        <v>98271324.748681083</v>
      </c>
      <c r="S16" s="186">
        <f t="shared" si="2"/>
        <v>0</v>
      </c>
      <c r="T16" s="186"/>
      <c r="U16" s="186">
        <f>O179</f>
        <v>92584879.394747287</v>
      </c>
      <c r="V16" s="186">
        <f t="shared" si="4"/>
        <v>0</v>
      </c>
      <c r="X16"/>
      <c r="Y16"/>
    </row>
    <row r="17" spans="1:25">
      <c r="A17" s="72">
        <v>2019</v>
      </c>
      <c r="B17" s="207">
        <v>4422347.6427261112</v>
      </c>
      <c r="C17" s="213">
        <v>22065778.595398903</v>
      </c>
      <c r="D17" s="207">
        <v>14009882</v>
      </c>
      <c r="E17" s="207">
        <v>15668896</v>
      </c>
      <c r="F17" s="207">
        <v>24093655</v>
      </c>
      <c r="G17" s="210">
        <v>16392091.245455656</v>
      </c>
      <c r="H17" s="210">
        <v>6916461</v>
      </c>
      <c r="I17" s="210"/>
      <c r="J17" s="184">
        <f t="shared" si="5"/>
        <v>103569111.48358066</v>
      </c>
      <c r="K17" s="239">
        <f>J17-M179</f>
        <v>6856044.4106295407</v>
      </c>
      <c r="L17" s="243">
        <f t="shared" si="0"/>
        <v>87898.005264481297</v>
      </c>
      <c r="M17" s="263">
        <f t="shared" si="6"/>
        <v>5297786.7348995656</v>
      </c>
      <c r="N17" s="239">
        <f t="shared" si="3"/>
        <v>100920218.11613089</v>
      </c>
      <c r="O17" s="241">
        <f>N17-P179</f>
        <v>2507233.578747049</v>
      </c>
      <c r="P17" s="240">
        <f t="shared" si="1"/>
        <v>32144.020240346781</v>
      </c>
      <c r="R17" s="186">
        <f>L191</f>
        <v>103569111.48358069</v>
      </c>
      <c r="S17" s="186">
        <f t="shared" si="2"/>
        <v>0</v>
      </c>
      <c r="T17" s="186"/>
      <c r="U17" s="186">
        <f>O191</f>
        <v>100920218.11613089</v>
      </c>
      <c r="V17" s="186">
        <f t="shared" si="4"/>
        <v>0</v>
      </c>
      <c r="X17"/>
      <c r="Y17"/>
    </row>
    <row r="18" spans="1:25">
      <c r="A18" s="72">
        <v>2020</v>
      </c>
      <c r="B18" s="207">
        <v>3433839.749541807</v>
      </c>
      <c r="C18" s="213">
        <v>21584273.622641005</v>
      </c>
      <c r="D18" s="207">
        <v>13917975</v>
      </c>
      <c r="E18" s="207">
        <v>15668896</v>
      </c>
      <c r="F18" s="207">
        <v>24088434</v>
      </c>
      <c r="G18" s="210">
        <v>16271899.638275469</v>
      </c>
      <c r="H18" s="210">
        <v>6865747.4851017985</v>
      </c>
      <c r="I18" s="210">
        <v>11436208</v>
      </c>
      <c r="J18" s="184">
        <f t="shared" si="5"/>
        <v>113267273.49556009</v>
      </c>
      <c r="K18" s="239">
        <f>J18-M191</f>
        <v>3896893.6645236313</v>
      </c>
      <c r="L18" s="243">
        <f t="shared" si="0"/>
        <v>49960.175186200402</v>
      </c>
      <c r="M18" s="263">
        <f t="shared" si="6"/>
        <v>9698162.0119794309</v>
      </c>
      <c r="N18" s="239">
        <f t="shared" si="3"/>
        <v>108418192.48957038</v>
      </c>
      <c r="O18" s="241">
        <f>N18-P191</f>
        <v>5376469.0375766456</v>
      </c>
      <c r="P18" s="240">
        <f t="shared" si="1"/>
        <v>68929.090225341613</v>
      </c>
      <c r="R18" s="186">
        <f>L203</f>
        <v>113267273.49556006</v>
      </c>
      <c r="S18" s="186">
        <f t="shared" si="2"/>
        <v>0</v>
      </c>
      <c r="T18" s="186"/>
      <c r="U18" s="186">
        <f>O203</f>
        <v>108418192.48957029</v>
      </c>
      <c r="V18" s="186">
        <f t="shared" si="4"/>
        <v>0</v>
      </c>
      <c r="X18"/>
      <c r="Y18"/>
    </row>
    <row r="19" spans="1:25">
      <c r="A19" s="72">
        <v>2021</v>
      </c>
      <c r="B19" s="207">
        <v>3286293.551107924</v>
      </c>
      <c r="C19" s="213">
        <v>20814352.31605684</v>
      </c>
      <c r="D19" s="207">
        <v>13917684</v>
      </c>
      <c r="E19" s="207">
        <v>15531705</v>
      </c>
      <c r="F19" s="207">
        <v>24087030</v>
      </c>
      <c r="G19" s="210">
        <v>16126333.632747607</v>
      </c>
      <c r="H19" s="210">
        <v>6804327.5243973732</v>
      </c>
      <c r="I19" s="210">
        <v>11333901.3760684</v>
      </c>
      <c r="J19" s="184">
        <f t="shared" si="5"/>
        <v>111901627.40037814</v>
      </c>
      <c r="K19" s="239">
        <f>J19-M203</f>
        <v>-4663017.6574711353</v>
      </c>
      <c r="L19" s="243">
        <f t="shared" si="0"/>
        <v>-59782.277659886349</v>
      </c>
      <c r="M19" s="263">
        <f t="shared" si="6"/>
        <v>-1365646.0951819569</v>
      </c>
      <c r="N19" s="239">
        <f t="shared" si="3"/>
        <v>112584450.44796911</v>
      </c>
      <c r="O19" s="241">
        <f>N19-P203</f>
        <v>-383061.99647369981</v>
      </c>
      <c r="P19" s="240">
        <f t="shared" si="1"/>
        <v>-4911.0512368423051</v>
      </c>
      <c r="R19" s="186">
        <f>L215</f>
        <v>111901627.4003782</v>
      </c>
      <c r="S19" s="186">
        <f t="shared" si="2"/>
        <v>0</v>
      </c>
      <c r="T19" s="186"/>
      <c r="U19" s="186">
        <f>O215</f>
        <v>112584450.44796914</v>
      </c>
      <c r="V19" s="186">
        <f t="shared" si="4"/>
        <v>0</v>
      </c>
      <c r="X19"/>
      <c r="Y19"/>
    </row>
    <row r="20" spans="1:25">
      <c r="A20" s="72" t="s">
        <v>10</v>
      </c>
      <c r="B20" s="184">
        <f>SUM(B4:B19)</f>
        <v>137238502.88350782</v>
      </c>
      <c r="C20" s="209">
        <f t="shared" ref="C20:I20" si="7">SUM(C4:C19)</f>
        <v>230917888.7440739</v>
      </c>
      <c r="D20" s="184">
        <f t="shared" si="7"/>
        <v>97953565</v>
      </c>
      <c r="E20" s="184">
        <f t="shared" si="7"/>
        <v>93951964</v>
      </c>
      <c r="F20" s="184">
        <f t="shared" si="7"/>
        <v>122558156</v>
      </c>
      <c r="G20" s="209">
        <f t="shared" si="7"/>
        <v>65218564.516478732</v>
      </c>
      <c r="H20" s="209">
        <f t="shared" si="7"/>
        <v>20586536.00949917</v>
      </c>
      <c r="I20" s="209">
        <f t="shared" si="7"/>
        <v>22770109.376068398</v>
      </c>
      <c r="J20" s="184">
        <f>SUM(J4:J19)</f>
        <v>791195286.52962804</v>
      </c>
      <c r="K20" s="244"/>
      <c r="L20" s="245"/>
      <c r="M20" s="246"/>
      <c r="N20" s="244"/>
      <c r="O20" s="246"/>
      <c r="P20" s="245"/>
      <c r="S20" s="186"/>
      <c r="T20" s="186"/>
      <c r="U20" s="186"/>
      <c r="V20" s="186"/>
      <c r="X20"/>
      <c r="Y20"/>
    </row>
    <row r="21" spans="1:25">
      <c r="B21" s="184"/>
      <c r="C21" s="209"/>
      <c r="D21" s="184"/>
      <c r="E21" s="184"/>
      <c r="F21" s="184"/>
      <c r="G21" s="184"/>
      <c r="H21" s="184"/>
      <c r="I21" s="184"/>
      <c r="J21" s="184"/>
      <c r="K21" s="184"/>
      <c r="L21" s="184"/>
      <c r="M21" s="184"/>
      <c r="Q21" s="186"/>
      <c r="S21" s="190"/>
      <c r="T21" s="190"/>
      <c r="U21" s="190"/>
      <c r="V21" s="190"/>
      <c r="W21" s="190"/>
    </row>
    <row r="22" spans="1:25">
      <c r="B22" s="87"/>
      <c r="C22" s="87"/>
      <c r="K22" s="184"/>
    </row>
    <row r="23" spans="1:25" s="235" customFormat="1" ht="38.25">
      <c r="C23" s="247"/>
      <c r="K23" s="248" t="s">
        <v>139</v>
      </c>
      <c r="L23" s="235" t="s">
        <v>127</v>
      </c>
      <c r="M23" s="235" t="s">
        <v>158</v>
      </c>
      <c r="N23" s="235" t="s">
        <v>159</v>
      </c>
    </row>
    <row r="24" spans="1:25">
      <c r="A24" s="191">
        <v>38718</v>
      </c>
      <c r="B24" s="191"/>
      <c r="C24" s="214"/>
      <c r="D24" s="191"/>
      <c r="E24" s="191"/>
      <c r="F24" s="191"/>
      <c r="G24" s="191"/>
      <c r="H24" s="191"/>
      <c r="I24" s="191"/>
      <c r="J24" s="191"/>
      <c r="K24" s="184">
        <f>$L$4</f>
        <v>47089.687814112112</v>
      </c>
      <c r="N24" s="249">
        <f>$P$4</f>
        <v>23544.843907056056</v>
      </c>
    </row>
    <row r="25" spans="1:25">
      <c r="A25" s="191">
        <v>38749</v>
      </c>
      <c r="B25" s="191"/>
      <c r="C25" s="214"/>
      <c r="D25" s="191"/>
      <c r="E25" s="191"/>
      <c r="F25" s="191"/>
      <c r="G25" s="191"/>
      <c r="H25" s="191"/>
      <c r="I25" s="191"/>
      <c r="J25" s="191"/>
      <c r="K25" s="184">
        <f t="shared" ref="K25:K35" si="8">K24+$L$4</f>
        <v>94179.375628224225</v>
      </c>
      <c r="N25" s="249">
        <f>$P$4+N24</f>
        <v>47089.687814112112</v>
      </c>
    </row>
    <row r="26" spans="1:25">
      <c r="A26" s="191">
        <v>38777</v>
      </c>
      <c r="B26" s="191"/>
      <c r="C26" s="214"/>
      <c r="D26" s="191"/>
      <c r="E26" s="191"/>
      <c r="F26" s="191"/>
      <c r="G26" s="191"/>
      <c r="H26" s="191"/>
      <c r="I26" s="191"/>
      <c r="J26" s="191"/>
      <c r="K26" s="184">
        <f t="shared" si="8"/>
        <v>141269.06344233634</v>
      </c>
      <c r="N26" s="249">
        <f t="shared" ref="N26:N35" si="9">$P$4+N25</f>
        <v>70634.531721168169</v>
      </c>
    </row>
    <row r="27" spans="1:25">
      <c r="A27" s="191">
        <v>38808</v>
      </c>
      <c r="B27" s="191"/>
      <c r="C27" s="214"/>
      <c r="D27" s="191"/>
      <c r="E27" s="191"/>
      <c r="F27" s="191"/>
      <c r="G27" s="191"/>
      <c r="H27" s="191"/>
      <c r="I27" s="191"/>
      <c r="J27" s="191"/>
      <c r="K27" s="184">
        <f t="shared" si="8"/>
        <v>188358.75125644845</v>
      </c>
      <c r="N27" s="249">
        <f t="shared" si="9"/>
        <v>94179.375628224225</v>
      </c>
    </row>
    <row r="28" spans="1:25">
      <c r="A28" s="191">
        <v>38838</v>
      </c>
      <c r="B28" s="191"/>
      <c r="C28" s="214"/>
      <c r="D28" s="191"/>
      <c r="E28" s="191"/>
      <c r="F28" s="191"/>
      <c r="G28" s="191"/>
      <c r="H28" s="191"/>
      <c r="I28" s="191"/>
      <c r="J28" s="191"/>
      <c r="K28" s="184">
        <f t="shared" si="8"/>
        <v>235448.43907056056</v>
      </c>
      <c r="N28" s="249">
        <f t="shared" si="9"/>
        <v>117724.21953528028</v>
      </c>
    </row>
    <row r="29" spans="1:25">
      <c r="A29" s="191">
        <v>38869</v>
      </c>
      <c r="B29" s="191"/>
      <c r="C29" s="214"/>
      <c r="D29" s="191"/>
      <c r="E29" s="191"/>
      <c r="F29" s="191"/>
      <c r="G29" s="191"/>
      <c r="H29" s="191"/>
      <c r="I29" s="191"/>
      <c r="J29" s="191"/>
      <c r="K29" s="184">
        <f t="shared" si="8"/>
        <v>282538.12688467267</v>
      </c>
      <c r="N29" s="249">
        <f t="shared" si="9"/>
        <v>141269.06344233634</v>
      </c>
    </row>
    <row r="30" spans="1:25">
      <c r="A30" s="191">
        <v>38899</v>
      </c>
      <c r="B30" s="191"/>
      <c r="C30" s="214"/>
      <c r="D30" s="191"/>
      <c r="E30" s="191"/>
      <c r="F30" s="191"/>
      <c r="G30" s="191"/>
      <c r="H30" s="191"/>
      <c r="I30" s="191"/>
      <c r="J30" s="191"/>
      <c r="K30" s="184">
        <f t="shared" si="8"/>
        <v>329627.81469878479</v>
      </c>
      <c r="N30" s="249">
        <f t="shared" si="9"/>
        <v>164813.90734939239</v>
      </c>
    </row>
    <row r="31" spans="1:25">
      <c r="A31" s="191">
        <v>38930</v>
      </c>
      <c r="B31" s="191"/>
      <c r="C31" s="214"/>
      <c r="D31" s="191"/>
      <c r="E31" s="191"/>
      <c r="F31" s="191"/>
      <c r="G31" s="191"/>
      <c r="H31" s="191"/>
      <c r="I31" s="191"/>
      <c r="J31" s="191"/>
      <c r="K31" s="184">
        <f t="shared" si="8"/>
        <v>376717.5025128969</v>
      </c>
      <c r="N31" s="249">
        <f t="shared" si="9"/>
        <v>188358.75125644845</v>
      </c>
    </row>
    <row r="32" spans="1:25">
      <c r="A32" s="191">
        <v>38961</v>
      </c>
      <c r="B32" s="191"/>
      <c r="C32" s="214"/>
      <c r="D32" s="191"/>
      <c r="E32" s="191"/>
      <c r="F32" s="191"/>
      <c r="G32" s="191"/>
      <c r="H32" s="191"/>
      <c r="I32" s="191"/>
      <c r="J32" s="191"/>
      <c r="K32" s="184">
        <f t="shared" si="8"/>
        <v>423807.19032700901</v>
      </c>
      <c r="N32" s="249">
        <f t="shared" si="9"/>
        <v>211903.59516350451</v>
      </c>
    </row>
    <row r="33" spans="1:16">
      <c r="A33" s="191">
        <v>38991</v>
      </c>
      <c r="B33" s="191"/>
      <c r="C33" s="214"/>
      <c r="D33" s="191"/>
      <c r="E33" s="191"/>
      <c r="F33" s="191"/>
      <c r="G33" s="191"/>
      <c r="H33" s="191"/>
      <c r="I33" s="191"/>
      <c r="J33" s="191"/>
      <c r="K33" s="184">
        <f t="shared" si="8"/>
        <v>470896.87814112112</v>
      </c>
      <c r="N33" s="249">
        <f t="shared" si="9"/>
        <v>235448.43907056056</v>
      </c>
    </row>
    <row r="34" spans="1:16">
      <c r="A34" s="191">
        <v>39022</v>
      </c>
      <c r="B34" s="191"/>
      <c r="C34" s="214"/>
      <c r="D34" s="191"/>
      <c r="E34" s="191"/>
      <c r="F34" s="191"/>
      <c r="G34" s="191"/>
      <c r="H34" s="191"/>
      <c r="I34" s="191"/>
      <c r="J34" s="191"/>
      <c r="K34" s="184">
        <f t="shared" si="8"/>
        <v>517986.56595523324</v>
      </c>
      <c r="L34" s="192"/>
      <c r="N34" s="249">
        <f t="shared" si="9"/>
        <v>258993.28297761662</v>
      </c>
    </row>
    <row r="35" spans="1:16">
      <c r="A35" s="191">
        <v>39052</v>
      </c>
      <c r="B35" s="191"/>
      <c r="C35" s="214"/>
      <c r="D35" s="191"/>
      <c r="E35" s="191"/>
      <c r="F35" s="191"/>
      <c r="G35" s="191"/>
      <c r="H35" s="191"/>
      <c r="I35" s="191"/>
      <c r="J35" s="191"/>
      <c r="K35" s="184">
        <f t="shared" si="8"/>
        <v>565076.25376934535</v>
      </c>
      <c r="L35" s="249">
        <f>SUM(K24:K35)</f>
        <v>3672995.6495007444</v>
      </c>
      <c r="M35" s="249">
        <f>K35*12</f>
        <v>6780915.0452321442</v>
      </c>
      <c r="N35" s="249">
        <f t="shared" si="9"/>
        <v>282538.12688467267</v>
      </c>
      <c r="O35" s="249">
        <f>SUM(N24:N35)</f>
        <v>1836497.8247503722</v>
      </c>
      <c r="P35" s="262">
        <f>N35*12</f>
        <v>3390457.5226160721</v>
      </c>
    </row>
    <row r="36" spans="1:16">
      <c r="A36" s="191">
        <v>39083</v>
      </c>
      <c r="B36" s="191"/>
      <c r="C36" s="214"/>
      <c r="D36" s="191"/>
      <c r="E36" s="191"/>
      <c r="F36" s="191"/>
      <c r="G36" s="191"/>
      <c r="H36" s="191"/>
      <c r="I36" s="191"/>
      <c r="J36" s="191"/>
      <c r="K36" s="184">
        <f t="shared" ref="K36:K47" si="10">K35+$L$5</f>
        <v>559085.31863840378</v>
      </c>
      <c r="M36" s="193"/>
      <c r="N36" s="249">
        <f t="shared" ref="N36:N47" si="11">$P$5+N35</f>
        <v>303087.50322625798</v>
      </c>
      <c r="P36" s="193"/>
    </row>
    <row r="37" spans="1:16">
      <c r="A37" s="191">
        <v>39114</v>
      </c>
      <c r="B37" s="191"/>
      <c r="C37" s="214"/>
      <c r="D37" s="191"/>
      <c r="E37" s="191"/>
      <c r="F37" s="191"/>
      <c r="G37" s="191"/>
      <c r="H37" s="191"/>
      <c r="I37" s="191"/>
      <c r="J37" s="191"/>
      <c r="K37" s="184">
        <f t="shared" si="10"/>
        <v>553094.38350746222</v>
      </c>
      <c r="N37" s="249">
        <f t="shared" si="11"/>
        <v>323636.87956784328</v>
      </c>
    </row>
    <row r="38" spans="1:16">
      <c r="A38" s="191">
        <v>39142</v>
      </c>
      <c r="B38" s="191"/>
      <c r="C38" s="214"/>
      <c r="D38" s="191"/>
      <c r="E38" s="191"/>
      <c r="F38" s="191"/>
      <c r="G38" s="191"/>
      <c r="H38" s="191"/>
      <c r="I38" s="191"/>
      <c r="J38" s="191"/>
      <c r="K38" s="184">
        <f t="shared" si="10"/>
        <v>547103.44837652065</v>
      </c>
      <c r="N38" s="249">
        <f t="shared" si="11"/>
        <v>344186.25590942858</v>
      </c>
    </row>
    <row r="39" spans="1:16">
      <c r="A39" s="191">
        <v>39173</v>
      </c>
      <c r="B39" s="191"/>
      <c r="C39" s="214"/>
      <c r="D39" s="191"/>
      <c r="E39" s="191"/>
      <c r="F39" s="191"/>
      <c r="G39" s="191"/>
      <c r="H39" s="191"/>
      <c r="I39" s="191"/>
      <c r="J39" s="191"/>
      <c r="K39" s="184">
        <f t="shared" si="10"/>
        <v>541112.51324557909</v>
      </c>
      <c r="N39" s="249">
        <f t="shared" si="11"/>
        <v>364735.63225101389</v>
      </c>
    </row>
    <row r="40" spans="1:16">
      <c r="A40" s="191">
        <v>39203</v>
      </c>
      <c r="B40" s="191"/>
      <c r="C40" s="214"/>
      <c r="D40" s="191"/>
      <c r="E40" s="191"/>
      <c r="F40" s="191"/>
      <c r="G40" s="191"/>
      <c r="H40" s="191"/>
      <c r="I40" s="191"/>
      <c r="J40" s="191"/>
      <c r="K40" s="184">
        <f t="shared" si="10"/>
        <v>535121.57811463752</v>
      </c>
      <c r="N40" s="249">
        <f t="shared" si="11"/>
        <v>385285.00859259919</v>
      </c>
    </row>
    <row r="41" spans="1:16">
      <c r="A41" s="191">
        <v>39234</v>
      </c>
      <c r="B41" s="191"/>
      <c r="C41" s="214"/>
      <c r="D41" s="191"/>
      <c r="E41" s="191"/>
      <c r="F41" s="191"/>
      <c r="G41" s="191"/>
      <c r="H41" s="191"/>
      <c r="I41" s="191"/>
      <c r="J41" s="191"/>
      <c r="K41" s="184">
        <f t="shared" si="10"/>
        <v>529130.64298369596</v>
      </c>
      <c r="N41" s="249">
        <f t="shared" si="11"/>
        <v>405834.38493418449</v>
      </c>
    </row>
    <row r="42" spans="1:16">
      <c r="A42" s="191">
        <v>39264</v>
      </c>
      <c r="B42" s="191"/>
      <c r="C42" s="214"/>
      <c r="D42" s="191"/>
      <c r="E42" s="191"/>
      <c r="F42" s="191"/>
      <c r="G42" s="191"/>
      <c r="H42" s="191"/>
      <c r="I42" s="191"/>
      <c r="J42" s="191"/>
      <c r="K42" s="184">
        <f t="shared" si="10"/>
        <v>523139.70785275439</v>
      </c>
      <c r="N42" s="249">
        <f t="shared" si="11"/>
        <v>426383.76127576979</v>
      </c>
    </row>
    <row r="43" spans="1:16">
      <c r="A43" s="191">
        <v>39295</v>
      </c>
      <c r="B43" s="191"/>
      <c r="C43" s="214"/>
      <c r="D43" s="191"/>
      <c r="E43" s="191"/>
      <c r="F43" s="191"/>
      <c r="G43" s="191"/>
      <c r="H43" s="191"/>
      <c r="I43" s="191"/>
      <c r="J43" s="191"/>
      <c r="K43" s="184">
        <f t="shared" si="10"/>
        <v>517148.77272181283</v>
      </c>
      <c r="N43" s="249">
        <f t="shared" si="11"/>
        <v>446933.1376173551</v>
      </c>
    </row>
    <row r="44" spans="1:16">
      <c r="A44" s="191">
        <v>39326</v>
      </c>
      <c r="B44" s="191"/>
      <c r="C44" s="214"/>
      <c r="D44" s="191"/>
      <c r="E44" s="191"/>
      <c r="F44" s="191"/>
      <c r="G44" s="191"/>
      <c r="H44" s="191"/>
      <c r="I44" s="191"/>
      <c r="J44" s="191"/>
      <c r="K44" s="184">
        <f t="shared" si="10"/>
        <v>511157.83759087126</v>
      </c>
      <c r="N44" s="249">
        <f t="shared" si="11"/>
        <v>467482.5139589404</v>
      </c>
    </row>
    <row r="45" spans="1:16">
      <c r="A45" s="191">
        <v>39356</v>
      </c>
      <c r="B45" s="191"/>
      <c r="C45" s="214"/>
      <c r="D45" s="191"/>
      <c r="E45" s="191"/>
      <c r="F45" s="191"/>
      <c r="G45" s="191"/>
      <c r="H45" s="191"/>
      <c r="I45" s="191"/>
      <c r="J45" s="191"/>
      <c r="K45" s="184">
        <f t="shared" si="10"/>
        <v>505166.9024599297</v>
      </c>
      <c r="N45" s="249">
        <f t="shared" si="11"/>
        <v>488031.8903005257</v>
      </c>
    </row>
    <row r="46" spans="1:16">
      <c r="A46" s="191">
        <v>39387</v>
      </c>
      <c r="B46" s="191"/>
      <c r="C46" s="214"/>
      <c r="D46" s="191"/>
      <c r="E46" s="191"/>
      <c r="F46" s="191"/>
      <c r="G46" s="191"/>
      <c r="H46" s="191"/>
      <c r="I46" s="191"/>
      <c r="J46" s="191"/>
      <c r="K46" s="184">
        <f t="shared" si="10"/>
        <v>499175.96732898813</v>
      </c>
      <c r="L46" s="192"/>
      <c r="N46" s="249">
        <f t="shared" si="11"/>
        <v>508581.266642111</v>
      </c>
      <c r="O46" s="192"/>
    </row>
    <row r="47" spans="1:16">
      <c r="A47" s="191">
        <v>39417</v>
      </c>
      <c r="B47" s="191"/>
      <c r="C47" s="214"/>
      <c r="D47" s="191"/>
      <c r="E47" s="191"/>
      <c r="F47" s="191"/>
      <c r="G47" s="191"/>
      <c r="H47" s="191"/>
      <c r="I47" s="191"/>
      <c r="J47" s="191"/>
      <c r="K47" s="184">
        <f t="shared" si="10"/>
        <v>493185.03219804657</v>
      </c>
      <c r="L47" s="184">
        <f>SUM(K36:K47)</f>
        <v>6313622.1050187014</v>
      </c>
      <c r="M47" s="234">
        <f>K47*12</f>
        <v>5918220.3863765588</v>
      </c>
      <c r="N47" s="249">
        <f t="shared" si="11"/>
        <v>529130.64298369631</v>
      </c>
      <c r="O47" s="184">
        <f>SUM(N36:N47)</f>
        <v>4993308.8772597257</v>
      </c>
      <c r="P47" s="184">
        <f>N47*12</f>
        <v>6349567.7158043552</v>
      </c>
    </row>
    <row r="48" spans="1:16">
      <c r="A48" s="191">
        <v>39448</v>
      </c>
      <c r="B48" s="191"/>
      <c r="C48" s="214"/>
      <c r="D48" s="191"/>
      <c r="E48" s="191"/>
      <c r="F48" s="191"/>
      <c r="G48" s="191"/>
      <c r="H48" s="191"/>
      <c r="I48" s="191"/>
      <c r="J48" s="191"/>
      <c r="K48" s="184">
        <f t="shared" ref="K48:K59" si="12">K47+$L$6</f>
        <v>523905.0991639049</v>
      </c>
      <c r="N48" s="249">
        <f>$P$6+N47</f>
        <v>541495.20890115469</v>
      </c>
    </row>
    <row r="49" spans="1:16">
      <c r="A49" s="191">
        <v>39479</v>
      </c>
      <c r="B49" s="191"/>
      <c r="C49" s="214"/>
      <c r="D49" s="191"/>
      <c r="E49" s="191"/>
      <c r="F49" s="191"/>
      <c r="G49" s="191"/>
      <c r="H49" s="191"/>
      <c r="I49" s="191"/>
      <c r="J49" s="191"/>
      <c r="K49" s="184">
        <f t="shared" si="12"/>
        <v>554625.16612976324</v>
      </c>
      <c r="N49" s="249">
        <f t="shared" ref="N49:N59" si="13">$P$6+N48</f>
        <v>553859.77481861308</v>
      </c>
    </row>
    <row r="50" spans="1:16">
      <c r="A50" s="191">
        <v>39508</v>
      </c>
      <c r="B50" s="191"/>
      <c r="C50" s="214"/>
      <c r="D50" s="191"/>
      <c r="E50" s="191"/>
      <c r="F50" s="191"/>
      <c r="G50" s="191"/>
      <c r="H50" s="191"/>
      <c r="I50" s="191"/>
      <c r="J50" s="191"/>
      <c r="K50" s="184">
        <f t="shared" si="12"/>
        <v>585345.23309562157</v>
      </c>
      <c r="N50" s="249">
        <f t="shared" si="13"/>
        <v>566224.34073607146</v>
      </c>
    </row>
    <row r="51" spans="1:16">
      <c r="A51" s="191">
        <v>39539</v>
      </c>
      <c r="B51" s="191"/>
      <c r="C51" s="214"/>
      <c r="D51" s="191"/>
      <c r="E51" s="191"/>
      <c r="F51" s="191"/>
      <c r="G51" s="191"/>
      <c r="H51" s="191"/>
      <c r="I51" s="191"/>
      <c r="J51" s="191"/>
      <c r="K51" s="184">
        <f t="shared" si="12"/>
        <v>616065.30006147991</v>
      </c>
      <c r="N51" s="249">
        <f t="shared" si="13"/>
        <v>578588.90665352985</v>
      </c>
    </row>
    <row r="52" spans="1:16">
      <c r="A52" s="191">
        <v>39569</v>
      </c>
      <c r="B52" s="191"/>
      <c r="C52" s="214"/>
      <c r="D52" s="191"/>
      <c r="E52" s="191"/>
      <c r="F52" s="191"/>
      <c r="G52" s="191"/>
      <c r="H52" s="191"/>
      <c r="I52" s="191"/>
      <c r="J52" s="191"/>
      <c r="K52" s="184">
        <f t="shared" si="12"/>
        <v>646785.36702733824</v>
      </c>
      <c r="N52" s="249">
        <f t="shared" si="13"/>
        <v>590953.47257098823</v>
      </c>
    </row>
    <row r="53" spans="1:16">
      <c r="A53" s="191">
        <v>39600</v>
      </c>
      <c r="B53" s="191"/>
      <c r="C53" s="214"/>
      <c r="D53" s="191"/>
      <c r="E53" s="191"/>
      <c r="F53" s="191"/>
      <c r="G53" s="191"/>
      <c r="H53" s="191"/>
      <c r="I53" s="191"/>
      <c r="J53" s="191"/>
      <c r="K53" s="184">
        <f t="shared" si="12"/>
        <v>677505.43399319658</v>
      </c>
      <c r="N53" s="249">
        <f t="shared" si="13"/>
        <v>603318.03848844662</v>
      </c>
    </row>
    <row r="54" spans="1:16">
      <c r="A54" s="191">
        <v>39630</v>
      </c>
      <c r="B54" s="191"/>
      <c r="C54" s="214"/>
      <c r="D54" s="191"/>
      <c r="E54" s="191"/>
      <c r="F54" s="191"/>
      <c r="G54" s="191"/>
      <c r="H54" s="191"/>
      <c r="I54" s="191"/>
      <c r="J54" s="191"/>
      <c r="K54" s="184">
        <f t="shared" si="12"/>
        <v>708225.50095905492</v>
      </c>
      <c r="N54" s="249">
        <f t="shared" si="13"/>
        <v>615682.604405905</v>
      </c>
    </row>
    <row r="55" spans="1:16">
      <c r="A55" s="191">
        <v>39661</v>
      </c>
      <c r="B55" s="191"/>
      <c r="C55" s="214"/>
      <c r="D55" s="191"/>
      <c r="E55" s="191"/>
      <c r="F55" s="191"/>
      <c r="G55" s="191"/>
      <c r="H55" s="191"/>
      <c r="I55" s="191"/>
      <c r="J55" s="191"/>
      <c r="K55" s="184">
        <f t="shared" si="12"/>
        <v>738945.56792491325</v>
      </c>
      <c r="N55" s="249">
        <f t="shared" si="13"/>
        <v>628047.17032336339</v>
      </c>
    </row>
    <row r="56" spans="1:16">
      <c r="A56" s="191">
        <v>39692</v>
      </c>
      <c r="B56" s="191"/>
      <c r="C56" s="214"/>
      <c r="D56" s="191"/>
      <c r="E56" s="191"/>
      <c r="F56" s="191"/>
      <c r="G56" s="191"/>
      <c r="H56" s="191"/>
      <c r="I56" s="191"/>
      <c r="J56" s="191"/>
      <c r="K56" s="184">
        <f t="shared" si="12"/>
        <v>769665.63489077159</v>
      </c>
      <c r="N56" s="249">
        <f t="shared" si="13"/>
        <v>640411.73624082177</v>
      </c>
    </row>
    <row r="57" spans="1:16">
      <c r="A57" s="191">
        <v>39722</v>
      </c>
      <c r="B57" s="191"/>
      <c r="C57" s="214"/>
      <c r="D57" s="191"/>
      <c r="E57" s="191"/>
      <c r="F57" s="191"/>
      <c r="G57" s="191"/>
      <c r="H57" s="191"/>
      <c r="I57" s="191"/>
      <c r="J57" s="191"/>
      <c r="K57" s="184">
        <f t="shared" si="12"/>
        <v>800385.70185662992</v>
      </c>
      <c r="N57" s="249">
        <f t="shared" si="13"/>
        <v>652776.30215828016</v>
      </c>
    </row>
    <row r="58" spans="1:16">
      <c r="A58" s="191">
        <v>39753</v>
      </c>
      <c r="B58" s="191"/>
      <c r="C58" s="214"/>
      <c r="D58" s="191"/>
      <c r="E58" s="191"/>
      <c r="F58" s="191"/>
      <c r="G58" s="191"/>
      <c r="H58" s="191"/>
      <c r="I58" s="191"/>
      <c r="J58" s="191"/>
      <c r="K58" s="184">
        <f t="shared" si="12"/>
        <v>831105.76882248826</v>
      </c>
      <c r="N58" s="249">
        <f t="shared" si="13"/>
        <v>665140.86807573854</v>
      </c>
    </row>
    <row r="59" spans="1:16">
      <c r="A59" s="191">
        <v>39783</v>
      </c>
      <c r="B59" s="191"/>
      <c r="C59" s="214"/>
      <c r="D59" s="191"/>
      <c r="E59" s="191"/>
      <c r="F59" s="191"/>
      <c r="G59" s="191"/>
      <c r="H59" s="191"/>
      <c r="I59" s="191"/>
      <c r="J59" s="191"/>
      <c r="K59" s="184">
        <f t="shared" si="12"/>
        <v>861825.83578834659</v>
      </c>
      <c r="L59" s="184">
        <f>SUM(K48:K59)</f>
        <v>8314385.6097135087</v>
      </c>
      <c r="M59" s="184">
        <f>K59*12</f>
        <v>10341910.029460158</v>
      </c>
      <c r="N59" s="249">
        <f t="shared" si="13"/>
        <v>677505.43399319693</v>
      </c>
      <c r="O59" s="184">
        <f>SUM(N48:N59)</f>
        <v>7314003.8573661102</v>
      </c>
      <c r="P59" s="184">
        <f>N59*12</f>
        <v>8130065.2079183627</v>
      </c>
    </row>
    <row r="60" spans="1:16">
      <c r="A60" s="191">
        <v>39814</v>
      </c>
      <c r="B60" s="191"/>
      <c r="C60" s="214"/>
      <c r="D60" s="191"/>
      <c r="E60" s="191"/>
      <c r="F60" s="191"/>
      <c r="G60" s="191"/>
      <c r="H60" s="191"/>
      <c r="I60" s="191"/>
      <c r="J60" s="191"/>
      <c r="K60" s="184">
        <f t="shared" ref="K60:K71" si="14">K59+$L$7</f>
        <v>900572.74075352796</v>
      </c>
      <c r="N60" s="249">
        <f>$P$7+N59</f>
        <v>712238.91995871672</v>
      </c>
    </row>
    <row r="61" spans="1:16">
      <c r="A61" s="191">
        <v>39845</v>
      </c>
      <c r="B61" s="191"/>
      <c r="C61" s="214"/>
      <c r="D61" s="191"/>
      <c r="E61" s="191"/>
      <c r="F61" s="191"/>
      <c r="G61" s="191"/>
      <c r="H61" s="191"/>
      <c r="I61" s="191"/>
      <c r="J61" s="191"/>
      <c r="K61" s="184">
        <f t="shared" si="14"/>
        <v>939319.64571870933</v>
      </c>
      <c r="N61" s="249">
        <f t="shared" ref="N61:N71" si="15">$P$7+N60</f>
        <v>746972.40592423652</v>
      </c>
    </row>
    <row r="62" spans="1:16">
      <c r="A62" s="191">
        <v>39873</v>
      </c>
      <c r="B62" s="191"/>
      <c r="C62" s="214"/>
      <c r="D62" s="191"/>
      <c r="E62" s="191"/>
      <c r="F62" s="191"/>
      <c r="G62" s="191"/>
      <c r="H62" s="191"/>
      <c r="I62" s="191"/>
      <c r="J62" s="191"/>
      <c r="K62" s="184">
        <f t="shared" si="14"/>
        <v>978066.5506838907</v>
      </c>
      <c r="N62" s="249">
        <f t="shared" si="15"/>
        <v>781705.89188975631</v>
      </c>
    </row>
    <row r="63" spans="1:16">
      <c r="A63" s="191">
        <v>39904</v>
      </c>
      <c r="B63" s="191"/>
      <c r="C63" s="214"/>
      <c r="D63" s="191"/>
      <c r="E63" s="191"/>
      <c r="F63" s="191"/>
      <c r="G63" s="191"/>
      <c r="H63" s="191"/>
      <c r="I63" s="191"/>
      <c r="J63" s="191"/>
      <c r="K63" s="184">
        <f t="shared" si="14"/>
        <v>1016813.4556490721</v>
      </c>
      <c r="N63" s="249">
        <f t="shared" si="15"/>
        <v>816439.37785527611</v>
      </c>
    </row>
    <row r="64" spans="1:16">
      <c r="A64" s="191">
        <v>39934</v>
      </c>
      <c r="B64" s="191"/>
      <c r="C64" s="214"/>
      <c r="D64" s="191"/>
      <c r="E64" s="191"/>
      <c r="F64" s="191"/>
      <c r="G64" s="191"/>
      <c r="H64" s="191"/>
      <c r="I64" s="191"/>
      <c r="J64" s="191"/>
      <c r="K64" s="184">
        <f t="shared" si="14"/>
        <v>1055560.3606142534</v>
      </c>
      <c r="N64" s="249">
        <f t="shared" si="15"/>
        <v>851172.8638207959</v>
      </c>
    </row>
    <row r="65" spans="1:16">
      <c r="A65" s="191">
        <v>39965</v>
      </c>
      <c r="B65" s="191"/>
      <c r="C65" s="214"/>
      <c r="D65" s="191"/>
      <c r="E65" s="191"/>
      <c r="F65" s="191"/>
      <c r="G65" s="191"/>
      <c r="H65" s="191"/>
      <c r="I65" s="191"/>
      <c r="J65" s="191"/>
      <c r="K65" s="184">
        <f t="shared" si="14"/>
        <v>1094307.2655794348</v>
      </c>
      <c r="N65" s="249">
        <f t="shared" si="15"/>
        <v>885906.3497863157</v>
      </c>
    </row>
    <row r="66" spans="1:16">
      <c r="A66" s="191">
        <v>39995</v>
      </c>
      <c r="B66" s="191"/>
      <c r="C66" s="214"/>
      <c r="D66" s="191"/>
      <c r="E66" s="191"/>
      <c r="F66" s="191"/>
      <c r="G66" s="191"/>
      <c r="H66" s="191"/>
      <c r="I66" s="191"/>
      <c r="J66" s="191"/>
      <c r="K66" s="184">
        <f t="shared" si="14"/>
        <v>1133054.1705446162</v>
      </c>
      <c r="N66" s="249">
        <f t="shared" si="15"/>
        <v>920639.83575183549</v>
      </c>
    </row>
    <row r="67" spans="1:16">
      <c r="A67" s="191">
        <v>40026</v>
      </c>
      <c r="B67" s="191"/>
      <c r="C67" s="214"/>
      <c r="D67" s="191"/>
      <c r="E67" s="191"/>
      <c r="F67" s="191"/>
      <c r="G67" s="191"/>
      <c r="H67" s="191"/>
      <c r="I67" s="191"/>
      <c r="J67" s="191"/>
      <c r="K67" s="184">
        <f t="shared" si="14"/>
        <v>1171801.0755097975</v>
      </c>
      <c r="N67" s="249">
        <f t="shared" si="15"/>
        <v>955373.32171735528</v>
      </c>
    </row>
    <row r="68" spans="1:16">
      <c r="A68" s="191">
        <v>40057</v>
      </c>
      <c r="B68" s="191"/>
      <c r="C68" s="214"/>
      <c r="D68" s="191"/>
      <c r="E68" s="191"/>
      <c r="F68" s="191"/>
      <c r="G68" s="191"/>
      <c r="H68" s="191"/>
      <c r="I68" s="191"/>
      <c r="J68" s="191"/>
      <c r="K68" s="184">
        <f t="shared" si="14"/>
        <v>1210547.9804749789</v>
      </c>
      <c r="N68" s="249">
        <f t="shared" si="15"/>
        <v>990106.80768287508</v>
      </c>
    </row>
    <row r="69" spans="1:16">
      <c r="A69" s="191">
        <v>40087</v>
      </c>
      <c r="B69" s="191"/>
      <c r="C69" s="214"/>
      <c r="D69" s="191"/>
      <c r="E69" s="191"/>
      <c r="F69" s="191"/>
      <c r="G69" s="191"/>
      <c r="H69" s="191"/>
      <c r="I69" s="191"/>
      <c r="J69" s="191"/>
      <c r="K69" s="184">
        <f t="shared" si="14"/>
        <v>1249294.8854401603</v>
      </c>
      <c r="N69" s="249">
        <f t="shared" si="15"/>
        <v>1024840.2936483949</v>
      </c>
    </row>
    <row r="70" spans="1:16">
      <c r="A70" s="191">
        <v>40118</v>
      </c>
      <c r="B70" s="191"/>
      <c r="C70" s="214"/>
      <c r="D70" s="191"/>
      <c r="E70" s="191"/>
      <c r="F70" s="191"/>
      <c r="G70" s="191"/>
      <c r="H70" s="191"/>
      <c r="I70" s="191"/>
      <c r="J70" s="191"/>
      <c r="K70" s="184">
        <f t="shared" si="14"/>
        <v>1288041.7904053417</v>
      </c>
      <c r="N70" s="249">
        <f t="shared" si="15"/>
        <v>1059573.7796139147</v>
      </c>
    </row>
    <row r="71" spans="1:16">
      <c r="A71" s="191">
        <v>40148</v>
      </c>
      <c r="B71" s="191"/>
      <c r="C71" s="214"/>
      <c r="D71" s="191"/>
      <c r="E71" s="191"/>
      <c r="F71" s="191"/>
      <c r="G71" s="191"/>
      <c r="H71" s="191"/>
      <c r="I71" s="191"/>
      <c r="J71" s="191"/>
      <c r="K71" s="184">
        <f t="shared" si="14"/>
        <v>1326788.695370523</v>
      </c>
      <c r="L71" s="184">
        <f>SUM(K60:K71)</f>
        <v>13364168.616744306</v>
      </c>
      <c r="M71" s="184">
        <f>K71*12</f>
        <v>15921464.344446275</v>
      </c>
      <c r="N71" s="249">
        <f t="shared" si="15"/>
        <v>1094307.2655794346</v>
      </c>
      <c r="O71" s="184">
        <f>SUM(N60:N71)</f>
        <v>10839277.113228906</v>
      </c>
      <c r="P71" s="184">
        <f>N71*12</f>
        <v>13131687.186953215</v>
      </c>
    </row>
    <row r="72" spans="1:16">
      <c r="A72" s="191">
        <v>40179</v>
      </c>
      <c r="B72" s="191"/>
      <c r="C72" s="214"/>
      <c r="D72" s="191"/>
      <c r="E72" s="191"/>
      <c r="F72" s="191"/>
      <c r="G72" s="191"/>
      <c r="H72" s="191"/>
      <c r="I72" s="191"/>
      <c r="J72" s="191"/>
      <c r="K72" s="184">
        <f t="shared" ref="K72:K83" si="16">K71+$L$8</f>
        <v>1306784.5865258763</v>
      </c>
      <c r="N72" s="249">
        <f>$P$8+N71</f>
        <v>1103678.6636397019</v>
      </c>
    </row>
    <row r="73" spans="1:16">
      <c r="A73" s="191">
        <v>40210</v>
      </c>
      <c r="B73" s="191"/>
      <c r="C73" s="214"/>
      <c r="D73" s="191"/>
      <c r="E73" s="191"/>
      <c r="F73" s="191"/>
      <c r="G73" s="191"/>
      <c r="H73" s="191"/>
      <c r="I73" s="191"/>
      <c r="J73" s="191"/>
      <c r="K73" s="184">
        <f t="shared" si="16"/>
        <v>1286780.4776812296</v>
      </c>
      <c r="N73" s="249">
        <f t="shared" ref="N73:N83" si="17">$P$8+N72</f>
        <v>1113050.0616999692</v>
      </c>
    </row>
    <row r="74" spans="1:16">
      <c r="A74" s="191">
        <v>40238</v>
      </c>
      <c r="B74" s="191"/>
      <c r="C74" s="214"/>
      <c r="D74" s="191"/>
      <c r="E74" s="191"/>
      <c r="F74" s="191"/>
      <c r="G74" s="191"/>
      <c r="H74" s="191"/>
      <c r="I74" s="191"/>
      <c r="J74" s="191"/>
      <c r="K74" s="184">
        <f t="shared" si="16"/>
        <v>1266776.3688365829</v>
      </c>
      <c r="N74" s="249">
        <f t="shared" si="17"/>
        <v>1122421.4597602366</v>
      </c>
    </row>
    <row r="75" spans="1:16">
      <c r="A75" s="191">
        <v>40269</v>
      </c>
      <c r="B75" s="191"/>
      <c r="C75" s="214"/>
      <c r="D75" s="191"/>
      <c r="E75" s="191"/>
      <c r="F75" s="191"/>
      <c r="G75" s="191"/>
      <c r="H75" s="191"/>
      <c r="I75" s="191"/>
      <c r="J75" s="191"/>
      <c r="K75" s="184">
        <f t="shared" si="16"/>
        <v>1246772.2599919362</v>
      </c>
      <c r="N75" s="249">
        <f t="shared" si="17"/>
        <v>1131792.8578205039</v>
      </c>
    </row>
    <row r="76" spans="1:16">
      <c r="A76" s="191">
        <v>40299</v>
      </c>
      <c r="B76" s="191"/>
      <c r="C76" s="214"/>
      <c r="D76" s="191"/>
      <c r="E76" s="191"/>
      <c r="F76" s="191"/>
      <c r="G76" s="191"/>
      <c r="H76" s="191"/>
      <c r="I76" s="191"/>
      <c r="J76" s="191"/>
      <c r="K76" s="184">
        <f t="shared" si="16"/>
        <v>1226768.1511472894</v>
      </c>
      <c r="N76" s="249">
        <f t="shared" si="17"/>
        <v>1141164.2558807712</v>
      </c>
    </row>
    <row r="77" spans="1:16">
      <c r="A77" s="191">
        <v>40330</v>
      </c>
      <c r="B77" s="191"/>
      <c r="C77" s="214"/>
      <c r="D77" s="191"/>
      <c r="E77" s="191"/>
      <c r="F77" s="191"/>
      <c r="G77" s="191"/>
      <c r="H77" s="191"/>
      <c r="I77" s="191"/>
      <c r="J77" s="191"/>
      <c r="K77" s="184">
        <f t="shared" si="16"/>
        <v>1206764.0423026427</v>
      </c>
      <c r="N77" s="249">
        <f t="shared" si="17"/>
        <v>1150535.6539410385</v>
      </c>
    </row>
    <row r="78" spans="1:16">
      <c r="A78" s="191">
        <v>40360</v>
      </c>
      <c r="B78" s="191"/>
      <c r="C78" s="214"/>
      <c r="D78" s="191"/>
      <c r="E78" s="191"/>
      <c r="F78" s="191"/>
      <c r="G78" s="191"/>
      <c r="H78" s="191"/>
      <c r="I78" s="191"/>
      <c r="J78" s="191"/>
      <c r="K78" s="184">
        <f t="shared" si="16"/>
        <v>1186759.933457996</v>
      </c>
      <c r="N78" s="249">
        <f t="shared" si="17"/>
        <v>1159907.0520013059</v>
      </c>
    </row>
    <row r="79" spans="1:16">
      <c r="A79" s="191">
        <v>40391</v>
      </c>
      <c r="B79" s="191"/>
      <c r="C79" s="214"/>
      <c r="D79" s="191"/>
      <c r="E79" s="191"/>
      <c r="F79" s="191"/>
      <c r="G79" s="191"/>
      <c r="H79" s="191"/>
      <c r="I79" s="191"/>
      <c r="J79" s="191"/>
      <c r="K79" s="184">
        <f t="shared" si="16"/>
        <v>1166755.8246133493</v>
      </c>
      <c r="N79" s="249">
        <f t="shared" si="17"/>
        <v>1169278.4500615732</v>
      </c>
    </row>
    <row r="80" spans="1:16">
      <c r="A80" s="191">
        <v>40422</v>
      </c>
      <c r="B80" s="191"/>
      <c r="C80" s="214"/>
      <c r="D80" s="191"/>
      <c r="E80" s="191"/>
      <c r="F80" s="191"/>
      <c r="G80" s="191"/>
      <c r="H80" s="191"/>
      <c r="I80" s="191"/>
      <c r="J80" s="191"/>
      <c r="K80" s="184">
        <f t="shared" si="16"/>
        <v>1146751.7157687026</v>
      </c>
      <c r="N80" s="249">
        <f t="shared" si="17"/>
        <v>1178649.8481218405</v>
      </c>
    </row>
    <row r="81" spans="1:16">
      <c r="A81" s="191">
        <v>40452</v>
      </c>
      <c r="B81" s="191"/>
      <c r="C81" s="214"/>
      <c r="D81" s="191"/>
      <c r="E81" s="191"/>
      <c r="F81" s="191"/>
      <c r="G81" s="191"/>
      <c r="H81" s="191"/>
      <c r="I81" s="191"/>
      <c r="J81" s="191"/>
      <c r="K81" s="184">
        <f t="shared" si="16"/>
        <v>1126747.6069240558</v>
      </c>
      <c r="N81" s="249">
        <f t="shared" si="17"/>
        <v>1188021.2461821078</v>
      </c>
    </row>
    <row r="82" spans="1:16">
      <c r="A82" s="191">
        <v>40483</v>
      </c>
      <c r="B82" s="191"/>
      <c r="C82" s="214"/>
      <c r="D82" s="191"/>
      <c r="E82" s="191"/>
      <c r="F82" s="191"/>
      <c r="G82" s="191"/>
      <c r="H82" s="191"/>
      <c r="I82" s="191"/>
      <c r="J82" s="191"/>
      <c r="K82" s="184">
        <f t="shared" si="16"/>
        <v>1106743.4980794091</v>
      </c>
      <c r="N82" s="249">
        <f t="shared" si="17"/>
        <v>1197392.6442423752</v>
      </c>
    </row>
    <row r="83" spans="1:16">
      <c r="A83" s="191">
        <v>40513</v>
      </c>
      <c r="B83" s="191"/>
      <c r="C83" s="214"/>
      <c r="D83" s="191"/>
      <c r="E83" s="191"/>
      <c r="F83" s="191"/>
      <c r="G83" s="191"/>
      <c r="H83" s="191"/>
      <c r="I83" s="191"/>
      <c r="J83" s="191"/>
      <c r="K83" s="184">
        <f t="shared" si="16"/>
        <v>1086739.3892347624</v>
      </c>
      <c r="L83" s="184">
        <f>SUM(K72:K83)</f>
        <v>14361143.854563832</v>
      </c>
      <c r="M83" s="184">
        <f>K83*12</f>
        <v>13040872.670817148</v>
      </c>
      <c r="N83" s="249">
        <f t="shared" si="17"/>
        <v>1206764.0423026425</v>
      </c>
      <c r="O83" s="184">
        <f>SUM(N72:N83)</f>
        <v>13862656.235654067</v>
      </c>
      <c r="P83" s="184">
        <f>N83*12</f>
        <v>14481168.50763171</v>
      </c>
    </row>
    <row r="84" spans="1:16">
      <c r="A84" s="191">
        <v>40544</v>
      </c>
      <c r="B84" s="191"/>
      <c r="C84" s="214"/>
      <c r="D84" s="191"/>
      <c r="E84" s="191"/>
      <c r="F84" s="191"/>
      <c r="G84" s="191"/>
      <c r="H84" s="191"/>
      <c r="I84" s="191"/>
      <c r="J84" s="191"/>
      <c r="K84" s="184">
        <f t="shared" ref="K84:K95" si="18">K83+$L$9</f>
        <v>1155135.7695567275</v>
      </c>
      <c r="N84" s="249">
        <f>$P$9+N83</f>
        <v>1230960.1780413017</v>
      </c>
    </row>
    <row r="85" spans="1:16">
      <c r="A85" s="191">
        <v>40575</v>
      </c>
      <c r="B85" s="191"/>
      <c r="C85" s="214"/>
      <c r="D85" s="191"/>
      <c r="E85" s="191"/>
      <c r="F85" s="191"/>
      <c r="G85" s="191"/>
      <c r="H85" s="191"/>
      <c r="I85" s="191"/>
      <c r="J85" s="191"/>
      <c r="K85" s="184">
        <f t="shared" si="18"/>
        <v>1223532.1498786926</v>
      </c>
      <c r="N85" s="249">
        <f t="shared" ref="N85:N95" si="19">$P$9+N84</f>
        <v>1255156.3137799609</v>
      </c>
    </row>
    <row r="86" spans="1:16">
      <c r="A86" s="191">
        <v>40603</v>
      </c>
      <c r="B86" s="191"/>
      <c r="C86" s="214"/>
      <c r="D86" s="191"/>
      <c r="E86" s="191"/>
      <c r="F86" s="191"/>
      <c r="G86" s="191"/>
      <c r="H86" s="191"/>
      <c r="I86" s="191"/>
      <c r="J86" s="191"/>
      <c r="K86" s="184">
        <f t="shared" si="18"/>
        <v>1291928.5302006577</v>
      </c>
      <c r="N86" s="249">
        <f t="shared" si="19"/>
        <v>1279352.44951862</v>
      </c>
    </row>
    <row r="87" spans="1:16">
      <c r="A87" s="191">
        <v>40634</v>
      </c>
      <c r="B87" s="191"/>
      <c r="C87" s="214"/>
      <c r="D87" s="191"/>
      <c r="E87" s="191"/>
      <c r="F87" s="191"/>
      <c r="G87" s="191"/>
      <c r="H87" s="191"/>
      <c r="I87" s="191"/>
      <c r="J87" s="191"/>
      <c r="K87" s="184">
        <f t="shared" si="18"/>
        <v>1360324.9105226228</v>
      </c>
      <c r="N87" s="249">
        <f t="shared" si="19"/>
        <v>1303548.5852572792</v>
      </c>
    </row>
    <row r="88" spans="1:16">
      <c r="A88" s="191">
        <v>40664</v>
      </c>
      <c r="B88" s="191"/>
      <c r="C88" s="214"/>
      <c r="D88" s="191"/>
      <c r="E88" s="191"/>
      <c r="F88" s="191"/>
      <c r="G88" s="191"/>
      <c r="H88" s="191"/>
      <c r="I88" s="191"/>
      <c r="J88" s="191"/>
      <c r="K88" s="184">
        <f t="shared" si="18"/>
        <v>1428721.2908445878</v>
      </c>
      <c r="N88" s="249">
        <f t="shared" si="19"/>
        <v>1327744.7209959384</v>
      </c>
    </row>
    <row r="89" spans="1:16">
      <c r="A89" s="191">
        <v>40695</v>
      </c>
      <c r="B89" s="191"/>
      <c r="C89" s="214"/>
      <c r="D89" s="191"/>
      <c r="E89" s="191"/>
      <c r="F89" s="191"/>
      <c r="G89" s="191"/>
      <c r="H89" s="191"/>
      <c r="I89" s="191"/>
      <c r="J89" s="191"/>
      <c r="K89" s="184">
        <f t="shared" si="18"/>
        <v>1497117.6711665529</v>
      </c>
      <c r="N89" s="249">
        <f t="shared" si="19"/>
        <v>1351940.8567345976</v>
      </c>
    </row>
    <row r="90" spans="1:16">
      <c r="A90" s="191">
        <v>40725</v>
      </c>
      <c r="B90" s="191"/>
      <c r="C90" s="214"/>
      <c r="D90" s="191"/>
      <c r="E90" s="191"/>
      <c r="F90" s="191"/>
      <c r="G90" s="191"/>
      <c r="H90" s="191"/>
      <c r="I90" s="191"/>
      <c r="J90" s="191"/>
      <c r="K90" s="184">
        <f t="shared" si="18"/>
        <v>1565514.051488518</v>
      </c>
      <c r="N90" s="249">
        <f t="shared" si="19"/>
        <v>1376136.9924732568</v>
      </c>
    </row>
    <row r="91" spans="1:16">
      <c r="A91" s="191">
        <v>40756</v>
      </c>
      <c r="B91" s="191"/>
      <c r="C91" s="214"/>
      <c r="D91" s="191"/>
      <c r="E91" s="191"/>
      <c r="F91" s="191"/>
      <c r="G91" s="191"/>
      <c r="H91" s="191"/>
      <c r="I91" s="191"/>
      <c r="J91" s="191"/>
      <c r="K91" s="184">
        <f t="shared" si="18"/>
        <v>1633910.4318104831</v>
      </c>
      <c r="N91" s="249">
        <f t="shared" si="19"/>
        <v>1400333.128211916</v>
      </c>
    </row>
    <row r="92" spans="1:16">
      <c r="A92" s="191">
        <v>40787</v>
      </c>
      <c r="B92" s="191"/>
      <c r="C92" s="214"/>
      <c r="D92" s="191"/>
      <c r="E92" s="191"/>
      <c r="F92" s="191"/>
      <c r="G92" s="191"/>
      <c r="H92" s="191"/>
      <c r="I92" s="191"/>
      <c r="J92" s="191"/>
      <c r="K92" s="184">
        <f t="shared" si="18"/>
        <v>1702306.8121324482</v>
      </c>
      <c r="N92" s="249">
        <f t="shared" si="19"/>
        <v>1424529.2639505751</v>
      </c>
    </row>
    <row r="93" spans="1:16">
      <c r="A93" s="191">
        <v>40817</v>
      </c>
      <c r="B93" s="191"/>
      <c r="C93" s="214"/>
      <c r="D93" s="191"/>
      <c r="E93" s="191"/>
      <c r="F93" s="191"/>
      <c r="G93" s="191"/>
      <c r="H93" s="191"/>
      <c r="I93" s="191"/>
      <c r="J93" s="191"/>
      <c r="K93" s="184">
        <f t="shared" si="18"/>
        <v>1770703.1924544133</v>
      </c>
      <c r="N93" s="249">
        <f t="shared" si="19"/>
        <v>1448725.3996892343</v>
      </c>
    </row>
    <row r="94" spans="1:16">
      <c r="A94" s="191">
        <v>40848</v>
      </c>
      <c r="B94" s="191"/>
      <c r="C94" s="214"/>
      <c r="D94" s="191"/>
      <c r="E94" s="191"/>
      <c r="F94" s="191"/>
      <c r="G94" s="191"/>
      <c r="H94" s="191"/>
      <c r="I94" s="191"/>
      <c r="J94" s="191"/>
      <c r="K94" s="184">
        <f t="shared" si="18"/>
        <v>1839099.5727763784</v>
      </c>
      <c r="N94" s="249">
        <f t="shared" si="19"/>
        <v>1472921.5354278935</v>
      </c>
    </row>
    <row r="95" spans="1:16">
      <c r="A95" s="191">
        <v>40878</v>
      </c>
      <c r="B95" s="191"/>
      <c r="C95" s="214"/>
      <c r="D95" s="191"/>
      <c r="E95" s="191"/>
      <c r="F95" s="191"/>
      <c r="G95" s="191"/>
      <c r="H95" s="191"/>
      <c r="I95" s="191"/>
      <c r="J95" s="191"/>
      <c r="K95" s="184">
        <f t="shared" si="18"/>
        <v>1907495.9530983435</v>
      </c>
      <c r="L95" s="184">
        <f>SUM(K84:K95)</f>
        <v>18375790.335930426</v>
      </c>
      <c r="M95" s="184">
        <f>K95*12</f>
        <v>22889951.43718012</v>
      </c>
      <c r="N95" s="249">
        <f t="shared" si="19"/>
        <v>1497117.6711665527</v>
      </c>
      <c r="O95" s="184">
        <f>SUM(N84:N95)</f>
        <v>16368467.095247125</v>
      </c>
      <c r="P95" s="184">
        <f>N95*12</f>
        <v>17965412.053998634</v>
      </c>
    </row>
    <row r="96" spans="1:16">
      <c r="A96" s="191">
        <v>40909</v>
      </c>
      <c r="B96" s="191"/>
      <c r="C96" s="214"/>
      <c r="D96" s="191"/>
      <c r="E96" s="191"/>
      <c r="F96" s="191"/>
      <c r="G96" s="191"/>
      <c r="H96" s="191"/>
      <c r="I96" s="191"/>
      <c r="J96" s="191"/>
      <c r="K96" s="184">
        <f t="shared" ref="K96:K107" si="20">K95+$L$10</f>
        <v>1934866.4112980689</v>
      </c>
      <c r="N96" s="249">
        <f>$P$10+N95</f>
        <v>1545001.090427398</v>
      </c>
    </row>
    <row r="97" spans="1:16">
      <c r="A97" s="191">
        <v>40940</v>
      </c>
      <c r="B97" s="191"/>
      <c r="C97" s="214"/>
      <c r="D97" s="191"/>
      <c r="E97" s="191"/>
      <c r="F97" s="191"/>
      <c r="G97" s="191"/>
      <c r="H97" s="191"/>
      <c r="I97" s="191"/>
      <c r="J97" s="191"/>
      <c r="K97" s="184">
        <f t="shared" si="20"/>
        <v>1962236.8694977944</v>
      </c>
      <c r="N97" s="249">
        <f t="shared" ref="N97:N107" si="21">$P$10+N96</f>
        <v>1592884.5096882433</v>
      </c>
    </row>
    <row r="98" spans="1:16">
      <c r="A98" s="191">
        <v>40969</v>
      </c>
      <c r="B98" s="191"/>
      <c r="C98" s="214"/>
      <c r="D98" s="191"/>
      <c r="E98" s="191"/>
      <c r="F98" s="191"/>
      <c r="G98" s="191"/>
      <c r="H98" s="191"/>
      <c r="I98" s="191"/>
      <c r="J98" s="191"/>
      <c r="K98" s="184">
        <f t="shared" si="20"/>
        <v>1989607.3276975199</v>
      </c>
      <c r="N98" s="249">
        <f t="shared" si="21"/>
        <v>1640767.9289490886</v>
      </c>
    </row>
    <row r="99" spans="1:16">
      <c r="A99" s="191">
        <v>41000</v>
      </c>
      <c r="B99" s="191"/>
      <c r="C99" s="214"/>
      <c r="D99" s="191"/>
      <c r="E99" s="191"/>
      <c r="F99" s="191"/>
      <c r="G99" s="191"/>
      <c r="H99" s="191"/>
      <c r="I99" s="191"/>
      <c r="J99" s="191"/>
      <c r="K99" s="184">
        <f t="shared" si="20"/>
        <v>2016977.7858972454</v>
      </c>
      <c r="N99" s="249">
        <f t="shared" si="21"/>
        <v>1688651.3482099338</v>
      </c>
    </row>
    <row r="100" spans="1:16">
      <c r="A100" s="191">
        <v>41030</v>
      </c>
      <c r="B100" s="191"/>
      <c r="C100" s="214"/>
      <c r="D100" s="191"/>
      <c r="E100" s="191"/>
      <c r="F100" s="191"/>
      <c r="G100" s="191"/>
      <c r="H100" s="191"/>
      <c r="I100" s="191"/>
      <c r="J100" s="191"/>
      <c r="K100" s="184">
        <f t="shared" si="20"/>
        <v>2044348.2440969709</v>
      </c>
      <c r="N100" s="249">
        <f t="shared" si="21"/>
        <v>1736534.7674707791</v>
      </c>
    </row>
    <row r="101" spans="1:16">
      <c r="A101" s="191">
        <v>41061</v>
      </c>
      <c r="B101" s="191"/>
      <c r="C101" s="214"/>
      <c r="D101" s="191"/>
      <c r="E101" s="191"/>
      <c r="F101" s="191"/>
      <c r="G101" s="191"/>
      <c r="H101" s="191"/>
      <c r="I101" s="191"/>
      <c r="J101" s="191"/>
      <c r="K101" s="184">
        <f t="shared" si="20"/>
        <v>2071718.7022966964</v>
      </c>
      <c r="N101" s="249">
        <f t="shared" si="21"/>
        <v>1784418.1867316244</v>
      </c>
    </row>
    <row r="102" spans="1:16">
      <c r="A102" s="191">
        <v>41091</v>
      </c>
      <c r="B102" s="191"/>
      <c r="C102" s="214"/>
      <c r="D102" s="191"/>
      <c r="E102" s="191"/>
      <c r="F102" s="191"/>
      <c r="G102" s="191"/>
      <c r="H102" s="191"/>
      <c r="I102" s="191"/>
      <c r="J102" s="191"/>
      <c r="K102" s="184">
        <f t="shared" si="20"/>
        <v>2099089.1604964221</v>
      </c>
      <c r="N102" s="249">
        <f t="shared" si="21"/>
        <v>1832301.6059924697</v>
      </c>
    </row>
    <row r="103" spans="1:16">
      <c r="A103" s="191">
        <v>41122</v>
      </c>
      <c r="B103" s="191"/>
      <c r="C103" s="214"/>
      <c r="D103" s="191"/>
      <c r="E103" s="191"/>
      <c r="F103" s="191"/>
      <c r="G103" s="191"/>
      <c r="H103" s="191"/>
      <c r="I103" s="191"/>
      <c r="J103" s="191"/>
      <c r="K103" s="184">
        <f t="shared" si="20"/>
        <v>2126459.6186961476</v>
      </c>
      <c r="N103" s="249">
        <f t="shared" si="21"/>
        <v>1880185.025253315</v>
      </c>
    </row>
    <row r="104" spans="1:16">
      <c r="A104" s="191">
        <v>41153</v>
      </c>
      <c r="B104" s="191"/>
      <c r="C104" s="214"/>
      <c r="D104" s="191"/>
      <c r="E104" s="191"/>
      <c r="F104" s="191"/>
      <c r="G104" s="191"/>
      <c r="H104" s="191"/>
      <c r="I104" s="191"/>
      <c r="J104" s="191"/>
      <c r="K104" s="184">
        <f t="shared" si="20"/>
        <v>2153830.0768958731</v>
      </c>
      <c r="N104" s="249">
        <f t="shared" si="21"/>
        <v>1928068.4445141603</v>
      </c>
    </row>
    <row r="105" spans="1:16">
      <c r="A105" s="191">
        <v>41183</v>
      </c>
      <c r="B105" s="191"/>
      <c r="C105" s="214"/>
      <c r="D105" s="191"/>
      <c r="E105" s="191"/>
      <c r="F105" s="191"/>
      <c r="G105" s="191"/>
      <c r="H105" s="191"/>
      <c r="I105" s="191"/>
      <c r="J105" s="191"/>
      <c r="K105" s="184">
        <f t="shared" si="20"/>
        <v>2181200.5350955985</v>
      </c>
      <c r="N105" s="249">
        <f t="shared" si="21"/>
        <v>1975951.8637750056</v>
      </c>
    </row>
    <row r="106" spans="1:16">
      <c r="A106" s="191">
        <v>41214</v>
      </c>
      <c r="B106" s="191"/>
      <c r="C106" s="214"/>
      <c r="D106" s="191"/>
      <c r="E106" s="191"/>
      <c r="F106" s="191"/>
      <c r="G106" s="191"/>
      <c r="H106" s="191"/>
      <c r="I106" s="191"/>
      <c r="J106" s="191"/>
      <c r="K106" s="184">
        <f t="shared" si="20"/>
        <v>2208570.993295324</v>
      </c>
      <c r="N106" s="249">
        <f t="shared" si="21"/>
        <v>2023835.2830358509</v>
      </c>
    </row>
    <row r="107" spans="1:16">
      <c r="A107" s="191">
        <v>41244</v>
      </c>
      <c r="B107" s="191"/>
      <c r="C107" s="214"/>
      <c r="D107" s="191"/>
      <c r="E107" s="191"/>
      <c r="F107" s="191"/>
      <c r="G107" s="191"/>
      <c r="H107" s="191"/>
      <c r="I107" s="191"/>
      <c r="J107" s="191"/>
      <c r="K107" s="184">
        <f t="shared" si="20"/>
        <v>2235941.4514950495</v>
      </c>
      <c r="L107" s="184">
        <f>SUM(K96:K107)</f>
        <v>25024847.176758707</v>
      </c>
      <c r="M107" s="184">
        <f>K107*12</f>
        <v>26831297.417940594</v>
      </c>
      <c r="N107" s="249">
        <f t="shared" si="21"/>
        <v>2071718.7022966961</v>
      </c>
      <c r="O107" s="184">
        <f>SUM(N96:N107)</f>
        <v>21700318.756344568</v>
      </c>
      <c r="P107" s="184">
        <f>N107*12</f>
        <v>24860624.427560352</v>
      </c>
    </row>
    <row r="108" spans="1:16">
      <c r="A108" s="191">
        <v>41275</v>
      </c>
      <c r="B108" s="191"/>
      <c r="C108" s="214"/>
      <c r="D108" s="191"/>
      <c r="E108" s="191"/>
      <c r="F108" s="191"/>
      <c r="G108" s="191"/>
      <c r="H108" s="191"/>
      <c r="I108" s="191"/>
      <c r="J108" s="191"/>
      <c r="K108" s="184">
        <f t="shared" ref="K108:K119" si="22">K107+$L$11</f>
        <v>2298809.6161916396</v>
      </c>
      <c r="N108" s="249">
        <f>$P$11+N107</f>
        <v>2116838.0137448539</v>
      </c>
    </row>
    <row r="109" spans="1:16">
      <c r="A109" s="191">
        <v>41306</v>
      </c>
      <c r="B109" s="191"/>
      <c r="C109" s="214"/>
      <c r="D109" s="191"/>
      <c r="E109" s="191"/>
      <c r="F109" s="191"/>
      <c r="G109" s="191"/>
      <c r="H109" s="191"/>
      <c r="I109" s="191"/>
      <c r="J109" s="191"/>
      <c r="K109" s="184">
        <f t="shared" si="22"/>
        <v>2361677.7808882296</v>
      </c>
      <c r="N109" s="249">
        <f t="shared" ref="N109:N119" si="23">$P$11+N108</f>
        <v>2161957.3251930117</v>
      </c>
    </row>
    <row r="110" spans="1:16">
      <c r="A110" s="191">
        <v>41334</v>
      </c>
      <c r="B110" s="191"/>
      <c r="C110" s="214"/>
      <c r="D110" s="191"/>
      <c r="E110" s="191"/>
      <c r="F110" s="191"/>
      <c r="G110" s="191"/>
      <c r="H110" s="191"/>
      <c r="I110" s="191"/>
      <c r="J110" s="191"/>
      <c r="K110" s="184">
        <f t="shared" si="22"/>
        <v>2424545.9455848197</v>
      </c>
      <c r="N110" s="249">
        <f t="shared" si="23"/>
        <v>2207076.6366411694</v>
      </c>
    </row>
    <row r="111" spans="1:16">
      <c r="A111" s="191">
        <v>41365</v>
      </c>
      <c r="B111" s="191"/>
      <c r="C111" s="214"/>
      <c r="D111" s="191"/>
      <c r="E111" s="191"/>
      <c r="F111" s="191"/>
      <c r="G111" s="191"/>
      <c r="H111" s="191"/>
      <c r="I111" s="191"/>
      <c r="J111" s="191"/>
      <c r="K111" s="184">
        <f t="shared" si="22"/>
        <v>2487414.1102814097</v>
      </c>
      <c r="N111" s="249">
        <f t="shared" si="23"/>
        <v>2252195.9480893272</v>
      </c>
    </row>
    <row r="112" spans="1:16">
      <c r="A112" s="191">
        <v>41395</v>
      </c>
      <c r="B112" s="191"/>
      <c r="C112" s="214"/>
      <c r="D112" s="191"/>
      <c r="E112" s="191"/>
      <c r="F112" s="191"/>
      <c r="G112" s="191"/>
      <c r="H112" s="191"/>
      <c r="I112" s="191"/>
      <c r="J112" s="191"/>
      <c r="K112" s="184">
        <f t="shared" si="22"/>
        <v>2550282.2749779997</v>
      </c>
      <c r="N112" s="249">
        <f t="shared" si="23"/>
        <v>2297315.259537485</v>
      </c>
    </row>
    <row r="113" spans="1:16">
      <c r="A113" s="191">
        <v>41426</v>
      </c>
      <c r="B113" s="191"/>
      <c r="C113" s="214"/>
      <c r="D113" s="191"/>
      <c r="E113" s="191"/>
      <c r="F113" s="191"/>
      <c r="G113" s="191"/>
      <c r="H113" s="191"/>
      <c r="I113" s="191"/>
      <c r="J113" s="191"/>
      <c r="K113" s="184">
        <f t="shared" si="22"/>
        <v>2613150.4396745898</v>
      </c>
      <c r="N113" s="249">
        <f t="shared" si="23"/>
        <v>2342434.5709856427</v>
      </c>
    </row>
    <row r="114" spans="1:16">
      <c r="A114" s="191">
        <v>41456</v>
      </c>
      <c r="B114" s="191"/>
      <c r="C114" s="214"/>
      <c r="D114" s="191"/>
      <c r="E114" s="191"/>
      <c r="F114" s="191"/>
      <c r="G114" s="191"/>
      <c r="H114" s="191"/>
      <c r="I114" s="191"/>
      <c r="J114" s="191"/>
      <c r="K114" s="184">
        <f t="shared" si="22"/>
        <v>2676018.6043711798</v>
      </c>
      <c r="N114" s="249">
        <f t="shared" si="23"/>
        <v>2387553.8824338005</v>
      </c>
    </row>
    <row r="115" spans="1:16">
      <c r="A115" s="191">
        <v>41487</v>
      </c>
      <c r="B115" s="191"/>
      <c r="C115" s="214"/>
      <c r="D115" s="191"/>
      <c r="E115" s="191"/>
      <c r="F115" s="191"/>
      <c r="G115" s="191"/>
      <c r="H115" s="191"/>
      <c r="I115" s="191"/>
      <c r="J115" s="191"/>
      <c r="K115" s="184">
        <f t="shared" si="22"/>
        <v>2738886.7690677699</v>
      </c>
      <c r="N115" s="249">
        <f t="shared" si="23"/>
        <v>2432673.1938819583</v>
      </c>
    </row>
    <row r="116" spans="1:16">
      <c r="A116" s="191">
        <v>41518</v>
      </c>
      <c r="B116" s="191"/>
      <c r="C116" s="214"/>
      <c r="D116" s="191"/>
      <c r="E116" s="191"/>
      <c r="F116" s="191"/>
      <c r="G116" s="191"/>
      <c r="H116" s="191"/>
      <c r="I116" s="191"/>
      <c r="J116" s="191"/>
      <c r="K116" s="184">
        <f t="shared" si="22"/>
        <v>2801754.9337643599</v>
      </c>
      <c r="N116" s="249">
        <f t="shared" si="23"/>
        <v>2477792.505330116</v>
      </c>
    </row>
    <row r="117" spans="1:16">
      <c r="A117" s="191">
        <v>41548</v>
      </c>
      <c r="B117" s="191"/>
      <c r="C117" s="214"/>
      <c r="D117" s="191"/>
      <c r="E117" s="191"/>
      <c r="F117" s="191"/>
      <c r="G117" s="191"/>
      <c r="H117" s="191"/>
      <c r="I117" s="191"/>
      <c r="J117" s="191"/>
      <c r="K117" s="184">
        <f t="shared" si="22"/>
        <v>2864623.09846095</v>
      </c>
      <c r="N117" s="249">
        <f t="shared" si="23"/>
        <v>2522911.8167782738</v>
      </c>
    </row>
    <row r="118" spans="1:16">
      <c r="A118" s="191">
        <v>41579</v>
      </c>
      <c r="B118" s="191"/>
      <c r="C118" s="214"/>
      <c r="D118" s="191"/>
      <c r="E118" s="191"/>
      <c r="F118" s="191"/>
      <c r="G118" s="191"/>
      <c r="H118" s="191"/>
      <c r="I118" s="191"/>
      <c r="J118" s="191"/>
      <c r="K118" s="184">
        <f t="shared" si="22"/>
        <v>2927491.26315754</v>
      </c>
      <c r="N118" s="249">
        <f t="shared" si="23"/>
        <v>2568031.1282264316</v>
      </c>
    </row>
    <row r="119" spans="1:16">
      <c r="A119" s="191">
        <v>41609</v>
      </c>
      <c r="B119" s="191"/>
      <c r="C119" s="214"/>
      <c r="D119" s="191"/>
      <c r="E119" s="191"/>
      <c r="F119" s="191"/>
      <c r="G119" s="191"/>
      <c r="H119" s="191"/>
      <c r="I119" s="191"/>
      <c r="J119" s="191"/>
      <c r="K119" s="184">
        <f t="shared" si="22"/>
        <v>2990359.42785413</v>
      </c>
      <c r="L119" s="184">
        <f>SUM(K108:K119)</f>
        <v>31735014.264274612</v>
      </c>
      <c r="M119" s="184">
        <f>K119*12</f>
        <v>35884313.134249561</v>
      </c>
      <c r="N119" s="249">
        <f t="shared" si="23"/>
        <v>2613150.4396745893</v>
      </c>
      <c r="O119" s="184">
        <f>SUM(N108:N119)</f>
        <v>28379930.720516659</v>
      </c>
      <c r="P119" s="184">
        <f>N119*12</f>
        <v>31357805.27609507</v>
      </c>
    </row>
    <row r="120" spans="1:16">
      <c r="A120" s="191">
        <v>41640</v>
      </c>
      <c r="K120" s="184">
        <f t="shared" ref="K120:K131" si="24">K119+$L$12</f>
        <v>3035759.5800160817</v>
      </c>
      <c r="N120" s="249">
        <f>$P$12+N119</f>
        <v>2667284.5981038604</v>
      </c>
    </row>
    <row r="121" spans="1:16">
      <c r="A121" s="191">
        <v>41671</v>
      </c>
      <c r="K121" s="184">
        <f t="shared" si="24"/>
        <v>3081159.7321780333</v>
      </c>
      <c r="N121" s="249">
        <f t="shared" ref="N121:N131" si="25">$P$12+N120</f>
        <v>2721418.7565331315</v>
      </c>
    </row>
    <row r="122" spans="1:16">
      <c r="A122" s="191">
        <v>41699</v>
      </c>
      <c r="K122" s="184">
        <f t="shared" si="24"/>
        <v>3126559.884339985</v>
      </c>
      <c r="N122" s="249">
        <f t="shared" si="25"/>
        <v>2775552.9149624025</v>
      </c>
    </row>
    <row r="123" spans="1:16">
      <c r="A123" s="191">
        <v>41730</v>
      </c>
      <c r="K123" s="184">
        <f t="shared" si="24"/>
        <v>3171960.0365019366</v>
      </c>
      <c r="N123" s="249">
        <f t="shared" si="25"/>
        <v>2829687.0733916736</v>
      </c>
    </row>
    <row r="124" spans="1:16">
      <c r="A124" s="191">
        <v>41760</v>
      </c>
      <c r="K124" s="184">
        <f t="shared" si="24"/>
        <v>3217360.1886638883</v>
      </c>
      <c r="N124" s="249">
        <f t="shared" si="25"/>
        <v>2883821.2318209447</v>
      </c>
    </row>
    <row r="125" spans="1:16">
      <c r="A125" s="191">
        <v>41791</v>
      </c>
      <c r="K125" s="184">
        <f t="shared" si="24"/>
        <v>3262760.3408258399</v>
      </c>
      <c r="N125" s="249">
        <f t="shared" si="25"/>
        <v>2937955.3902502158</v>
      </c>
    </row>
    <row r="126" spans="1:16">
      <c r="A126" s="191">
        <v>41821</v>
      </c>
      <c r="K126" s="184">
        <f t="shared" si="24"/>
        <v>3308160.4929877915</v>
      </c>
      <c r="N126" s="249">
        <f t="shared" si="25"/>
        <v>2992089.5486794868</v>
      </c>
    </row>
    <row r="127" spans="1:16">
      <c r="A127" s="191">
        <v>41852</v>
      </c>
      <c r="K127" s="184">
        <f t="shared" si="24"/>
        <v>3353560.6451497432</v>
      </c>
      <c r="N127" s="249">
        <f t="shared" si="25"/>
        <v>3046223.7071087579</v>
      </c>
    </row>
    <row r="128" spans="1:16">
      <c r="A128" s="191">
        <v>41883</v>
      </c>
      <c r="K128" s="184">
        <f t="shared" si="24"/>
        <v>3398960.7973116948</v>
      </c>
      <c r="N128" s="249">
        <f t="shared" si="25"/>
        <v>3100357.865538029</v>
      </c>
    </row>
    <row r="129" spans="1:16">
      <c r="A129" s="191">
        <v>41913</v>
      </c>
      <c r="K129" s="184">
        <f t="shared" si="24"/>
        <v>3444360.9494736465</v>
      </c>
      <c r="N129" s="249">
        <f t="shared" si="25"/>
        <v>3154492.0239673001</v>
      </c>
    </row>
    <row r="130" spans="1:16">
      <c r="A130" s="191">
        <v>41944</v>
      </c>
      <c r="K130" s="184">
        <f t="shared" si="24"/>
        <v>3489761.1016355981</v>
      </c>
      <c r="N130" s="249">
        <f t="shared" si="25"/>
        <v>3208626.1823965712</v>
      </c>
    </row>
    <row r="131" spans="1:16">
      <c r="A131" s="191">
        <v>41974</v>
      </c>
      <c r="K131" s="184">
        <f t="shared" si="24"/>
        <v>3535161.2537975498</v>
      </c>
      <c r="L131" s="184">
        <f>SUM(K120:K131)</f>
        <v>39425525.002881795</v>
      </c>
      <c r="M131" s="184">
        <f>K131*12</f>
        <v>42421935.045570597</v>
      </c>
      <c r="N131" s="249">
        <f t="shared" si="25"/>
        <v>3262760.3408258422</v>
      </c>
      <c r="O131" s="184">
        <f>SUM(N120:N131)</f>
        <v>35580269.633578211</v>
      </c>
      <c r="P131" s="184">
        <f>N131*12</f>
        <v>39153124.089910105</v>
      </c>
    </row>
    <row r="132" spans="1:16">
      <c r="A132" s="191">
        <v>42005</v>
      </c>
      <c r="K132" s="184">
        <f t="shared" ref="K132:K143" si="26">K131+$L$13</f>
        <v>3647827.7634189911</v>
      </c>
      <c r="N132" s="249">
        <f>$P$13+N131</f>
        <v>3341793.6717175385</v>
      </c>
    </row>
    <row r="133" spans="1:16">
      <c r="A133" s="191">
        <v>42036</v>
      </c>
      <c r="K133" s="184">
        <f t="shared" si="26"/>
        <v>3760494.2730404325</v>
      </c>
      <c r="N133" s="249">
        <f t="shared" ref="N133:N143" si="27">$P$13+N132</f>
        <v>3420827.0026092348</v>
      </c>
    </row>
    <row r="134" spans="1:16">
      <c r="A134" s="191">
        <v>42064</v>
      </c>
      <c r="K134" s="184">
        <f t="shared" si="26"/>
        <v>3873160.7826618738</v>
      </c>
      <c r="N134" s="249">
        <f t="shared" si="27"/>
        <v>3499860.333500931</v>
      </c>
    </row>
    <row r="135" spans="1:16">
      <c r="A135" s="191">
        <v>42095</v>
      </c>
      <c r="K135" s="184">
        <f t="shared" si="26"/>
        <v>3985827.2922833152</v>
      </c>
      <c r="N135" s="249">
        <f t="shared" si="27"/>
        <v>3578893.6643926273</v>
      </c>
    </row>
    <row r="136" spans="1:16">
      <c r="A136" s="191">
        <v>42125</v>
      </c>
      <c r="K136" s="184">
        <f t="shared" si="26"/>
        <v>4098493.8019047566</v>
      </c>
      <c r="N136" s="249">
        <f t="shared" si="27"/>
        <v>3657926.9952843236</v>
      </c>
    </row>
    <row r="137" spans="1:16">
      <c r="A137" s="191">
        <v>42156</v>
      </c>
      <c r="K137" s="184">
        <f t="shared" si="26"/>
        <v>4211160.3115261979</v>
      </c>
      <c r="N137" s="249">
        <f t="shared" si="27"/>
        <v>3736960.3261760199</v>
      </c>
    </row>
    <row r="138" spans="1:16">
      <c r="A138" s="191">
        <v>42186</v>
      </c>
      <c r="K138" s="184">
        <f t="shared" si="26"/>
        <v>4323826.8211476393</v>
      </c>
      <c r="N138" s="249">
        <f t="shared" si="27"/>
        <v>3815993.6570677161</v>
      </c>
    </row>
    <row r="139" spans="1:16">
      <c r="A139" s="191">
        <v>42217</v>
      </c>
      <c r="K139" s="184">
        <f t="shared" si="26"/>
        <v>4436493.3307690807</v>
      </c>
      <c r="N139" s="249">
        <f t="shared" si="27"/>
        <v>3895026.9879594124</v>
      </c>
    </row>
    <row r="140" spans="1:16">
      <c r="A140" s="191">
        <v>42248</v>
      </c>
      <c r="K140" s="184">
        <f t="shared" si="26"/>
        <v>4549159.840390522</v>
      </c>
      <c r="N140" s="249">
        <f t="shared" si="27"/>
        <v>3974060.3188511087</v>
      </c>
    </row>
    <row r="141" spans="1:16">
      <c r="A141" s="191">
        <v>42278</v>
      </c>
      <c r="K141" s="184">
        <f t="shared" si="26"/>
        <v>4661826.3500119634</v>
      </c>
      <c r="N141" s="249">
        <f t="shared" si="27"/>
        <v>4053093.6497428049</v>
      </c>
    </row>
    <row r="142" spans="1:16">
      <c r="A142" s="191">
        <v>42309</v>
      </c>
      <c r="K142" s="184">
        <f t="shared" si="26"/>
        <v>4774492.8596334048</v>
      </c>
      <c r="N142" s="249">
        <f t="shared" si="27"/>
        <v>4132126.9806345012</v>
      </c>
    </row>
    <row r="143" spans="1:16">
      <c r="A143" s="191">
        <v>42339</v>
      </c>
      <c r="K143" s="184">
        <f t="shared" si="26"/>
        <v>4887159.3692548461</v>
      </c>
      <c r="L143" s="184">
        <f>SUM(K132:K143)</f>
        <v>51209922.796043009</v>
      </c>
      <c r="M143" s="184">
        <f>K143*12</f>
        <v>58645912.431058154</v>
      </c>
      <c r="N143" s="249">
        <f t="shared" si="27"/>
        <v>4211160.3115261979</v>
      </c>
      <c r="O143" s="184">
        <f>SUM(N132:N143)</f>
        <v>45317723.899462417</v>
      </c>
      <c r="P143" s="184">
        <f>N143*12</f>
        <v>50533923.738314375</v>
      </c>
    </row>
    <row r="144" spans="1:16">
      <c r="A144" s="191">
        <v>42370</v>
      </c>
      <c r="K144" s="184">
        <f t="shared" ref="K144:K155" si="28">K143+$L$14</f>
        <v>4974905.3630769849</v>
      </c>
      <c r="N144" s="249">
        <f>$P$14+N143</f>
        <v>4311366.563247988</v>
      </c>
    </row>
    <row r="145" spans="1:16">
      <c r="A145" s="191">
        <v>42401</v>
      </c>
      <c r="K145" s="184">
        <f t="shared" si="28"/>
        <v>5062651.3568991236</v>
      </c>
      <c r="N145" s="249">
        <f t="shared" ref="N145:N155" si="29">$P$14+N144</f>
        <v>4411572.8149697781</v>
      </c>
    </row>
    <row r="146" spans="1:16">
      <c r="A146" s="191">
        <v>42430</v>
      </c>
      <c r="K146" s="184">
        <f t="shared" si="28"/>
        <v>5150397.3507212624</v>
      </c>
      <c r="N146" s="249">
        <f t="shared" si="29"/>
        <v>4511779.0666915681</v>
      </c>
    </row>
    <row r="147" spans="1:16">
      <c r="A147" s="191">
        <v>42461</v>
      </c>
      <c r="K147" s="184">
        <f t="shared" si="28"/>
        <v>5238143.3445434012</v>
      </c>
      <c r="N147" s="249">
        <f t="shared" si="29"/>
        <v>4611985.3184133582</v>
      </c>
    </row>
    <row r="148" spans="1:16">
      <c r="A148" s="191">
        <v>42491</v>
      </c>
      <c r="K148" s="184">
        <f t="shared" si="28"/>
        <v>5325889.3383655399</v>
      </c>
      <c r="N148" s="249">
        <f t="shared" si="29"/>
        <v>4712191.5701351482</v>
      </c>
    </row>
    <row r="149" spans="1:16">
      <c r="A149" s="191">
        <v>42522</v>
      </c>
      <c r="K149" s="184">
        <f t="shared" si="28"/>
        <v>5413635.3321876787</v>
      </c>
      <c r="N149" s="249">
        <f t="shared" si="29"/>
        <v>4812397.8218569383</v>
      </c>
    </row>
    <row r="150" spans="1:16">
      <c r="A150" s="191">
        <v>42552</v>
      </c>
      <c r="K150" s="184">
        <f t="shared" si="28"/>
        <v>5501381.3260098174</v>
      </c>
      <c r="N150" s="249">
        <f t="shared" si="29"/>
        <v>4912604.0735787284</v>
      </c>
    </row>
    <row r="151" spans="1:16">
      <c r="A151" s="191">
        <v>42583</v>
      </c>
      <c r="K151" s="184">
        <f t="shared" si="28"/>
        <v>5589127.3198319562</v>
      </c>
      <c r="N151" s="249">
        <f t="shared" si="29"/>
        <v>5012810.3253005184</v>
      </c>
    </row>
    <row r="152" spans="1:16">
      <c r="A152" s="191">
        <v>42614</v>
      </c>
      <c r="K152" s="184">
        <f t="shared" si="28"/>
        <v>5676873.3136540949</v>
      </c>
      <c r="N152" s="249">
        <f t="shared" si="29"/>
        <v>5113016.5770223085</v>
      </c>
    </row>
    <row r="153" spans="1:16">
      <c r="A153" s="191">
        <v>42644</v>
      </c>
      <c r="K153" s="184">
        <f t="shared" si="28"/>
        <v>5764619.3074762337</v>
      </c>
      <c r="N153" s="249">
        <f t="shared" si="29"/>
        <v>5213222.8287440985</v>
      </c>
    </row>
    <row r="154" spans="1:16">
      <c r="A154" s="191">
        <v>42675</v>
      </c>
      <c r="K154" s="184">
        <f t="shared" si="28"/>
        <v>5852365.3012983724</v>
      </c>
      <c r="N154" s="249">
        <f t="shared" si="29"/>
        <v>5313429.0804658886</v>
      </c>
    </row>
    <row r="155" spans="1:16">
      <c r="A155" s="191">
        <v>42705</v>
      </c>
      <c r="K155" s="184">
        <f t="shared" si="28"/>
        <v>5940111.2951205112</v>
      </c>
      <c r="L155" s="184">
        <f>SUM(K144:K155)</f>
        <v>65490099.949184984</v>
      </c>
      <c r="M155" s="184">
        <f>K155*12</f>
        <v>71281335.541446134</v>
      </c>
      <c r="N155" s="249">
        <f t="shared" si="29"/>
        <v>5413635.3321876787</v>
      </c>
      <c r="O155" s="184">
        <f>SUM(N144:N155)</f>
        <v>58350011.372614011</v>
      </c>
      <c r="P155" s="184">
        <f>N155*12</f>
        <v>64963623.986252144</v>
      </c>
    </row>
    <row r="156" spans="1:16">
      <c r="A156" s="191">
        <v>42736</v>
      </c>
      <c r="K156" s="184">
        <f t="shared" ref="K156:K167" si="30">K155+$L$15</f>
        <v>6140330.5066508614</v>
      </c>
      <c r="N156" s="249">
        <f>$P$15+N155</f>
        <v>5557617.9348639231</v>
      </c>
    </row>
    <row r="157" spans="1:16">
      <c r="A157" s="191">
        <v>42767</v>
      </c>
      <c r="K157" s="184">
        <f t="shared" si="30"/>
        <v>6340549.7181812115</v>
      </c>
      <c r="N157" s="249">
        <f t="shared" ref="N157:N167" si="31">$P$15+N156</f>
        <v>5701600.5375401676</v>
      </c>
    </row>
    <row r="158" spans="1:16">
      <c r="A158" s="191">
        <v>42795</v>
      </c>
      <c r="K158" s="184">
        <f t="shared" si="30"/>
        <v>6540768.9297115617</v>
      </c>
      <c r="N158" s="249">
        <f t="shared" si="31"/>
        <v>5845583.140216412</v>
      </c>
    </row>
    <row r="159" spans="1:16">
      <c r="A159" s="191">
        <v>42826</v>
      </c>
      <c r="K159" s="184">
        <f t="shared" si="30"/>
        <v>6740988.1412419118</v>
      </c>
      <c r="N159" s="249">
        <f t="shared" si="31"/>
        <v>5989565.7428926565</v>
      </c>
    </row>
    <row r="160" spans="1:16">
      <c r="A160" s="191">
        <v>42856</v>
      </c>
      <c r="K160" s="184">
        <f t="shared" si="30"/>
        <v>6941207.3527722619</v>
      </c>
      <c r="N160" s="249">
        <f t="shared" si="31"/>
        <v>6133548.3455689009</v>
      </c>
    </row>
    <row r="161" spans="1:16">
      <c r="A161" s="191">
        <v>42887</v>
      </c>
      <c r="K161" s="184">
        <f t="shared" si="30"/>
        <v>7141426.5643026121</v>
      </c>
      <c r="N161" s="249">
        <f t="shared" si="31"/>
        <v>6277530.9482451454</v>
      </c>
    </row>
    <row r="162" spans="1:16">
      <c r="A162" s="191">
        <v>42917</v>
      </c>
      <c r="K162" s="184">
        <f t="shared" si="30"/>
        <v>7341645.7758329622</v>
      </c>
      <c r="N162" s="249">
        <f t="shared" si="31"/>
        <v>6421513.5509213898</v>
      </c>
    </row>
    <row r="163" spans="1:16">
      <c r="A163" s="191">
        <v>42948</v>
      </c>
      <c r="K163" s="184">
        <f t="shared" si="30"/>
        <v>7541864.9873633124</v>
      </c>
      <c r="N163" s="249">
        <f t="shared" si="31"/>
        <v>6565496.1535976343</v>
      </c>
    </row>
    <row r="164" spans="1:16">
      <c r="A164" s="191">
        <v>42979</v>
      </c>
      <c r="K164" s="184">
        <f t="shared" si="30"/>
        <v>7742084.1988936625</v>
      </c>
      <c r="N164" s="249">
        <f t="shared" si="31"/>
        <v>6709478.7562738787</v>
      </c>
    </row>
    <row r="165" spans="1:16">
      <c r="A165" s="191">
        <v>43009</v>
      </c>
      <c r="K165" s="184">
        <f t="shared" si="30"/>
        <v>7942303.4104240127</v>
      </c>
      <c r="N165" s="249">
        <f t="shared" si="31"/>
        <v>6853461.3589501232</v>
      </c>
    </row>
    <row r="166" spans="1:16">
      <c r="A166" s="191">
        <v>43040</v>
      </c>
      <c r="K166" s="184">
        <f t="shared" si="30"/>
        <v>8142522.6219543628</v>
      </c>
      <c r="N166" s="249">
        <f t="shared" si="31"/>
        <v>6997443.9616263676</v>
      </c>
    </row>
    <row r="167" spans="1:16">
      <c r="A167" s="191">
        <v>43070</v>
      </c>
      <c r="K167" s="184">
        <f t="shared" si="30"/>
        <v>8342741.833484713</v>
      </c>
      <c r="L167" s="184">
        <f>SUM(K156:K167)</f>
        <v>86898434.040813446</v>
      </c>
      <c r="M167" s="184">
        <f>K167*12</f>
        <v>100112902.00181656</v>
      </c>
      <c r="N167" s="249">
        <f t="shared" si="31"/>
        <v>7141426.5643026121</v>
      </c>
      <c r="O167" s="184">
        <f>SUM(N156:N167)</f>
        <v>76194266.9949992</v>
      </c>
      <c r="P167" s="184">
        <f>N167*12</f>
        <v>85697118.771631345</v>
      </c>
    </row>
    <row r="168" spans="1:16">
      <c r="A168" s="191">
        <v>43101</v>
      </c>
      <c r="K168" s="184">
        <f t="shared" ref="K168:K179" si="32">K167+$L$16</f>
        <v>8319131.8687009253</v>
      </c>
      <c r="L168" s="184"/>
      <c r="M168" s="184"/>
      <c r="N168" s="249">
        <f>$P$16+N167</f>
        <v>7229731.1876758933</v>
      </c>
      <c r="O168" s="184"/>
      <c r="P168" s="184"/>
    </row>
    <row r="169" spans="1:16">
      <c r="A169" s="191">
        <v>43132</v>
      </c>
      <c r="K169" s="184">
        <f t="shared" si="32"/>
        <v>8295521.9039171375</v>
      </c>
      <c r="N169" s="249">
        <f t="shared" ref="N169:N179" si="33">$P$16+N168</f>
        <v>7318035.8110491745</v>
      </c>
    </row>
    <row r="170" spans="1:16">
      <c r="A170" s="191">
        <v>43160</v>
      </c>
      <c r="K170" s="184">
        <f t="shared" si="32"/>
        <v>8271911.9391333498</v>
      </c>
      <c r="N170" s="249">
        <f t="shared" si="33"/>
        <v>7406340.4344224557</v>
      </c>
    </row>
    <row r="171" spans="1:16">
      <c r="A171" s="191">
        <v>43191</v>
      </c>
      <c r="K171" s="184">
        <f t="shared" si="32"/>
        <v>8248301.9743495621</v>
      </c>
      <c r="N171" s="249">
        <f t="shared" si="33"/>
        <v>7494645.0577957369</v>
      </c>
    </row>
    <row r="172" spans="1:16">
      <c r="A172" s="191">
        <v>43221</v>
      </c>
      <c r="K172" s="184">
        <f t="shared" si="32"/>
        <v>8224692.0095657744</v>
      </c>
      <c r="N172" s="249">
        <f t="shared" si="33"/>
        <v>7582949.6811690181</v>
      </c>
    </row>
    <row r="173" spans="1:16">
      <c r="A173" s="191">
        <v>43252</v>
      </c>
      <c r="K173" s="184">
        <f t="shared" si="32"/>
        <v>8201082.0447819866</v>
      </c>
      <c r="N173" s="249">
        <f t="shared" si="33"/>
        <v>7671254.3045422994</v>
      </c>
    </row>
    <row r="174" spans="1:16">
      <c r="A174" s="191">
        <v>43282</v>
      </c>
      <c r="K174" s="184">
        <f t="shared" si="32"/>
        <v>8177472.0799981989</v>
      </c>
      <c r="N174" s="249">
        <f t="shared" si="33"/>
        <v>7759558.9279155806</v>
      </c>
    </row>
    <row r="175" spans="1:16">
      <c r="A175" s="191">
        <v>43313</v>
      </c>
      <c r="K175" s="184">
        <f t="shared" si="32"/>
        <v>8153862.1152144112</v>
      </c>
      <c r="N175" s="249">
        <f t="shared" si="33"/>
        <v>7847863.5512888618</v>
      </c>
    </row>
    <row r="176" spans="1:16">
      <c r="A176" s="191">
        <v>43344</v>
      </c>
      <c r="K176" s="184">
        <f t="shared" si="32"/>
        <v>8130252.1504306234</v>
      </c>
      <c r="N176" s="249">
        <f t="shared" si="33"/>
        <v>7936168.174662143</v>
      </c>
    </row>
    <row r="177" spans="1:16">
      <c r="A177" s="191">
        <v>43374</v>
      </c>
      <c r="K177" s="184">
        <f t="shared" si="32"/>
        <v>8106642.1856468357</v>
      </c>
      <c r="N177" s="249">
        <f t="shared" si="33"/>
        <v>8024472.7980354242</v>
      </c>
    </row>
    <row r="178" spans="1:16">
      <c r="A178" s="191">
        <v>43405</v>
      </c>
      <c r="K178" s="184">
        <f t="shared" si="32"/>
        <v>8083032.220863048</v>
      </c>
      <c r="N178" s="249">
        <f t="shared" si="33"/>
        <v>8112777.4214087054</v>
      </c>
    </row>
    <row r="179" spans="1:16">
      <c r="A179" s="191">
        <v>43435</v>
      </c>
      <c r="K179" s="184">
        <f t="shared" si="32"/>
        <v>8059422.2560792603</v>
      </c>
      <c r="L179" s="184">
        <f>SUM(K168:K179)</f>
        <v>98271324.748681083</v>
      </c>
      <c r="M179" s="184">
        <f>K179*12</f>
        <v>96713067.072951123</v>
      </c>
      <c r="N179" s="249">
        <f t="shared" si="33"/>
        <v>8201082.0447819866</v>
      </c>
      <c r="O179" s="184">
        <f>SUM(N168:N179)</f>
        <v>92584879.394747287</v>
      </c>
      <c r="P179" s="184">
        <f>N179*12</f>
        <v>98412984.537383839</v>
      </c>
    </row>
    <row r="180" spans="1:16">
      <c r="A180" s="191">
        <v>43466</v>
      </c>
      <c r="K180" s="184">
        <f t="shared" ref="K180:K191" si="34">K179+$L$17</f>
        <v>8147320.2613437418</v>
      </c>
      <c r="N180" s="249">
        <f>$P$17+N179</f>
        <v>8233226.0650223335</v>
      </c>
    </row>
    <row r="181" spans="1:16">
      <c r="A181" s="191">
        <v>43497</v>
      </c>
      <c r="K181" s="184">
        <f t="shared" si="34"/>
        <v>8235218.2666082233</v>
      </c>
      <c r="N181" s="249">
        <f t="shared" ref="N181:N191" si="35">$P$17+N180</f>
        <v>8265370.0852626804</v>
      </c>
    </row>
    <row r="182" spans="1:16">
      <c r="A182" s="191">
        <v>43525</v>
      </c>
      <c r="K182" s="184">
        <f t="shared" si="34"/>
        <v>8323116.2718727048</v>
      </c>
      <c r="N182" s="249">
        <f t="shared" si="35"/>
        <v>8297514.1055030273</v>
      </c>
    </row>
    <row r="183" spans="1:16">
      <c r="A183" s="191">
        <v>43556</v>
      </c>
      <c r="K183" s="184">
        <f t="shared" si="34"/>
        <v>8411014.2771371864</v>
      </c>
      <c r="N183" s="249">
        <f t="shared" si="35"/>
        <v>8329658.1257433742</v>
      </c>
    </row>
    <row r="184" spans="1:16">
      <c r="A184" s="191">
        <v>43586</v>
      </c>
      <c r="K184" s="184">
        <f t="shared" si="34"/>
        <v>8498912.2824016679</v>
      </c>
      <c r="N184" s="249">
        <f t="shared" si="35"/>
        <v>8361802.1459837211</v>
      </c>
    </row>
    <row r="185" spans="1:16">
      <c r="A185" s="191">
        <v>43617</v>
      </c>
      <c r="K185" s="184">
        <f t="shared" si="34"/>
        <v>8586810.2876661494</v>
      </c>
      <c r="N185" s="249">
        <f t="shared" si="35"/>
        <v>8393946.166224068</v>
      </c>
    </row>
    <row r="186" spans="1:16">
      <c r="A186" s="191">
        <v>43647</v>
      </c>
      <c r="K186" s="184">
        <f t="shared" si="34"/>
        <v>8674708.292930631</v>
      </c>
      <c r="N186" s="249">
        <f t="shared" si="35"/>
        <v>8426090.186464414</v>
      </c>
    </row>
    <row r="187" spans="1:16">
      <c r="A187" s="191">
        <v>43678</v>
      </c>
      <c r="K187" s="184">
        <f t="shared" si="34"/>
        <v>8762606.2981951125</v>
      </c>
      <c r="N187" s="249">
        <f t="shared" si="35"/>
        <v>8458234.20670476</v>
      </c>
    </row>
    <row r="188" spans="1:16">
      <c r="A188" s="191">
        <v>43709</v>
      </c>
      <c r="K188" s="184">
        <f t="shared" si="34"/>
        <v>8850504.303459594</v>
      </c>
      <c r="N188" s="249">
        <f t="shared" si="35"/>
        <v>8490378.2269451059</v>
      </c>
    </row>
    <row r="189" spans="1:16">
      <c r="A189" s="191">
        <v>43739</v>
      </c>
      <c r="K189" s="184">
        <f t="shared" si="34"/>
        <v>8938402.3087240756</v>
      </c>
      <c r="N189" s="249">
        <f t="shared" si="35"/>
        <v>8522522.2471854519</v>
      </c>
    </row>
    <row r="190" spans="1:16">
      <c r="A190" s="191">
        <v>43770</v>
      </c>
      <c r="K190" s="184">
        <f t="shared" si="34"/>
        <v>9026300.3139885571</v>
      </c>
      <c r="N190" s="249">
        <f t="shared" si="35"/>
        <v>8554666.2674257979</v>
      </c>
    </row>
    <row r="191" spans="1:16">
      <c r="A191" s="191">
        <v>43800</v>
      </c>
      <c r="K191" s="184">
        <f t="shared" si="34"/>
        <v>9114198.3192530386</v>
      </c>
      <c r="L191" s="184">
        <f>SUM(K180:K191)</f>
        <v>103569111.48358069</v>
      </c>
      <c r="M191" s="184">
        <f>K191*12</f>
        <v>109370379.83103646</v>
      </c>
      <c r="N191" s="249">
        <f t="shared" si="35"/>
        <v>8586810.2876661438</v>
      </c>
      <c r="O191" s="184">
        <f>SUM(N180:N191)</f>
        <v>100920218.11613089</v>
      </c>
      <c r="P191" s="184">
        <f>N191*12</f>
        <v>103041723.45199373</v>
      </c>
    </row>
    <row r="192" spans="1:16">
      <c r="A192" s="191">
        <v>43831</v>
      </c>
      <c r="K192" s="184">
        <f t="shared" ref="K192:K203" si="36">K191+$L$18</f>
        <v>9164158.4944392387</v>
      </c>
      <c r="N192" s="249">
        <f>$P$18+N191</f>
        <v>8655739.3778914846</v>
      </c>
    </row>
    <row r="193" spans="1:16">
      <c r="A193" s="191">
        <v>43862</v>
      </c>
      <c r="K193" s="184">
        <f t="shared" si="36"/>
        <v>9214118.6696254387</v>
      </c>
      <c r="N193" s="249">
        <f t="shared" ref="N193:N203" si="37">$P$18+N192</f>
        <v>8724668.4681168254</v>
      </c>
    </row>
    <row r="194" spans="1:16">
      <c r="A194" s="191">
        <v>43891</v>
      </c>
      <c r="K194" s="184">
        <f t="shared" si="36"/>
        <v>9264078.8448116388</v>
      </c>
      <c r="N194" s="249">
        <f t="shared" si="37"/>
        <v>8793597.5583421662</v>
      </c>
    </row>
    <row r="195" spans="1:16">
      <c r="A195" s="191">
        <v>43922</v>
      </c>
      <c r="K195" s="184">
        <f t="shared" si="36"/>
        <v>9314039.0199978389</v>
      </c>
      <c r="N195" s="249">
        <f t="shared" si="37"/>
        <v>8862526.648567507</v>
      </c>
    </row>
    <row r="196" spans="1:16">
      <c r="A196" s="191">
        <v>43952</v>
      </c>
      <c r="K196" s="184">
        <f t="shared" si="36"/>
        <v>9363999.195184039</v>
      </c>
      <c r="N196" s="249">
        <f t="shared" si="37"/>
        <v>8931455.7387928478</v>
      </c>
    </row>
    <row r="197" spans="1:16">
      <c r="A197" s="191">
        <v>43983</v>
      </c>
      <c r="K197" s="184">
        <f t="shared" si="36"/>
        <v>9413959.370370239</v>
      </c>
      <c r="N197" s="249">
        <f t="shared" si="37"/>
        <v>9000384.8290181886</v>
      </c>
    </row>
    <row r="198" spans="1:16">
      <c r="A198" s="191">
        <v>44013</v>
      </c>
      <c r="K198" s="184">
        <f t="shared" si="36"/>
        <v>9463919.5455564391</v>
      </c>
      <c r="N198" s="249">
        <f t="shared" si="37"/>
        <v>9069313.9192435294</v>
      </c>
    </row>
    <row r="199" spans="1:16">
      <c r="A199" s="191">
        <v>44044</v>
      </c>
      <c r="K199" s="184">
        <f t="shared" si="36"/>
        <v>9513879.7207426392</v>
      </c>
      <c r="N199" s="249">
        <f t="shared" si="37"/>
        <v>9138243.0094688702</v>
      </c>
    </row>
    <row r="200" spans="1:16">
      <c r="A200" s="191">
        <v>44075</v>
      </c>
      <c r="K200" s="184">
        <f t="shared" si="36"/>
        <v>9563839.8959288392</v>
      </c>
      <c r="N200" s="249">
        <f t="shared" si="37"/>
        <v>9207172.099694211</v>
      </c>
    </row>
    <row r="201" spans="1:16">
      <c r="A201" s="191">
        <v>44105</v>
      </c>
      <c r="K201" s="184">
        <f t="shared" si="36"/>
        <v>9613800.0711150393</v>
      </c>
      <c r="N201" s="249">
        <f t="shared" si="37"/>
        <v>9276101.1899195518</v>
      </c>
    </row>
    <row r="202" spans="1:16">
      <c r="A202" s="191">
        <v>44136</v>
      </c>
      <c r="K202" s="184">
        <f t="shared" si="36"/>
        <v>9663760.2463012394</v>
      </c>
      <c r="N202" s="249">
        <f t="shared" si="37"/>
        <v>9345030.2801448926</v>
      </c>
    </row>
    <row r="203" spans="1:16">
      <c r="A203" s="191">
        <v>44166</v>
      </c>
      <c r="K203" s="184">
        <f t="shared" si="36"/>
        <v>9713720.4214874394</v>
      </c>
      <c r="L203" s="184">
        <f>SUM(K192:K203)</f>
        <v>113267273.49556006</v>
      </c>
      <c r="M203" s="184">
        <f>K203*12</f>
        <v>116564645.05784927</v>
      </c>
      <c r="N203" s="249">
        <f t="shared" si="37"/>
        <v>9413959.3703702334</v>
      </c>
      <c r="O203" s="184">
        <f>SUM(N192:N203)</f>
        <v>108418192.48957029</v>
      </c>
      <c r="P203" s="184">
        <f>N203*12</f>
        <v>112967512.44444281</v>
      </c>
    </row>
    <row r="204" spans="1:16">
      <c r="A204" s="191">
        <v>44197</v>
      </c>
      <c r="K204" s="184">
        <f t="shared" ref="K204:K215" si="38">K203+$L$19</f>
        <v>9653938.1438275538</v>
      </c>
      <c r="N204" s="249">
        <f>$P$19+N203</f>
        <v>9409048.3191333916</v>
      </c>
    </row>
    <row r="205" spans="1:16">
      <c r="A205" s="191">
        <v>44228</v>
      </c>
      <c r="K205" s="184">
        <f t="shared" si="38"/>
        <v>9594155.8661676683</v>
      </c>
      <c r="N205" s="249">
        <f t="shared" ref="N205:N215" si="39">$P$19+N204</f>
        <v>9404137.2678965498</v>
      </c>
    </row>
    <row r="206" spans="1:16">
      <c r="A206" s="191">
        <v>44256</v>
      </c>
      <c r="K206" s="184">
        <f t="shared" si="38"/>
        <v>9534373.5885077827</v>
      </c>
      <c r="N206" s="249">
        <f t="shared" si="39"/>
        <v>9399226.2166597079</v>
      </c>
    </row>
    <row r="207" spans="1:16">
      <c r="A207" s="191">
        <v>44287</v>
      </c>
      <c r="K207" s="184">
        <f t="shared" si="38"/>
        <v>9474591.3108478971</v>
      </c>
      <c r="N207" s="249">
        <f t="shared" si="39"/>
        <v>9394315.1654228661</v>
      </c>
    </row>
    <row r="208" spans="1:16">
      <c r="A208" s="191">
        <v>44317</v>
      </c>
      <c r="K208" s="184">
        <f t="shared" si="38"/>
        <v>9414809.0331880115</v>
      </c>
      <c r="N208" s="249">
        <f t="shared" si="39"/>
        <v>9389404.1141860243</v>
      </c>
    </row>
    <row r="209" spans="1:16">
      <c r="A209" s="191">
        <v>44348</v>
      </c>
      <c r="K209" s="184">
        <f t="shared" si="38"/>
        <v>9355026.7555281259</v>
      </c>
      <c r="N209" s="249">
        <f t="shared" si="39"/>
        <v>9384493.0629491825</v>
      </c>
    </row>
    <row r="210" spans="1:16">
      <c r="A210" s="191">
        <v>44378</v>
      </c>
      <c r="K210" s="184">
        <f t="shared" si="38"/>
        <v>9295244.4778682403</v>
      </c>
      <c r="N210" s="249">
        <f t="shared" si="39"/>
        <v>9379582.0117123406</v>
      </c>
    </row>
    <row r="211" spans="1:16">
      <c r="A211" s="191">
        <v>44409</v>
      </c>
      <c r="K211" s="184">
        <f t="shared" si="38"/>
        <v>9235462.2002083547</v>
      </c>
      <c r="N211" s="249">
        <f t="shared" si="39"/>
        <v>9374670.9604754988</v>
      </c>
    </row>
    <row r="212" spans="1:16">
      <c r="A212" s="191">
        <v>44440</v>
      </c>
      <c r="K212" s="184">
        <f t="shared" si="38"/>
        <v>9175679.9225484692</v>
      </c>
      <c r="N212" s="249">
        <f t="shared" si="39"/>
        <v>9369759.909238657</v>
      </c>
    </row>
    <row r="213" spans="1:16">
      <c r="A213" s="191">
        <v>44470</v>
      </c>
      <c r="K213" s="184">
        <f t="shared" si="38"/>
        <v>9115897.6448885836</v>
      </c>
      <c r="N213" s="249">
        <f t="shared" si="39"/>
        <v>9364848.8580018152</v>
      </c>
    </row>
    <row r="214" spans="1:16">
      <c r="A214" s="191">
        <v>44501</v>
      </c>
      <c r="K214" s="184">
        <f t="shared" si="38"/>
        <v>9056115.367228698</v>
      </c>
      <c r="N214" s="249">
        <f t="shared" si="39"/>
        <v>9359937.8067649733</v>
      </c>
    </row>
    <row r="215" spans="1:16">
      <c r="A215" s="191">
        <v>44531</v>
      </c>
      <c r="K215" s="184">
        <f t="shared" si="38"/>
        <v>8996333.0895688124</v>
      </c>
      <c r="L215" s="184">
        <f>SUM(K204:K215)</f>
        <v>111901627.4003782</v>
      </c>
      <c r="M215" s="184">
        <f>K215*12</f>
        <v>107955997.07482575</v>
      </c>
      <c r="N215" s="249">
        <f t="shared" si="39"/>
        <v>9355026.7555281315</v>
      </c>
      <c r="O215" s="184">
        <f>SUM(N204:N215)</f>
        <v>112584450.44796914</v>
      </c>
      <c r="P215" s="184">
        <f>N215*12</f>
        <v>112260321.06633759</v>
      </c>
    </row>
    <row r="216" spans="1:16">
      <c r="K216" s="186">
        <f>SUM(K24:K215)</f>
        <v>791195286.52962816</v>
      </c>
      <c r="N216" s="186">
        <f>SUM(N24:N215)</f>
        <v>735244472.82943916</v>
      </c>
    </row>
  </sheetData>
  <mergeCells count="2">
    <mergeCell ref="R2:S2"/>
    <mergeCell ref="U2:V2"/>
  </mergeCells>
  <pageMargins left="0.7" right="0.7" top="0.75" bottom="0.75" header="0.3" footer="0.3"/>
  <pageSetup scale="54" fitToHeight="0" orientation="landscape" r:id="rId1"/>
  <rowBreaks count="4" manualBreakCount="4">
    <brk id="71" max="15" man="1"/>
    <brk id="107" max="15" man="1"/>
    <brk id="143" max="15" man="1"/>
    <brk id="179" max="15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40"/>
  <sheetViews>
    <sheetView zoomScaleNormal="10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F1" sqref="F1"/>
    </sheetView>
  </sheetViews>
  <sheetFormatPr defaultRowHeight="12.75"/>
  <cols>
    <col min="1" max="4" width="9.140625" style="72"/>
    <col min="5" max="5" width="9.28515625" style="79" customWidth="1"/>
    <col min="6" max="6" width="9.5703125" style="79" customWidth="1"/>
    <col min="7" max="20" width="9.140625" style="72"/>
    <col min="21" max="21" width="10.28515625" style="72" bestFit="1" customWidth="1"/>
    <col min="22" max="25" width="10.28515625" style="199" customWidth="1"/>
    <col min="26" max="26" width="10.28515625" style="208" customWidth="1"/>
    <col min="27" max="27" width="9.85546875" style="72" bestFit="1" customWidth="1"/>
    <col min="28" max="28" width="11" style="72" bestFit="1" customWidth="1"/>
    <col min="29" max="29" width="11.140625" style="72" customWidth="1"/>
    <col min="30" max="265" width="9.140625" style="72"/>
    <col min="266" max="266" width="9.28515625" style="72" customWidth="1"/>
    <col min="267" max="267" width="9.5703125" style="72" customWidth="1"/>
    <col min="268" max="281" width="9.140625" style="72"/>
    <col min="282" max="282" width="9.85546875" style="72" bestFit="1" customWidth="1"/>
    <col min="283" max="283" width="11" style="72" bestFit="1" customWidth="1"/>
    <col min="284" max="521" width="9.140625" style="72"/>
    <col min="522" max="522" width="9.28515625" style="72" customWidth="1"/>
    <col min="523" max="523" width="9.5703125" style="72" customWidth="1"/>
    <col min="524" max="537" width="9.140625" style="72"/>
    <col min="538" max="538" width="9.85546875" style="72" bestFit="1" customWidth="1"/>
    <col min="539" max="539" width="11" style="72" bestFit="1" customWidth="1"/>
    <col min="540" max="777" width="9.140625" style="72"/>
    <col min="778" max="778" width="9.28515625" style="72" customWidth="1"/>
    <col min="779" max="779" width="9.5703125" style="72" customWidth="1"/>
    <col min="780" max="793" width="9.140625" style="72"/>
    <col min="794" max="794" width="9.85546875" style="72" bestFit="1" customWidth="1"/>
    <col min="795" max="795" width="11" style="72" bestFit="1" customWidth="1"/>
    <col min="796" max="1033" width="9.140625" style="72"/>
    <col min="1034" max="1034" width="9.28515625" style="72" customWidth="1"/>
    <col min="1035" max="1035" width="9.5703125" style="72" customWidth="1"/>
    <col min="1036" max="1049" width="9.140625" style="72"/>
    <col min="1050" max="1050" width="9.85546875" style="72" bestFit="1" customWidth="1"/>
    <col min="1051" max="1051" width="11" style="72" bestFit="1" customWidth="1"/>
    <col min="1052" max="1289" width="9.140625" style="72"/>
    <col min="1290" max="1290" width="9.28515625" style="72" customWidth="1"/>
    <col min="1291" max="1291" width="9.5703125" style="72" customWidth="1"/>
    <col min="1292" max="1305" width="9.140625" style="72"/>
    <col min="1306" max="1306" width="9.85546875" style="72" bestFit="1" customWidth="1"/>
    <col min="1307" max="1307" width="11" style="72" bestFit="1" customWidth="1"/>
    <col min="1308" max="1545" width="9.140625" style="72"/>
    <col min="1546" max="1546" width="9.28515625" style="72" customWidth="1"/>
    <col min="1547" max="1547" width="9.5703125" style="72" customWidth="1"/>
    <col min="1548" max="1561" width="9.140625" style="72"/>
    <col min="1562" max="1562" width="9.85546875" style="72" bestFit="1" customWidth="1"/>
    <col min="1563" max="1563" width="11" style="72" bestFit="1" customWidth="1"/>
    <col min="1564" max="1801" width="9.140625" style="72"/>
    <col min="1802" max="1802" width="9.28515625" style="72" customWidth="1"/>
    <col min="1803" max="1803" width="9.5703125" style="72" customWidth="1"/>
    <col min="1804" max="1817" width="9.140625" style="72"/>
    <col min="1818" max="1818" width="9.85546875" style="72" bestFit="1" customWidth="1"/>
    <col min="1819" max="1819" width="11" style="72" bestFit="1" customWidth="1"/>
    <col min="1820" max="2057" width="9.140625" style="72"/>
    <col min="2058" max="2058" width="9.28515625" style="72" customWidth="1"/>
    <col min="2059" max="2059" width="9.5703125" style="72" customWidth="1"/>
    <col min="2060" max="2073" width="9.140625" style="72"/>
    <col min="2074" max="2074" width="9.85546875" style="72" bestFit="1" customWidth="1"/>
    <col min="2075" max="2075" width="11" style="72" bestFit="1" customWidth="1"/>
    <col min="2076" max="2313" width="9.140625" style="72"/>
    <col min="2314" max="2314" width="9.28515625" style="72" customWidth="1"/>
    <col min="2315" max="2315" width="9.5703125" style="72" customWidth="1"/>
    <col min="2316" max="2329" width="9.140625" style="72"/>
    <col min="2330" max="2330" width="9.85546875" style="72" bestFit="1" customWidth="1"/>
    <col min="2331" max="2331" width="11" style="72" bestFit="1" customWidth="1"/>
    <col min="2332" max="2569" width="9.140625" style="72"/>
    <col min="2570" max="2570" width="9.28515625" style="72" customWidth="1"/>
    <col min="2571" max="2571" width="9.5703125" style="72" customWidth="1"/>
    <col min="2572" max="2585" width="9.140625" style="72"/>
    <col min="2586" max="2586" width="9.85546875" style="72" bestFit="1" customWidth="1"/>
    <col min="2587" max="2587" width="11" style="72" bestFit="1" customWidth="1"/>
    <col min="2588" max="2825" width="9.140625" style="72"/>
    <col min="2826" max="2826" width="9.28515625" style="72" customWidth="1"/>
    <col min="2827" max="2827" width="9.5703125" style="72" customWidth="1"/>
    <col min="2828" max="2841" width="9.140625" style="72"/>
    <col min="2842" max="2842" width="9.85546875" style="72" bestFit="1" customWidth="1"/>
    <col min="2843" max="2843" width="11" style="72" bestFit="1" customWidth="1"/>
    <col min="2844" max="3081" width="9.140625" style="72"/>
    <col min="3082" max="3082" width="9.28515625" style="72" customWidth="1"/>
    <col min="3083" max="3083" width="9.5703125" style="72" customWidth="1"/>
    <col min="3084" max="3097" width="9.140625" style="72"/>
    <col min="3098" max="3098" width="9.85546875" style="72" bestFit="1" customWidth="1"/>
    <col min="3099" max="3099" width="11" style="72" bestFit="1" customWidth="1"/>
    <col min="3100" max="3337" width="9.140625" style="72"/>
    <col min="3338" max="3338" width="9.28515625" style="72" customWidth="1"/>
    <col min="3339" max="3339" width="9.5703125" style="72" customWidth="1"/>
    <col min="3340" max="3353" width="9.140625" style="72"/>
    <col min="3354" max="3354" width="9.85546875" style="72" bestFit="1" customWidth="1"/>
    <col min="3355" max="3355" width="11" style="72" bestFit="1" customWidth="1"/>
    <col min="3356" max="3593" width="9.140625" style="72"/>
    <col min="3594" max="3594" width="9.28515625" style="72" customWidth="1"/>
    <col min="3595" max="3595" width="9.5703125" style="72" customWidth="1"/>
    <col min="3596" max="3609" width="9.140625" style="72"/>
    <col min="3610" max="3610" width="9.85546875" style="72" bestFit="1" customWidth="1"/>
    <col min="3611" max="3611" width="11" style="72" bestFit="1" customWidth="1"/>
    <col min="3612" max="3849" width="9.140625" style="72"/>
    <col min="3850" max="3850" width="9.28515625" style="72" customWidth="1"/>
    <col min="3851" max="3851" width="9.5703125" style="72" customWidth="1"/>
    <col min="3852" max="3865" width="9.140625" style="72"/>
    <col min="3866" max="3866" width="9.85546875" style="72" bestFit="1" customWidth="1"/>
    <col min="3867" max="3867" width="11" style="72" bestFit="1" customWidth="1"/>
    <col min="3868" max="4105" width="9.140625" style="72"/>
    <col min="4106" max="4106" width="9.28515625" style="72" customWidth="1"/>
    <col min="4107" max="4107" width="9.5703125" style="72" customWidth="1"/>
    <col min="4108" max="4121" width="9.140625" style="72"/>
    <col min="4122" max="4122" width="9.85546875" style="72" bestFit="1" customWidth="1"/>
    <col min="4123" max="4123" width="11" style="72" bestFit="1" customWidth="1"/>
    <col min="4124" max="4361" width="9.140625" style="72"/>
    <col min="4362" max="4362" width="9.28515625" style="72" customWidth="1"/>
    <col min="4363" max="4363" width="9.5703125" style="72" customWidth="1"/>
    <col min="4364" max="4377" width="9.140625" style="72"/>
    <col min="4378" max="4378" width="9.85546875" style="72" bestFit="1" customWidth="1"/>
    <col min="4379" max="4379" width="11" style="72" bestFit="1" customWidth="1"/>
    <col min="4380" max="4617" width="9.140625" style="72"/>
    <col min="4618" max="4618" width="9.28515625" style="72" customWidth="1"/>
    <col min="4619" max="4619" width="9.5703125" style="72" customWidth="1"/>
    <col min="4620" max="4633" width="9.140625" style="72"/>
    <col min="4634" max="4634" width="9.85546875" style="72" bestFit="1" customWidth="1"/>
    <col min="4635" max="4635" width="11" style="72" bestFit="1" customWidth="1"/>
    <col min="4636" max="4873" width="9.140625" style="72"/>
    <col min="4874" max="4874" width="9.28515625" style="72" customWidth="1"/>
    <col min="4875" max="4875" width="9.5703125" style="72" customWidth="1"/>
    <col min="4876" max="4889" width="9.140625" style="72"/>
    <col min="4890" max="4890" width="9.85546875" style="72" bestFit="1" customWidth="1"/>
    <col min="4891" max="4891" width="11" style="72" bestFit="1" customWidth="1"/>
    <col min="4892" max="5129" width="9.140625" style="72"/>
    <col min="5130" max="5130" width="9.28515625" style="72" customWidth="1"/>
    <col min="5131" max="5131" width="9.5703125" style="72" customWidth="1"/>
    <col min="5132" max="5145" width="9.140625" style="72"/>
    <col min="5146" max="5146" width="9.85546875" style="72" bestFit="1" customWidth="1"/>
    <col min="5147" max="5147" width="11" style="72" bestFit="1" customWidth="1"/>
    <col min="5148" max="5385" width="9.140625" style="72"/>
    <col min="5386" max="5386" width="9.28515625" style="72" customWidth="1"/>
    <col min="5387" max="5387" width="9.5703125" style="72" customWidth="1"/>
    <col min="5388" max="5401" width="9.140625" style="72"/>
    <col min="5402" max="5402" width="9.85546875" style="72" bestFit="1" customWidth="1"/>
    <col min="5403" max="5403" width="11" style="72" bestFit="1" customWidth="1"/>
    <col min="5404" max="5641" width="9.140625" style="72"/>
    <col min="5642" max="5642" width="9.28515625" style="72" customWidth="1"/>
    <col min="5643" max="5643" width="9.5703125" style="72" customWidth="1"/>
    <col min="5644" max="5657" width="9.140625" style="72"/>
    <col min="5658" max="5658" width="9.85546875" style="72" bestFit="1" customWidth="1"/>
    <col min="5659" max="5659" width="11" style="72" bestFit="1" customWidth="1"/>
    <col min="5660" max="5897" width="9.140625" style="72"/>
    <col min="5898" max="5898" width="9.28515625" style="72" customWidth="1"/>
    <col min="5899" max="5899" width="9.5703125" style="72" customWidth="1"/>
    <col min="5900" max="5913" width="9.140625" style="72"/>
    <col min="5914" max="5914" width="9.85546875" style="72" bestFit="1" customWidth="1"/>
    <col min="5915" max="5915" width="11" style="72" bestFit="1" customWidth="1"/>
    <col min="5916" max="6153" width="9.140625" style="72"/>
    <col min="6154" max="6154" width="9.28515625" style="72" customWidth="1"/>
    <col min="6155" max="6155" width="9.5703125" style="72" customWidth="1"/>
    <col min="6156" max="6169" width="9.140625" style="72"/>
    <col min="6170" max="6170" width="9.85546875" style="72" bestFit="1" customWidth="1"/>
    <col min="6171" max="6171" width="11" style="72" bestFit="1" customWidth="1"/>
    <col min="6172" max="6409" width="9.140625" style="72"/>
    <col min="6410" max="6410" width="9.28515625" style="72" customWidth="1"/>
    <col min="6411" max="6411" width="9.5703125" style="72" customWidth="1"/>
    <col min="6412" max="6425" width="9.140625" style="72"/>
    <col min="6426" max="6426" width="9.85546875" style="72" bestFit="1" customWidth="1"/>
    <col min="6427" max="6427" width="11" style="72" bestFit="1" customWidth="1"/>
    <col min="6428" max="6665" width="9.140625" style="72"/>
    <col min="6666" max="6666" width="9.28515625" style="72" customWidth="1"/>
    <col min="6667" max="6667" width="9.5703125" style="72" customWidth="1"/>
    <col min="6668" max="6681" width="9.140625" style="72"/>
    <col min="6682" max="6682" width="9.85546875" style="72" bestFit="1" customWidth="1"/>
    <col min="6683" max="6683" width="11" style="72" bestFit="1" customWidth="1"/>
    <col min="6684" max="6921" width="9.140625" style="72"/>
    <col min="6922" max="6922" width="9.28515625" style="72" customWidth="1"/>
    <col min="6923" max="6923" width="9.5703125" style="72" customWidth="1"/>
    <col min="6924" max="6937" width="9.140625" style="72"/>
    <col min="6938" max="6938" width="9.85546875" style="72" bestFit="1" customWidth="1"/>
    <col min="6939" max="6939" width="11" style="72" bestFit="1" customWidth="1"/>
    <col min="6940" max="7177" width="9.140625" style="72"/>
    <col min="7178" max="7178" width="9.28515625" style="72" customWidth="1"/>
    <col min="7179" max="7179" width="9.5703125" style="72" customWidth="1"/>
    <col min="7180" max="7193" width="9.140625" style="72"/>
    <col min="7194" max="7194" width="9.85546875" style="72" bestFit="1" customWidth="1"/>
    <col min="7195" max="7195" width="11" style="72" bestFit="1" customWidth="1"/>
    <col min="7196" max="7433" width="9.140625" style="72"/>
    <col min="7434" max="7434" width="9.28515625" style="72" customWidth="1"/>
    <col min="7435" max="7435" width="9.5703125" style="72" customWidth="1"/>
    <col min="7436" max="7449" width="9.140625" style="72"/>
    <col min="7450" max="7450" width="9.85546875" style="72" bestFit="1" customWidth="1"/>
    <col min="7451" max="7451" width="11" style="72" bestFit="1" customWidth="1"/>
    <col min="7452" max="7689" width="9.140625" style="72"/>
    <col min="7690" max="7690" width="9.28515625" style="72" customWidth="1"/>
    <col min="7691" max="7691" width="9.5703125" style="72" customWidth="1"/>
    <col min="7692" max="7705" width="9.140625" style="72"/>
    <col min="7706" max="7706" width="9.85546875" style="72" bestFit="1" customWidth="1"/>
    <col min="7707" max="7707" width="11" style="72" bestFit="1" customWidth="1"/>
    <col min="7708" max="7945" width="9.140625" style="72"/>
    <col min="7946" max="7946" width="9.28515625" style="72" customWidth="1"/>
    <col min="7947" max="7947" width="9.5703125" style="72" customWidth="1"/>
    <col min="7948" max="7961" width="9.140625" style="72"/>
    <col min="7962" max="7962" width="9.85546875" style="72" bestFit="1" customWidth="1"/>
    <col min="7963" max="7963" width="11" style="72" bestFit="1" customWidth="1"/>
    <col min="7964" max="8201" width="9.140625" style="72"/>
    <col min="8202" max="8202" width="9.28515625" style="72" customWidth="1"/>
    <col min="8203" max="8203" width="9.5703125" style="72" customWidth="1"/>
    <col min="8204" max="8217" width="9.140625" style="72"/>
    <col min="8218" max="8218" width="9.85546875" style="72" bestFit="1" customWidth="1"/>
    <col min="8219" max="8219" width="11" style="72" bestFit="1" customWidth="1"/>
    <col min="8220" max="8457" width="9.140625" style="72"/>
    <col min="8458" max="8458" width="9.28515625" style="72" customWidth="1"/>
    <col min="8459" max="8459" width="9.5703125" style="72" customWidth="1"/>
    <col min="8460" max="8473" width="9.140625" style="72"/>
    <col min="8474" max="8474" width="9.85546875" style="72" bestFit="1" customWidth="1"/>
    <col min="8475" max="8475" width="11" style="72" bestFit="1" customWidth="1"/>
    <col min="8476" max="8713" width="9.140625" style="72"/>
    <col min="8714" max="8714" width="9.28515625" style="72" customWidth="1"/>
    <col min="8715" max="8715" width="9.5703125" style="72" customWidth="1"/>
    <col min="8716" max="8729" width="9.140625" style="72"/>
    <col min="8730" max="8730" width="9.85546875" style="72" bestFit="1" customWidth="1"/>
    <col min="8731" max="8731" width="11" style="72" bestFit="1" customWidth="1"/>
    <col min="8732" max="8969" width="9.140625" style="72"/>
    <col min="8970" max="8970" width="9.28515625" style="72" customWidth="1"/>
    <col min="8971" max="8971" width="9.5703125" style="72" customWidth="1"/>
    <col min="8972" max="8985" width="9.140625" style="72"/>
    <col min="8986" max="8986" width="9.85546875" style="72" bestFit="1" customWidth="1"/>
    <col min="8987" max="8987" width="11" style="72" bestFit="1" customWidth="1"/>
    <col min="8988" max="9225" width="9.140625" style="72"/>
    <col min="9226" max="9226" width="9.28515625" style="72" customWidth="1"/>
    <col min="9227" max="9227" width="9.5703125" style="72" customWidth="1"/>
    <col min="9228" max="9241" width="9.140625" style="72"/>
    <col min="9242" max="9242" width="9.85546875" style="72" bestFit="1" customWidth="1"/>
    <col min="9243" max="9243" width="11" style="72" bestFit="1" customWidth="1"/>
    <col min="9244" max="9481" width="9.140625" style="72"/>
    <col min="9482" max="9482" width="9.28515625" style="72" customWidth="1"/>
    <col min="9483" max="9483" width="9.5703125" style="72" customWidth="1"/>
    <col min="9484" max="9497" width="9.140625" style="72"/>
    <col min="9498" max="9498" width="9.85546875" style="72" bestFit="1" customWidth="1"/>
    <col min="9499" max="9499" width="11" style="72" bestFit="1" customWidth="1"/>
    <col min="9500" max="9737" width="9.140625" style="72"/>
    <col min="9738" max="9738" width="9.28515625" style="72" customWidth="1"/>
    <col min="9739" max="9739" width="9.5703125" style="72" customWidth="1"/>
    <col min="9740" max="9753" width="9.140625" style="72"/>
    <col min="9754" max="9754" width="9.85546875" style="72" bestFit="1" customWidth="1"/>
    <col min="9755" max="9755" width="11" style="72" bestFit="1" customWidth="1"/>
    <col min="9756" max="9993" width="9.140625" style="72"/>
    <col min="9994" max="9994" width="9.28515625" style="72" customWidth="1"/>
    <col min="9995" max="9995" width="9.5703125" style="72" customWidth="1"/>
    <col min="9996" max="10009" width="9.140625" style="72"/>
    <col min="10010" max="10010" width="9.85546875" style="72" bestFit="1" customWidth="1"/>
    <col min="10011" max="10011" width="11" style="72" bestFit="1" customWidth="1"/>
    <col min="10012" max="10249" width="9.140625" style="72"/>
    <col min="10250" max="10250" width="9.28515625" style="72" customWidth="1"/>
    <col min="10251" max="10251" width="9.5703125" style="72" customWidth="1"/>
    <col min="10252" max="10265" width="9.140625" style="72"/>
    <col min="10266" max="10266" width="9.85546875" style="72" bestFit="1" customWidth="1"/>
    <col min="10267" max="10267" width="11" style="72" bestFit="1" customWidth="1"/>
    <col min="10268" max="10505" width="9.140625" style="72"/>
    <col min="10506" max="10506" width="9.28515625" style="72" customWidth="1"/>
    <col min="10507" max="10507" width="9.5703125" style="72" customWidth="1"/>
    <col min="10508" max="10521" width="9.140625" style="72"/>
    <col min="10522" max="10522" width="9.85546875" style="72" bestFit="1" customWidth="1"/>
    <col min="10523" max="10523" width="11" style="72" bestFit="1" customWidth="1"/>
    <col min="10524" max="10761" width="9.140625" style="72"/>
    <col min="10762" max="10762" width="9.28515625" style="72" customWidth="1"/>
    <col min="10763" max="10763" width="9.5703125" style="72" customWidth="1"/>
    <col min="10764" max="10777" width="9.140625" style="72"/>
    <col min="10778" max="10778" width="9.85546875" style="72" bestFit="1" customWidth="1"/>
    <col min="10779" max="10779" width="11" style="72" bestFit="1" customWidth="1"/>
    <col min="10780" max="11017" width="9.140625" style="72"/>
    <col min="11018" max="11018" width="9.28515625" style="72" customWidth="1"/>
    <col min="11019" max="11019" width="9.5703125" style="72" customWidth="1"/>
    <col min="11020" max="11033" width="9.140625" style="72"/>
    <col min="11034" max="11034" width="9.85546875" style="72" bestFit="1" customWidth="1"/>
    <col min="11035" max="11035" width="11" style="72" bestFit="1" customWidth="1"/>
    <col min="11036" max="11273" width="9.140625" style="72"/>
    <col min="11274" max="11274" width="9.28515625" style="72" customWidth="1"/>
    <col min="11275" max="11275" width="9.5703125" style="72" customWidth="1"/>
    <col min="11276" max="11289" width="9.140625" style="72"/>
    <col min="11290" max="11290" width="9.85546875" style="72" bestFit="1" customWidth="1"/>
    <col min="11291" max="11291" width="11" style="72" bestFit="1" customWidth="1"/>
    <col min="11292" max="11529" width="9.140625" style="72"/>
    <col min="11530" max="11530" width="9.28515625" style="72" customWidth="1"/>
    <col min="11531" max="11531" width="9.5703125" style="72" customWidth="1"/>
    <col min="11532" max="11545" width="9.140625" style="72"/>
    <col min="11546" max="11546" width="9.85546875" style="72" bestFit="1" customWidth="1"/>
    <col min="11547" max="11547" width="11" style="72" bestFit="1" customWidth="1"/>
    <col min="11548" max="11785" width="9.140625" style="72"/>
    <col min="11786" max="11786" width="9.28515625" style="72" customWidth="1"/>
    <col min="11787" max="11787" width="9.5703125" style="72" customWidth="1"/>
    <col min="11788" max="11801" width="9.140625" style="72"/>
    <col min="11802" max="11802" width="9.85546875" style="72" bestFit="1" customWidth="1"/>
    <col min="11803" max="11803" width="11" style="72" bestFit="1" customWidth="1"/>
    <col min="11804" max="12041" width="9.140625" style="72"/>
    <col min="12042" max="12042" width="9.28515625" style="72" customWidth="1"/>
    <col min="12043" max="12043" width="9.5703125" style="72" customWidth="1"/>
    <col min="12044" max="12057" width="9.140625" style="72"/>
    <col min="12058" max="12058" width="9.85546875" style="72" bestFit="1" customWidth="1"/>
    <col min="12059" max="12059" width="11" style="72" bestFit="1" customWidth="1"/>
    <col min="12060" max="12297" width="9.140625" style="72"/>
    <col min="12298" max="12298" width="9.28515625" style="72" customWidth="1"/>
    <col min="12299" max="12299" width="9.5703125" style="72" customWidth="1"/>
    <col min="12300" max="12313" width="9.140625" style="72"/>
    <col min="12314" max="12314" width="9.85546875" style="72" bestFit="1" customWidth="1"/>
    <col min="12315" max="12315" width="11" style="72" bestFit="1" customWidth="1"/>
    <col min="12316" max="12553" width="9.140625" style="72"/>
    <col min="12554" max="12554" width="9.28515625" style="72" customWidth="1"/>
    <col min="12555" max="12555" width="9.5703125" style="72" customWidth="1"/>
    <col min="12556" max="12569" width="9.140625" style="72"/>
    <col min="12570" max="12570" width="9.85546875" style="72" bestFit="1" customWidth="1"/>
    <col min="12571" max="12571" width="11" style="72" bestFit="1" customWidth="1"/>
    <col min="12572" max="12809" width="9.140625" style="72"/>
    <col min="12810" max="12810" width="9.28515625" style="72" customWidth="1"/>
    <col min="12811" max="12811" width="9.5703125" style="72" customWidth="1"/>
    <col min="12812" max="12825" width="9.140625" style="72"/>
    <col min="12826" max="12826" width="9.85546875" style="72" bestFit="1" customWidth="1"/>
    <col min="12827" max="12827" width="11" style="72" bestFit="1" customWidth="1"/>
    <col min="12828" max="13065" width="9.140625" style="72"/>
    <col min="13066" max="13066" width="9.28515625" style="72" customWidth="1"/>
    <col min="13067" max="13067" width="9.5703125" style="72" customWidth="1"/>
    <col min="13068" max="13081" width="9.140625" style="72"/>
    <col min="13082" max="13082" width="9.85546875" style="72" bestFit="1" customWidth="1"/>
    <col min="13083" max="13083" width="11" style="72" bestFit="1" customWidth="1"/>
    <col min="13084" max="13321" width="9.140625" style="72"/>
    <col min="13322" max="13322" width="9.28515625" style="72" customWidth="1"/>
    <col min="13323" max="13323" width="9.5703125" style="72" customWidth="1"/>
    <col min="13324" max="13337" width="9.140625" style="72"/>
    <col min="13338" max="13338" width="9.85546875" style="72" bestFit="1" customWidth="1"/>
    <col min="13339" max="13339" width="11" style="72" bestFit="1" customWidth="1"/>
    <col min="13340" max="13577" width="9.140625" style="72"/>
    <col min="13578" max="13578" width="9.28515625" style="72" customWidth="1"/>
    <col min="13579" max="13579" width="9.5703125" style="72" customWidth="1"/>
    <col min="13580" max="13593" width="9.140625" style="72"/>
    <col min="13594" max="13594" width="9.85546875" style="72" bestFit="1" customWidth="1"/>
    <col min="13595" max="13595" width="11" style="72" bestFit="1" customWidth="1"/>
    <col min="13596" max="13833" width="9.140625" style="72"/>
    <col min="13834" max="13834" width="9.28515625" style="72" customWidth="1"/>
    <col min="13835" max="13835" width="9.5703125" style="72" customWidth="1"/>
    <col min="13836" max="13849" width="9.140625" style="72"/>
    <col min="13850" max="13850" width="9.85546875" style="72" bestFit="1" customWidth="1"/>
    <col min="13851" max="13851" width="11" style="72" bestFit="1" customWidth="1"/>
    <col min="13852" max="14089" width="9.140625" style="72"/>
    <col min="14090" max="14090" width="9.28515625" style="72" customWidth="1"/>
    <col min="14091" max="14091" width="9.5703125" style="72" customWidth="1"/>
    <col min="14092" max="14105" width="9.140625" style="72"/>
    <col min="14106" max="14106" width="9.85546875" style="72" bestFit="1" customWidth="1"/>
    <col min="14107" max="14107" width="11" style="72" bestFit="1" customWidth="1"/>
    <col min="14108" max="14345" width="9.140625" style="72"/>
    <col min="14346" max="14346" width="9.28515625" style="72" customWidth="1"/>
    <col min="14347" max="14347" width="9.5703125" style="72" customWidth="1"/>
    <col min="14348" max="14361" width="9.140625" style="72"/>
    <col min="14362" max="14362" width="9.85546875" style="72" bestFit="1" customWidth="1"/>
    <col min="14363" max="14363" width="11" style="72" bestFit="1" customWidth="1"/>
    <col min="14364" max="14601" width="9.140625" style="72"/>
    <col min="14602" max="14602" width="9.28515625" style="72" customWidth="1"/>
    <col min="14603" max="14603" width="9.5703125" style="72" customWidth="1"/>
    <col min="14604" max="14617" width="9.140625" style="72"/>
    <col min="14618" max="14618" width="9.85546875" style="72" bestFit="1" customWidth="1"/>
    <col min="14619" max="14619" width="11" style="72" bestFit="1" customWidth="1"/>
    <col min="14620" max="14857" width="9.140625" style="72"/>
    <col min="14858" max="14858" width="9.28515625" style="72" customWidth="1"/>
    <col min="14859" max="14859" width="9.5703125" style="72" customWidth="1"/>
    <col min="14860" max="14873" width="9.140625" style="72"/>
    <col min="14874" max="14874" width="9.85546875" style="72" bestFit="1" customWidth="1"/>
    <col min="14875" max="14875" width="11" style="72" bestFit="1" customWidth="1"/>
    <col min="14876" max="15113" width="9.140625" style="72"/>
    <col min="15114" max="15114" width="9.28515625" style="72" customWidth="1"/>
    <col min="15115" max="15115" width="9.5703125" style="72" customWidth="1"/>
    <col min="15116" max="15129" width="9.140625" style="72"/>
    <col min="15130" max="15130" width="9.85546875" style="72" bestFit="1" customWidth="1"/>
    <col min="15131" max="15131" width="11" style="72" bestFit="1" customWidth="1"/>
    <col min="15132" max="15369" width="9.140625" style="72"/>
    <col min="15370" max="15370" width="9.28515625" style="72" customWidth="1"/>
    <col min="15371" max="15371" width="9.5703125" style="72" customWidth="1"/>
    <col min="15372" max="15385" width="9.140625" style="72"/>
    <col min="15386" max="15386" width="9.85546875" style="72" bestFit="1" customWidth="1"/>
    <col min="15387" max="15387" width="11" style="72" bestFit="1" customWidth="1"/>
    <col min="15388" max="15625" width="9.140625" style="72"/>
    <col min="15626" max="15626" width="9.28515625" style="72" customWidth="1"/>
    <col min="15627" max="15627" width="9.5703125" style="72" customWidth="1"/>
    <col min="15628" max="15641" width="9.140625" style="72"/>
    <col min="15642" max="15642" width="9.85546875" style="72" bestFit="1" customWidth="1"/>
    <col min="15643" max="15643" width="11" style="72" bestFit="1" customWidth="1"/>
    <col min="15644" max="15881" width="9.140625" style="72"/>
    <col min="15882" max="15882" width="9.28515625" style="72" customWidth="1"/>
    <col min="15883" max="15883" width="9.5703125" style="72" customWidth="1"/>
    <col min="15884" max="15897" width="9.140625" style="72"/>
    <col min="15898" max="15898" width="9.85546875" style="72" bestFit="1" customWidth="1"/>
    <col min="15899" max="15899" width="11" style="72" bestFit="1" customWidth="1"/>
    <col min="15900" max="16137" width="9.140625" style="72"/>
    <col min="16138" max="16138" width="9.28515625" style="72" customWidth="1"/>
    <col min="16139" max="16139" width="9.5703125" style="72" customWidth="1"/>
    <col min="16140" max="16153" width="9.140625" style="72"/>
    <col min="16154" max="16154" width="9.85546875" style="72" bestFit="1" customWidth="1"/>
    <col min="16155" max="16155" width="11" style="72" bestFit="1" customWidth="1"/>
    <col min="16156" max="16383" width="9.140625" style="72"/>
    <col min="16384" max="16384" width="9.140625" style="72" customWidth="1"/>
  </cols>
  <sheetData>
    <row r="1" spans="1:29">
      <c r="A1" s="77" t="s">
        <v>79</v>
      </c>
      <c r="D1" s="278"/>
      <c r="E1" s="278"/>
      <c r="F1" s="77"/>
      <c r="G1" s="77"/>
      <c r="H1" s="77"/>
      <c r="I1" s="77"/>
    </row>
    <row r="2" spans="1:29">
      <c r="A2" s="78"/>
      <c r="E2" s="151"/>
      <c r="F2" s="151"/>
      <c r="G2" s="152"/>
      <c r="H2" s="152"/>
      <c r="I2" s="152"/>
      <c r="J2" s="152"/>
      <c r="K2" s="153"/>
      <c r="L2" s="153"/>
      <c r="M2" s="153"/>
      <c r="N2" s="153"/>
      <c r="O2" s="153"/>
      <c r="P2" s="153"/>
      <c r="Q2" s="153"/>
      <c r="R2" s="153"/>
    </row>
    <row r="3" spans="1:29">
      <c r="A3" s="80" t="s">
        <v>80</v>
      </c>
      <c r="B3" s="80"/>
      <c r="C3" s="80"/>
      <c r="D3" s="80"/>
      <c r="E3" s="81"/>
      <c r="F3" s="81"/>
    </row>
    <row r="4" spans="1:29">
      <c r="A4" s="82"/>
      <c r="B4" s="82"/>
      <c r="C4" s="82"/>
      <c r="D4" s="82"/>
      <c r="E4" s="83"/>
      <c r="F4" s="83"/>
    </row>
    <row r="5" spans="1:29">
      <c r="A5" s="84" t="s">
        <v>81</v>
      </c>
      <c r="B5" s="203" t="s">
        <v>144</v>
      </c>
      <c r="C5" s="84">
        <v>1996</v>
      </c>
      <c r="D5" s="84">
        <v>1997</v>
      </c>
      <c r="E5" s="84">
        <v>1998</v>
      </c>
      <c r="F5" s="84">
        <v>1999</v>
      </c>
      <c r="G5" s="84">
        <v>2000</v>
      </c>
      <c r="H5" s="84">
        <v>2001</v>
      </c>
      <c r="I5" s="84">
        <v>2002</v>
      </c>
      <c r="J5" s="84">
        <v>2003</v>
      </c>
      <c r="K5" s="84">
        <v>2004</v>
      </c>
      <c r="L5" s="84">
        <v>2005</v>
      </c>
      <c r="M5" s="84">
        <v>2006</v>
      </c>
      <c r="N5" s="84">
        <v>2007</v>
      </c>
      <c r="O5" s="84">
        <v>2008</v>
      </c>
      <c r="P5" s="84">
        <v>2009</v>
      </c>
      <c r="Q5" s="84">
        <v>2010</v>
      </c>
      <c r="R5" s="84">
        <v>2011</v>
      </c>
      <c r="S5" s="84">
        <v>2012</v>
      </c>
      <c r="T5" s="84">
        <v>2013</v>
      </c>
      <c r="U5" s="84">
        <v>2014</v>
      </c>
      <c r="V5" s="200">
        <v>2015</v>
      </c>
      <c r="W5" s="200">
        <v>2016</v>
      </c>
      <c r="X5" s="200">
        <v>2017</v>
      </c>
      <c r="Y5" s="200">
        <v>2018</v>
      </c>
      <c r="Z5" s="84">
        <v>2019</v>
      </c>
      <c r="AA5" s="154" t="s">
        <v>82</v>
      </c>
      <c r="AB5" s="154" t="s">
        <v>83</v>
      </c>
      <c r="AC5" s="154" t="s">
        <v>97</v>
      </c>
    </row>
    <row r="6" spans="1:29">
      <c r="A6" s="85" t="s">
        <v>84</v>
      </c>
      <c r="B6" s="86">
        <v>667.5</v>
      </c>
      <c r="C6" s="86">
        <v>789.4</v>
      </c>
      <c r="D6" s="86">
        <v>777.9</v>
      </c>
      <c r="E6" s="86">
        <v>652.79999999999995</v>
      </c>
      <c r="F6" s="86">
        <v>789.6</v>
      </c>
      <c r="G6" s="86">
        <v>773</v>
      </c>
      <c r="H6" s="86">
        <v>715</v>
      </c>
      <c r="I6" s="86">
        <v>625.70000000000005</v>
      </c>
      <c r="J6" s="86">
        <v>868.4</v>
      </c>
      <c r="K6" s="86">
        <v>879.2</v>
      </c>
      <c r="L6" s="86">
        <v>814.7</v>
      </c>
      <c r="M6" s="86">
        <v>590.6</v>
      </c>
      <c r="N6" s="86">
        <v>698.3</v>
      </c>
      <c r="O6" s="86">
        <v>676.8</v>
      </c>
      <c r="P6" s="86">
        <v>891.8</v>
      </c>
      <c r="Q6" s="86">
        <v>721.1</v>
      </c>
      <c r="R6" s="86">
        <v>822</v>
      </c>
      <c r="S6" s="86">
        <v>657.3</v>
      </c>
      <c r="T6" s="86">
        <v>681.3</v>
      </c>
      <c r="U6" s="86">
        <v>865.9</v>
      </c>
      <c r="V6" s="106">
        <v>846.4000000000002</v>
      </c>
      <c r="W6" s="106">
        <v>717.80000000000007</v>
      </c>
      <c r="X6" s="106">
        <v>652.1</v>
      </c>
      <c r="Y6" s="106">
        <v>791.1</v>
      </c>
      <c r="Z6" s="106">
        <v>802.1</v>
      </c>
      <c r="AA6" s="155">
        <f>AVERAGE(Q6:Z6)</f>
        <v>755.71000000000015</v>
      </c>
      <c r="AB6" s="156">
        <f>TREND(G6:Z6,$G$23:$Z$23,2019)</f>
        <v>762.24142857142851</v>
      </c>
      <c r="AC6" s="155">
        <f>AVERAGE(G6:Z6)</f>
        <v>754.53</v>
      </c>
    </row>
    <row r="7" spans="1:29">
      <c r="A7" s="85" t="s">
        <v>85</v>
      </c>
      <c r="B7" s="86">
        <v>735.3</v>
      </c>
      <c r="C7" s="86">
        <v>712.6</v>
      </c>
      <c r="D7" s="86">
        <v>615</v>
      </c>
      <c r="E7" s="86">
        <v>547.1</v>
      </c>
      <c r="F7" s="86">
        <v>578.4</v>
      </c>
      <c r="G7" s="86">
        <v>643.79999999999995</v>
      </c>
      <c r="H7" s="86">
        <v>620.20000000000005</v>
      </c>
      <c r="I7" s="86">
        <v>592</v>
      </c>
      <c r="J7" s="86">
        <v>755.9</v>
      </c>
      <c r="K7" s="86">
        <v>699.2</v>
      </c>
      <c r="L7" s="86">
        <v>683.5</v>
      </c>
      <c r="M7" s="86">
        <v>651.20000000000005</v>
      </c>
      <c r="N7" s="86">
        <v>785.1</v>
      </c>
      <c r="O7" s="86">
        <v>651.20000000000005</v>
      </c>
      <c r="P7" s="86">
        <v>649.6</v>
      </c>
      <c r="Q7" s="86">
        <v>644.70000000000005</v>
      </c>
      <c r="R7" s="86">
        <v>689.3</v>
      </c>
      <c r="S7" s="86">
        <v>573</v>
      </c>
      <c r="T7" s="86">
        <v>697.9</v>
      </c>
      <c r="U7" s="86">
        <v>831.2</v>
      </c>
      <c r="V7" s="106">
        <v>917.5</v>
      </c>
      <c r="W7" s="106">
        <v>627.40000000000009</v>
      </c>
      <c r="X7" s="106">
        <v>537.9</v>
      </c>
      <c r="Y7" s="106">
        <v>594.9</v>
      </c>
      <c r="Z7" s="106">
        <v>659.8</v>
      </c>
      <c r="AA7" s="155">
        <f t="shared" ref="AA7:AA17" si="0">AVERAGE(Q7:Z7)</f>
        <v>677.3599999999999</v>
      </c>
      <c r="AB7" s="156">
        <f t="shared" ref="AB7:AB17" si="1">TREND(G7:Z7,$G$23:$Z$23,2019)</f>
        <v>678.82428571428568</v>
      </c>
      <c r="AC7" s="155">
        <f t="shared" ref="AC7:AC17" si="2">AVERAGE(B7:U7)</f>
        <v>667.81000000000006</v>
      </c>
    </row>
    <row r="8" spans="1:29">
      <c r="A8" s="85" t="s">
        <v>86</v>
      </c>
      <c r="B8" s="86">
        <v>523.70000000000005</v>
      </c>
      <c r="C8" s="86">
        <v>670.4</v>
      </c>
      <c r="D8" s="86">
        <v>619.1</v>
      </c>
      <c r="E8" s="86">
        <v>505.1</v>
      </c>
      <c r="F8" s="86">
        <v>592.5</v>
      </c>
      <c r="G8" s="86">
        <v>446.9</v>
      </c>
      <c r="H8" s="86">
        <v>618.70000000000005</v>
      </c>
      <c r="I8" s="86">
        <v>581.20000000000005</v>
      </c>
      <c r="J8" s="86">
        <v>638.70000000000005</v>
      </c>
      <c r="K8" s="86">
        <v>540.9</v>
      </c>
      <c r="L8" s="86">
        <v>680.5</v>
      </c>
      <c r="M8" s="86">
        <v>562.4</v>
      </c>
      <c r="N8" s="86">
        <v>582</v>
      </c>
      <c r="O8" s="86">
        <v>686.1</v>
      </c>
      <c r="P8" s="86">
        <v>562.6</v>
      </c>
      <c r="Q8" s="86">
        <v>470.9</v>
      </c>
      <c r="R8" s="86">
        <v>622.29999999999995</v>
      </c>
      <c r="S8" s="86">
        <v>370.1</v>
      </c>
      <c r="T8" s="86">
        <v>612</v>
      </c>
      <c r="U8" s="86">
        <v>757</v>
      </c>
      <c r="V8" s="106">
        <v>662.50000000000011</v>
      </c>
      <c r="W8" s="106">
        <v>492.6</v>
      </c>
      <c r="X8" s="106">
        <v>597.6</v>
      </c>
      <c r="Y8" s="106">
        <v>591.10000000000014</v>
      </c>
      <c r="Z8" s="106">
        <v>636.5</v>
      </c>
      <c r="AA8" s="155">
        <f t="shared" si="0"/>
        <v>581.26</v>
      </c>
      <c r="AB8" s="156">
        <f t="shared" si="1"/>
        <v>603.56285714285696</v>
      </c>
      <c r="AC8" s="155">
        <f t="shared" si="2"/>
        <v>582.15499999999997</v>
      </c>
    </row>
    <row r="9" spans="1:29">
      <c r="A9" s="85" t="s">
        <v>87</v>
      </c>
      <c r="B9" s="86">
        <v>434.4</v>
      </c>
      <c r="C9" s="86">
        <v>421.9</v>
      </c>
      <c r="D9" s="86">
        <v>391.9</v>
      </c>
      <c r="E9" s="86">
        <v>312</v>
      </c>
      <c r="F9" s="86">
        <v>332.6</v>
      </c>
      <c r="G9" s="86">
        <v>358.3</v>
      </c>
      <c r="H9" s="86">
        <v>324.60000000000002</v>
      </c>
      <c r="I9" s="86">
        <v>356.2</v>
      </c>
      <c r="J9" s="86">
        <v>397.4</v>
      </c>
      <c r="K9" s="86">
        <v>354.1</v>
      </c>
      <c r="L9" s="86">
        <v>354.6</v>
      </c>
      <c r="M9" s="86">
        <v>322.5</v>
      </c>
      <c r="N9" s="86">
        <v>403</v>
      </c>
      <c r="O9" s="86">
        <v>297.89999999999998</v>
      </c>
      <c r="P9" s="86">
        <v>341.5</v>
      </c>
      <c r="Q9" s="86">
        <v>260.60000000000002</v>
      </c>
      <c r="R9" s="86">
        <v>349.6</v>
      </c>
      <c r="S9" s="86">
        <v>365.3</v>
      </c>
      <c r="T9" s="86">
        <v>384.7</v>
      </c>
      <c r="U9" s="86">
        <v>389.9</v>
      </c>
      <c r="V9" s="106">
        <v>359.00000000000011</v>
      </c>
      <c r="W9" s="106">
        <v>431.80000000000007</v>
      </c>
      <c r="X9" s="106">
        <v>281.59999999999991</v>
      </c>
      <c r="Y9" s="106">
        <v>474.7999999999999</v>
      </c>
      <c r="Z9" s="106">
        <v>386.8</v>
      </c>
      <c r="AA9" s="155">
        <f t="shared" si="0"/>
        <v>368.40999999999997</v>
      </c>
      <c r="AB9" s="156">
        <f t="shared" si="1"/>
        <v>381.96571428571497</v>
      </c>
      <c r="AC9" s="155">
        <f t="shared" si="2"/>
        <v>357.65</v>
      </c>
    </row>
    <row r="10" spans="1:29">
      <c r="A10" s="85" t="s">
        <v>68</v>
      </c>
      <c r="B10" s="86">
        <v>171.9</v>
      </c>
      <c r="C10" s="86">
        <v>216.1</v>
      </c>
      <c r="D10" s="86">
        <v>289</v>
      </c>
      <c r="E10" s="86">
        <v>77.099999999999994</v>
      </c>
      <c r="F10" s="86">
        <v>126.7</v>
      </c>
      <c r="G10" s="86">
        <v>152.4</v>
      </c>
      <c r="H10" s="86">
        <v>140.30000000000001</v>
      </c>
      <c r="I10" s="86">
        <v>266.8</v>
      </c>
      <c r="J10" s="86">
        <v>217</v>
      </c>
      <c r="K10" s="86">
        <v>196.2</v>
      </c>
      <c r="L10" s="86">
        <v>244.9</v>
      </c>
      <c r="M10" s="86">
        <v>177.8</v>
      </c>
      <c r="N10" s="86">
        <v>166.4</v>
      </c>
      <c r="O10" s="86">
        <v>243.1</v>
      </c>
      <c r="P10" s="86">
        <v>192.8</v>
      </c>
      <c r="Q10" s="86">
        <v>144.69999999999999</v>
      </c>
      <c r="R10" s="86">
        <v>156.69999999999999</v>
      </c>
      <c r="S10" s="86">
        <v>105.8</v>
      </c>
      <c r="T10" s="86">
        <v>152.1</v>
      </c>
      <c r="U10" s="86">
        <v>168.9</v>
      </c>
      <c r="V10" s="106">
        <v>116.20000000000002</v>
      </c>
      <c r="W10" s="106">
        <v>174.59999999999997</v>
      </c>
      <c r="X10" s="106">
        <v>214.39999999999995</v>
      </c>
      <c r="Y10" s="106">
        <v>95.199999999999989</v>
      </c>
      <c r="Z10" s="106">
        <v>207.5</v>
      </c>
      <c r="AA10" s="155">
        <f t="shared" si="0"/>
        <v>153.60999999999999</v>
      </c>
      <c r="AB10" s="156">
        <f t="shared" si="1"/>
        <v>152.32428571428591</v>
      </c>
      <c r="AC10" s="155">
        <f t="shared" si="2"/>
        <v>180.33500000000001</v>
      </c>
    </row>
    <row r="11" spans="1:29">
      <c r="A11" s="85" t="s">
        <v>88</v>
      </c>
      <c r="B11" s="86">
        <v>25.9</v>
      </c>
      <c r="C11" s="86">
        <v>29.4</v>
      </c>
      <c r="D11" s="86">
        <v>30.4</v>
      </c>
      <c r="E11" s="86">
        <v>66.7</v>
      </c>
      <c r="F11" s="86">
        <v>44.4</v>
      </c>
      <c r="G11" s="86">
        <v>41.1</v>
      </c>
      <c r="H11" s="86">
        <v>47</v>
      </c>
      <c r="I11" s="86">
        <v>53.1</v>
      </c>
      <c r="J11" s="86">
        <v>65.3</v>
      </c>
      <c r="K11" s="86">
        <v>92.5</v>
      </c>
      <c r="L11" s="86">
        <v>27.3</v>
      </c>
      <c r="M11" s="86">
        <v>44.1</v>
      </c>
      <c r="N11" s="86">
        <v>35.5</v>
      </c>
      <c r="O11" s="86">
        <v>40.6</v>
      </c>
      <c r="P11" s="86">
        <v>75.7</v>
      </c>
      <c r="Q11" s="86">
        <v>37.700000000000003</v>
      </c>
      <c r="R11" s="86">
        <v>48.5</v>
      </c>
      <c r="S11" s="86">
        <v>42.1</v>
      </c>
      <c r="T11" s="86">
        <v>52.6</v>
      </c>
      <c r="U11" s="86">
        <v>37.299999999999997</v>
      </c>
      <c r="V11" s="106">
        <v>54.699999999999996</v>
      </c>
      <c r="W11" s="106">
        <v>51.2</v>
      </c>
      <c r="X11" s="106">
        <v>45.2</v>
      </c>
      <c r="Y11" s="106">
        <v>41.000000000000007</v>
      </c>
      <c r="Z11" s="106">
        <v>53.6</v>
      </c>
      <c r="AA11" s="155">
        <f t="shared" si="0"/>
        <v>46.39</v>
      </c>
      <c r="AB11" s="156">
        <f t="shared" si="1"/>
        <v>46.348571428571518</v>
      </c>
      <c r="AC11" s="155">
        <f t="shared" si="2"/>
        <v>46.860000000000007</v>
      </c>
    </row>
    <row r="12" spans="1:29">
      <c r="A12" s="85" t="s">
        <v>89</v>
      </c>
      <c r="B12" s="86">
        <v>17.3</v>
      </c>
      <c r="C12" s="86">
        <v>18.899999999999999</v>
      </c>
      <c r="D12" s="86">
        <v>22.1</v>
      </c>
      <c r="E12" s="86">
        <v>6.9</v>
      </c>
      <c r="F12" s="86">
        <v>3.2</v>
      </c>
      <c r="G12" s="86">
        <v>18.600000000000001</v>
      </c>
      <c r="H12" s="86">
        <v>22.3</v>
      </c>
      <c r="I12" s="86">
        <v>4.7</v>
      </c>
      <c r="J12" s="86">
        <v>12.5</v>
      </c>
      <c r="K12" s="86">
        <v>21.3</v>
      </c>
      <c r="L12" s="86">
        <v>6.8</v>
      </c>
      <c r="M12" s="86">
        <v>6.5</v>
      </c>
      <c r="N12" s="86">
        <v>28</v>
      </c>
      <c r="O12" s="86">
        <v>7.6</v>
      </c>
      <c r="P12" s="86">
        <v>37.6</v>
      </c>
      <c r="Q12" s="86">
        <v>6.7</v>
      </c>
      <c r="R12" s="86">
        <v>0.8</v>
      </c>
      <c r="S12" s="86">
        <v>0</v>
      </c>
      <c r="T12" s="86">
        <v>15.1</v>
      </c>
      <c r="U12" s="86">
        <v>36.799999999999997</v>
      </c>
      <c r="V12" s="106">
        <v>19.3</v>
      </c>
      <c r="W12" s="106">
        <v>4.8</v>
      </c>
      <c r="X12" s="106">
        <v>3.2</v>
      </c>
      <c r="Y12" s="106">
        <v>3.6000000000000005</v>
      </c>
      <c r="Z12" s="106">
        <v>2.2000000000000002</v>
      </c>
      <c r="AA12" s="155">
        <f t="shared" si="0"/>
        <v>9.25</v>
      </c>
      <c r="AB12" s="156">
        <f t="shared" si="1"/>
        <v>8.3828571428571195</v>
      </c>
      <c r="AC12" s="155">
        <f t="shared" si="2"/>
        <v>14.685000000000002</v>
      </c>
    </row>
    <row r="13" spans="1:29">
      <c r="A13" s="85" t="s">
        <v>90</v>
      </c>
      <c r="B13" s="86">
        <v>4.3</v>
      </c>
      <c r="C13" s="86">
        <v>6.2</v>
      </c>
      <c r="D13" s="86">
        <v>49.4</v>
      </c>
      <c r="E13" s="86">
        <v>12.1</v>
      </c>
      <c r="F13" s="86">
        <v>28.8</v>
      </c>
      <c r="G13" s="86">
        <v>29.7</v>
      </c>
      <c r="H13" s="86">
        <v>2.2999999999999998</v>
      </c>
      <c r="I13" s="86">
        <v>11</v>
      </c>
      <c r="J13" s="86">
        <v>18.899999999999999</v>
      </c>
      <c r="K13" s="86">
        <v>55</v>
      </c>
      <c r="L13" s="86">
        <v>11.9</v>
      </c>
      <c r="M13" s="86">
        <v>27.5</v>
      </c>
      <c r="N13" s="86">
        <v>19.7</v>
      </c>
      <c r="O13" s="86">
        <v>36.200000000000003</v>
      </c>
      <c r="P13" s="86">
        <v>18.2</v>
      </c>
      <c r="Q13" s="86">
        <v>14.2</v>
      </c>
      <c r="R13" s="86">
        <v>6.9</v>
      </c>
      <c r="S13" s="86">
        <v>19.399999999999999</v>
      </c>
      <c r="T13" s="86">
        <v>32.700000000000003</v>
      </c>
      <c r="U13" s="86">
        <v>31.1</v>
      </c>
      <c r="V13" s="106">
        <v>29.500000000000004</v>
      </c>
      <c r="W13" s="106">
        <v>2.1</v>
      </c>
      <c r="X13" s="106">
        <v>34.5</v>
      </c>
      <c r="Y13" s="106">
        <v>6.6000000000000005</v>
      </c>
      <c r="Z13" s="106">
        <v>16.900000000000002</v>
      </c>
      <c r="AA13" s="155">
        <f t="shared" si="0"/>
        <v>19.39</v>
      </c>
      <c r="AB13" s="156">
        <f t="shared" si="1"/>
        <v>19.781428571428535</v>
      </c>
      <c r="AC13" s="155">
        <f t="shared" si="2"/>
        <v>21.774999999999999</v>
      </c>
    </row>
    <row r="14" spans="1:29">
      <c r="A14" s="85" t="s">
        <v>91</v>
      </c>
      <c r="B14" s="86">
        <v>143.6</v>
      </c>
      <c r="C14" s="86">
        <v>102.2</v>
      </c>
      <c r="D14" s="86">
        <v>115.2</v>
      </c>
      <c r="E14" s="86">
        <v>63</v>
      </c>
      <c r="F14" s="86">
        <v>88.9</v>
      </c>
      <c r="G14" s="86">
        <v>134</v>
      </c>
      <c r="H14" s="86">
        <v>118.8</v>
      </c>
      <c r="I14" s="86">
        <v>50.2</v>
      </c>
      <c r="J14" s="86">
        <v>104.1</v>
      </c>
      <c r="K14" s="86">
        <v>71.3</v>
      </c>
      <c r="L14" s="86">
        <v>63.4</v>
      </c>
      <c r="M14" s="86">
        <v>130.30000000000001</v>
      </c>
      <c r="N14" s="86">
        <v>74.7</v>
      </c>
      <c r="O14" s="86">
        <v>93.2</v>
      </c>
      <c r="P14" s="86">
        <v>88.8</v>
      </c>
      <c r="Q14" s="86">
        <v>122.7</v>
      </c>
      <c r="R14" s="86">
        <v>98.4</v>
      </c>
      <c r="S14" s="86">
        <v>125.4</v>
      </c>
      <c r="T14" s="86">
        <v>128.1</v>
      </c>
      <c r="U14" s="86">
        <v>117.7</v>
      </c>
      <c r="V14" s="106">
        <v>58.20000000000001</v>
      </c>
      <c r="W14" s="106">
        <v>68.600000000000009</v>
      </c>
      <c r="X14" s="106">
        <v>81.100000000000009</v>
      </c>
      <c r="Y14" s="106">
        <v>77.199999999999989</v>
      </c>
      <c r="Z14" s="106">
        <v>89.600000000000009</v>
      </c>
      <c r="AA14" s="155">
        <f t="shared" si="0"/>
        <v>96.700000000000017</v>
      </c>
      <c r="AB14" s="156">
        <f t="shared" si="1"/>
        <v>88.242857142857019</v>
      </c>
      <c r="AC14" s="155">
        <f t="shared" si="2"/>
        <v>101.70000000000002</v>
      </c>
    </row>
    <row r="15" spans="1:29">
      <c r="A15" s="85" t="s">
        <v>92</v>
      </c>
      <c r="B15" s="86">
        <v>245.5</v>
      </c>
      <c r="C15" s="86">
        <v>301.39999999999998</v>
      </c>
      <c r="D15" s="86">
        <v>288.89999999999998</v>
      </c>
      <c r="E15" s="86">
        <v>257.60000000000002</v>
      </c>
      <c r="F15" s="86">
        <v>319</v>
      </c>
      <c r="G15" s="86">
        <v>251.6</v>
      </c>
      <c r="H15" s="86">
        <v>276.7</v>
      </c>
      <c r="I15" s="86">
        <v>349.3</v>
      </c>
      <c r="J15" s="86">
        <v>331.9</v>
      </c>
      <c r="K15" s="86">
        <v>287.5</v>
      </c>
      <c r="L15" s="86">
        <v>259.89999999999998</v>
      </c>
      <c r="M15" s="86">
        <v>335.1</v>
      </c>
      <c r="N15" s="86">
        <v>184.7</v>
      </c>
      <c r="O15" s="86">
        <v>325.7</v>
      </c>
      <c r="P15" s="86">
        <v>329.1</v>
      </c>
      <c r="Q15" s="86">
        <v>284.60000000000002</v>
      </c>
      <c r="R15" s="86">
        <v>279.89999999999998</v>
      </c>
      <c r="S15" s="86">
        <v>279.2</v>
      </c>
      <c r="T15" s="86">
        <v>262.10000000000002</v>
      </c>
      <c r="U15" s="86">
        <v>257.10000000000002</v>
      </c>
      <c r="V15" s="106">
        <v>290.09999999999991</v>
      </c>
      <c r="W15" s="106">
        <v>246.8</v>
      </c>
      <c r="X15" s="106">
        <v>208.89999999999998</v>
      </c>
      <c r="Y15" s="106">
        <v>317.49999999999994</v>
      </c>
      <c r="Z15" s="106">
        <v>294.10000000000002</v>
      </c>
      <c r="AA15" s="155">
        <f t="shared" si="0"/>
        <v>272.02999999999997</v>
      </c>
      <c r="AB15" s="156">
        <f t="shared" si="1"/>
        <v>268.81714285714315</v>
      </c>
      <c r="AC15" s="155">
        <f t="shared" si="2"/>
        <v>285.34000000000003</v>
      </c>
    </row>
    <row r="16" spans="1:29">
      <c r="A16" s="85" t="s">
        <v>93</v>
      </c>
      <c r="B16" s="86">
        <v>539.20000000000005</v>
      </c>
      <c r="C16" s="86">
        <v>548.1</v>
      </c>
      <c r="D16" s="86">
        <v>471.4</v>
      </c>
      <c r="E16" s="86">
        <v>440.1</v>
      </c>
      <c r="F16" s="86">
        <v>405.1</v>
      </c>
      <c r="G16" s="86">
        <v>470.9</v>
      </c>
      <c r="H16" s="86">
        <v>370.8</v>
      </c>
      <c r="I16" s="86">
        <v>486.4</v>
      </c>
      <c r="J16" s="86">
        <v>434.4</v>
      </c>
      <c r="K16" s="86">
        <v>432.9</v>
      </c>
      <c r="L16" s="86">
        <v>433.1</v>
      </c>
      <c r="M16" s="86">
        <v>415.9</v>
      </c>
      <c r="N16" s="86">
        <v>511.8</v>
      </c>
      <c r="O16" s="86">
        <v>499.7</v>
      </c>
      <c r="P16" s="86">
        <v>396.5</v>
      </c>
      <c r="Q16" s="86">
        <v>424.1</v>
      </c>
      <c r="R16" s="86">
        <v>382.4</v>
      </c>
      <c r="S16" s="86">
        <v>483.6</v>
      </c>
      <c r="T16" s="86">
        <v>517.70000000000005</v>
      </c>
      <c r="U16" s="106">
        <v>529.9</v>
      </c>
      <c r="V16" s="106">
        <v>391.1</v>
      </c>
      <c r="W16" s="106">
        <v>388.20000000000005</v>
      </c>
      <c r="X16" s="106">
        <v>480.00000000000006</v>
      </c>
      <c r="Y16" s="106">
        <v>538.6</v>
      </c>
      <c r="Z16" s="106">
        <v>556.9</v>
      </c>
      <c r="AA16" s="155">
        <f t="shared" si="0"/>
        <v>469.25</v>
      </c>
      <c r="AB16" s="156">
        <f t="shared" si="1"/>
        <v>489.02142857142826</v>
      </c>
      <c r="AC16" s="155">
        <f t="shared" si="2"/>
        <v>459.7</v>
      </c>
    </row>
    <row r="17" spans="1:29">
      <c r="A17" s="85" t="s">
        <v>94</v>
      </c>
      <c r="B17" s="86">
        <v>741.3</v>
      </c>
      <c r="C17" s="86">
        <v>596.5</v>
      </c>
      <c r="D17" s="86">
        <v>630.70000000000005</v>
      </c>
      <c r="E17" s="86">
        <v>572.1</v>
      </c>
      <c r="F17" s="86">
        <v>623.70000000000005</v>
      </c>
      <c r="G17" s="86">
        <v>826.5</v>
      </c>
      <c r="H17" s="86">
        <v>563.29999999999995</v>
      </c>
      <c r="I17" s="86">
        <v>675.6</v>
      </c>
      <c r="J17" s="86">
        <v>610</v>
      </c>
      <c r="K17" s="86">
        <v>700.1</v>
      </c>
      <c r="L17" s="86">
        <v>721.6</v>
      </c>
      <c r="M17" s="86">
        <v>545.20000000000005</v>
      </c>
      <c r="N17" s="86">
        <v>686.6</v>
      </c>
      <c r="O17" s="86">
        <v>694</v>
      </c>
      <c r="P17" s="86">
        <v>669.5</v>
      </c>
      <c r="Q17" s="86">
        <v>719.4</v>
      </c>
      <c r="R17" s="86">
        <v>574.79999999999995</v>
      </c>
      <c r="S17" s="86">
        <v>565.5</v>
      </c>
      <c r="T17" s="86">
        <v>727.3</v>
      </c>
      <c r="U17" s="106">
        <v>597.6</v>
      </c>
      <c r="V17" s="106">
        <v>467.2</v>
      </c>
      <c r="W17" s="106">
        <v>647.79999999999984</v>
      </c>
      <c r="X17" s="106">
        <v>755.7</v>
      </c>
      <c r="Y17" s="106">
        <v>600.79999999999995</v>
      </c>
      <c r="Z17" s="106">
        <v>623.1</v>
      </c>
      <c r="AA17" s="155">
        <f t="shared" si="0"/>
        <v>627.91999999999996</v>
      </c>
      <c r="AB17" s="156">
        <f t="shared" si="1"/>
        <v>613.93285714285685</v>
      </c>
      <c r="AC17" s="155">
        <f t="shared" si="2"/>
        <v>652.06499999999994</v>
      </c>
    </row>
    <row r="18" spans="1:29">
      <c r="A18" s="85"/>
      <c r="B18" s="85"/>
      <c r="C18" s="85"/>
      <c r="D18" s="85"/>
      <c r="E18" s="85"/>
      <c r="F18" s="85"/>
      <c r="Q18" s="85"/>
      <c r="R18" s="85"/>
      <c r="S18" s="85"/>
      <c r="T18" s="85"/>
      <c r="U18" s="85"/>
      <c r="V18" s="201"/>
      <c r="W18" s="201"/>
      <c r="X18" s="201"/>
      <c r="Y18" s="201"/>
      <c r="Z18" s="85"/>
    </row>
    <row r="19" spans="1:29">
      <c r="A19" s="85" t="s">
        <v>10</v>
      </c>
      <c r="B19" s="86">
        <f>SUM(B6:B17)</f>
        <v>4249.9000000000005</v>
      </c>
      <c r="C19" s="86">
        <f t="shared" ref="C19:T19" si="3">SUM(C6:C17)</f>
        <v>4413.1000000000004</v>
      </c>
      <c r="D19" s="86">
        <f t="shared" si="3"/>
        <v>4301</v>
      </c>
      <c r="E19" s="86">
        <f t="shared" si="3"/>
        <v>3512.5999999999995</v>
      </c>
      <c r="F19" s="86">
        <f t="shared" si="3"/>
        <v>3932.8999999999996</v>
      </c>
      <c r="G19" s="86">
        <f t="shared" si="3"/>
        <v>4146.7999999999993</v>
      </c>
      <c r="H19" s="86">
        <f t="shared" si="3"/>
        <v>3820.0000000000009</v>
      </c>
      <c r="I19" s="86">
        <f t="shared" si="3"/>
        <v>4052.2</v>
      </c>
      <c r="J19" s="86">
        <f t="shared" si="3"/>
        <v>4454.5</v>
      </c>
      <c r="K19" s="86">
        <f t="shared" si="3"/>
        <v>4330.2000000000007</v>
      </c>
      <c r="L19" s="86">
        <f t="shared" si="3"/>
        <v>4302.2000000000007</v>
      </c>
      <c r="M19" s="86">
        <f t="shared" si="3"/>
        <v>3809.1000000000004</v>
      </c>
      <c r="N19" s="86">
        <f t="shared" si="3"/>
        <v>4175.8</v>
      </c>
      <c r="O19" s="86">
        <f t="shared" si="3"/>
        <v>4252.0999999999985</v>
      </c>
      <c r="P19" s="86">
        <f t="shared" si="3"/>
        <v>4253.7</v>
      </c>
      <c r="Q19" s="86">
        <f t="shared" si="3"/>
        <v>3851.3999999999992</v>
      </c>
      <c r="R19" s="86">
        <f t="shared" si="3"/>
        <v>4031.6000000000004</v>
      </c>
      <c r="S19" s="86">
        <f t="shared" si="3"/>
        <v>3586.7</v>
      </c>
      <c r="T19" s="86">
        <f t="shared" si="3"/>
        <v>4263.5999999999995</v>
      </c>
      <c r="U19" s="86">
        <f>SUM(U6:U17)</f>
        <v>4620.4000000000005</v>
      </c>
      <c r="V19" s="106">
        <f t="shared" ref="V19:Z19" si="4">SUM(V6:V17)</f>
        <v>4211.7</v>
      </c>
      <c r="W19" s="106">
        <f t="shared" si="4"/>
        <v>3853.7000000000003</v>
      </c>
      <c r="X19" s="106">
        <f t="shared" si="4"/>
        <v>3892.2</v>
      </c>
      <c r="Y19" s="106">
        <f t="shared" si="4"/>
        <v>4132.3999999999996</v>
      </c>
      <c r="Z19" s="86">
        <f t="shared" si="4"/>
        <v>4329.1000000000004</v>
      </c>
    </row>
    <row r="20" spans="1:29">
      <c r="A20" s="80"/>
      <c r="B20" s="80"/>
      <c r="C20" s="80"/>
      <c r="D20" s="80"/>
      <c r="E20" s="81"/>
      <c r="F20" s="81"/>
      <c r="U20" s="158"/>
      <c r="V20" s="202"/>
      <c r="W20" s="202"/>
      <c r="X20" s="202"/>
      <c r="Y20" s="202"/>
      <c r="Z20" s="168"/>
    </row>
    <row r="21" spans="1:29">
      <c r="A21" s="80" t="s">
        <v>95</v>
      </c>
      <c r="B21" s="80"/>
      <c r="C21" s="80"/>
      <c r="D21" s="80"/>
      <c r="E21" s="81"/>
      <c r="F21" s="81"/>
    </row>
    <row r="22" spans="1:29">
      <c r="A22" s="82"/>
      <c r="B22" s="82"/>
      <c r="C22" s="82"/>
      <c r="D22" s="82"/>
      <c r="E22" s="83"/>
      <c r="F22" s="83"/>
    </row>
    <row r="23" spans="1:29">
      <c r="A23" s="84" t="s">
        <v>81</v>
      </c>
      <c r="B23" s="84">
        <v>1995</v>
      </c>
      <c r="C23" s="84">
        <v>1996</v>
      </c>
      <c r="D23" s="84">
        <v>1997</v>
      </c>
      <c r="E23" s="84">
        <v>1998</v>
      </c>
      <c r="F23" s="84">
        <v>1999</v>
      </c>
      <c r="G23" s="84">
        <v>2000</v>
      </c>
      <c r="H23" s="84">
        <v>2001</v>
      </c>
      <c r="I23" s="84">
        <v>2002</v>
      </c>
      <c r="J23" s="84">
        <v>2003</v>
      </c>
      <c r="K23" s="84">
        <v>2004</v>
      </c>
      <c r="L23" s="84">
        <v>2005</v>
      </c>
      <c r="M23" s="84">
        <v>2006</v>
      </c>
      <c r="N23" s="84">
        <v>2007</v>
      </c>
      <c r="O23" s="84">
        <v>2008</v>
      </c>
      <c r="P23" s="84">
        <v>2009</v>
      </c>
      <c r="Q23" s="84">
        <v>2010</v>
      </c>
      <c r="R23" s="84">
        <v>2011</v>
      </c>
      <c r="S23" s="84">
        <v>2012</v>
      </c>
      <c r="T23" s="84">
        <v>2013</v>
      </c>
      <c r="U23" s="84">
        <v>2014</v>
      </c>
      <c r="V23" s="200">
        <v>2015</v>
      </c>
      <c r="W23" s="200">
        <v>2016</v>
      </c>
      <c r="X23" s="200">
        <v>2017</v>
      </c>
      <c r="Y23" s="200">
        <v>2018</v>
      </c>
      <c r="Z23" s="84">
        <v>2019</v>
      </c>
      <c r="AA23" s="154" t="s">
        <v>82</v>
      </c>
      <c r="AB23" s="154" t="s">
        <v>83</v>
      </c>
      <c r="AC23" s="154" t="s">
        <v>97</v>
      </c>
    </row>
    <row r="24" spans="1:29">
      <c r="A24" s="85" t="s">
        <v>84</v>
      </c>
      <c r="B24" s="86">
        <v>0</v>
      </c>
      <c r="C24" s="86">
        <v>0</v>
      </c>
      <c r="D24" s="86">
        <v>0</v>
      </c>
      <c r="E24" s="86">
        <v>0</v>
      </c>
      <c r="F24" s="86">
        <v>0</v>
      </c>
      <c r="G24" s="86">
        <v>0</v>
      </c>
      <c r="H24" s="86">
        <v>0</v>
      </c>
      <c r="I24" s="86">
        <v>0</v>
      </c>
      <c r="J24" s="86">
        <v>0</v>
      </c>
      <c r="K24" s="86">
        <v>0</v>
      </c>
      <c r="L24" s="86">
        <v>0</v>
      </c>
      <c r="M24" s="86">
        <v>0</v>
      </c>
      <c r="N24" s="86">
        <v>0</v>
      </c>
      <c r="O24" s="86">
        <v>0</v>
      </c>
      <c r="P24" s="86">
        <v>0</v>
      </c>
      <c r="Q24" s="86">
        <v>0</v>
      </c>
      <c r="R24" s="86">
        <v>0</v>
      </c>
      <c r="S24" s="86">
        <v>0</v>
      </c>
      <c r="T24" s="86">
        <v>0</v>
      </c>
      <c r="U24" s="86">
        <v>0</v>
      </c>
      <c r="V24" s="106">
        <v>0</v>
      </c>
      <c r="W24" s="106">
        <v>0</v>
      </c>
      <c r="X24" s="106">
        <v>0</v>
      </c>
      <c r="Y24" s="106">
        <v>0</v>
      </c>
      <c r="Z24" s="106">
        <v>0</v>
      </c>
      <c r="AA24" s="155">
        <f>AVERAGE(Q24:Z24)</f>
        <v>0</v>
      </c>
      <c r="AB24" s="156">
        <f>TREND(G24:Z24,$G$23:$Z$23,2019)</f>
        <v>0</v>
      </c>
      <c r="AC24" s="155">
        <f>AVERAGE(G24:Z24)</f>
        <v>0</v>
      </c>
    </row>
    <row r="25" spans="1:29">
      <c r="A25" s="85" t="s">
        <v>85</v>
      </c>
      <c r="B25" s="86">
        <v>0</v>
      </c>
      <c r="C25" s="86">
        <v>0</v>
      </c>
      <c r="D25" s="86">
        <v>0</v>
      </c>
      <c r="E25" s="86">
        <v>0</v>
      </c>
      <c r="F25" s="86">
        <v>0</v>
      </c>
      <c r="G25" s="86">
        <v>0</v>
      </c>
      <c r="H25" s="86">
        <v>0</v>
      </c>
      <c r="I25" s="86">
        <v>0</v>
      </c>
      <c r="J25" s="86">
        <v>0</v>
      </c>
      <c r="K25" s="86">
        <v>0</v>
      </c>
      <c r="L25" s="86">
        <v>0</v>
      </c>
      <c r="M25" s="86">
        <v>0</v>
      </c>
      <c r="N25" s="86">
        <v>0</v>
      </c>
      <c r="O25" s="86">
        <v>0</v>
      </c>
      <c r="P25" s="86">
        <v>0</v>
      </c>
      <c r="Q25" s="86">
        <v>0</v>
      </c>
      <c r="R25" s="86">
        <v>0</v>
      </c>
      <c r="S25" s="86">
        <v>0</v>
      </c>
      <c r="T25" s="86">
        <v>0</v>
      </c>
      <c r="U25" s="86">
        <v>0</v>
      </c>
      <c r="V25" s="106">
        <v>0</v>
      </c>
      <c r="W25" s="106">
        <v>0</v>
      </c>
      <c r="X25" s="106">
        <v>0</v>
      </c>
      <c r="Y25" s="106">
        <v>0</v>
      </c>
      <c r="Z25" s="106">
        <v>0</v>
      </c>
      <c r="AA25" s="155">
        <f t="shared" ref="AA25:AA35" si="5">AVERAGE(Q25:Z25)</f>
        <v>0</v>
      </c>
      <c r="AB25" s="156">
        <f t="shared" ref="AB25:AB35" si="6">TREND(G25:Z25,$G$23:$Z$23,2019)</f>
        <v>0</v>
      </c>
      <c r="AC25" s="155">
        <f t="shared" ref="AC25:AC35" si="7">AVERAGE(G25:Z25)</f>
        <v>0</v>
      </c>
    </row>
    <row r="26" spans="1:29">
      <c r="A26" s="85" t="s">
        <v>86</v>
      </c>
      <c r="B26" s="86">
        <v>0</v>
      </c>
      <c r="C26" s="86">
        <v>0</v>
      </c>
      <c r="D26" s="86">
        <v>0</v>
      </c>
      <c r="E26" s="86">
        <v>0</v>
      </c>
      <c r="F26" s="86">
        <v>0</v>
      </c>
      <c r="G26" s="86">
        <v>0</v>
      </c>
      <c r="H26" s="86">
        <v>0</v>
      </c>
      <c r="I26" s="86">
        <v>0</v>
      </c>
      <c r="J26" s="86">
        <v>0</v>
      </c>
      <c r="K26" s="86">
        <v>0</v>
      </c>
      <c r="L26" s="86">
        <v>0</v>
      </c>
      <c r="M26" s="86">
        <v>0</v>
      </c>
      <c r="N26" s="86">
        <v>0</v>
      </c>
      <c r="O26" s="86">
        <v>0</v>
      </c>
      <c r="P26" s="86">
        <v>0</v>
      </c>
      <c r="Q26" s="86">
        <v>0</v>
      </c>
      <c r="R26" s="86">
        <v>0</v>
      </c>
      <c r="S26" s="86">
        <v>0</v>
      </c>
      <c r="T26" s="86">
        <v>0</v>
      </c>
      <c r="U26" s="86">
        <v>0</v>
      </c>
      <c r="V26" s="106">
        <v>0</v>
      </c>
      <c r="W26" s="106">
        <v>0</v>
      </c>
      <c r="X26" s="106">
        <v>0</v>
      </c>
      <c r="Y26" s="106">
        <v>0</v>
      </c>
      <c r="Z26" s="106">
        <v>0</v>
      </c>
      <c r="AA26" s="155">
        <f t="shared" si="5"/>
        <v>0</v>
      </c>
      <c r="AB26" s="156">
        <f t="shared" si="6"/>
        <v>0</v>
      </c>
      <c r="AC26" s="155">
        <f t="shared" si="7"/>
        <v>0</v>
      </c>
    </row>
    <row r="27" spans="1:29">
      <c r="A27" s="85" t="s">
        <v>87</v>
      </c>
      <c r="B27" s="86">
        <v>0</v>
      </c>
      <c r="C27" s="86">
        <v>0</v>
      </c>
      <c r="D27" s="86">
        <v>0</v>
      </c>
      <c r="E27" s="86">
        <v>0</v>
      </c>
      <c r="F27" s="86">
        <v>0</v>
      </c>
      <c r="G27" s="86">
        <v>0</v>
      </c>
      <c r="H27" s="86">
        <v>0</v>
      </c>
      <c r="I27" s="86">
        <v>6.6</v>
      </c>
      <c r="J27" s="86">
        <v>0.7</v>
      </c>
      <c r="K27" s="86">
        <v>0</v>
      </c>
      <c r="L27" s="86">
        <v>0</v>
      </c>
      <c r="M27" s="86">
        <v>0</v>
      </c>
      <c r="N27" s="86">
        <v>0</v>
      </c>
      <c r="O27" s="86">
        <v>0</v>
      </c>
      <c r="P27" s="86">
        <v>3.2</v>
      </c>
      <c r="Q27" s="86">
        <v>0</v>
      </c>
      <c r="R27" s="86">
        <v>0</v>
      </c>
      <c r="S27" s="86">
        <v>0</v>
      </c>
      <c r="T27" s="86">
        <v>0</v>
      </c>
      <c r="U27" s="86">
        <v>0</v>
      </c>
      <c r="V27" s="106">
        <v>0</v>
      </c>
      <c r="W27" s="106">
        <v>0</v>
      </c>
      <c r="X27" s="106">
        <v>0</v>
      </c>
      <c r="Y27" s="106">
        <v>0</v>
      </c>
      <c r="Z27" s="106">
        <v>0</v>
      </c>
      <c r="AA27" s="155">
        <f t="shared" si="5"/>
        <v>0</v>
      </c>
      <c r="AB27" s="156">
        <f t="shared" si="6"/>
        <v>-0.27000000000001023</v>
      </c>
      <c r="AC27" s="155">
        <f t="shared" si="7"/>
        <v>0.52500000000000002</v>
      </c>
    </row>
    <row r="28" spans="1:29">
      <c r="A28" s="85" t="s">
        <v>68</v>
      </c>
      <c r="B28" s="86">
        <v>1.7</v>
      </c>
      <c r="C28" s="86">
        <v>10</v>
      </c>
      <c r="D28" s="86">
        <v>0</v>
      </c>
      <c r="E28" s="86">
        <v>16.8</v>
      </c>
      <c r="F28" s="86">
        <v>10.5</v>
      </c>
      <c r="G28" s="86">
        <v>18.7</v>
      </c>
      <c r="H28" s="86">
        <v>7.7</v>
      </c>
      <c r="I28" s="86">
        <v>5.3</v>
      </c>
      <c r="J28" s="86">
        <v>0</v>
      </c>
      <c r="K28" s="86">
        <v>6.7</v>
      </c>
      <c r="L28" s="86">
        <v>0</v>
      </c>
      <c r="M28" s="86">
        <v>17.7</v>
      </c>
      <c r="N28" s="86">
        <v>11.2</v>
      </c>
      <c r="O28" s="86">
        <v>0.7</v>
      </c>
      <c r="P28" s="86">
        <v>2.2999999999999998</v>
      </c>
      <c r="Q28" s="86">
        <v>21</v>
      </c>
      <c r="R28" s="86">
        <v>13.2</v>
      </c>
      <c r="S28" s="86">
        <v>18.2</v>
      </c>
      <c r="T28" s="86">
        <v>19.600000000000001</v>
      </c>
      <c r="U28" s="86">
        <v>9</v>
      </c>
      <c r="V28" s="106">
        <v>29.8</v>
      </c>
      <c r="W28" s="106">
        <v>18.399999999999999</v>
      </c>
      <c r="X28" s="106">
        <v>2.7</v>
      </c>
      <c r="Y28" s="106">
        <v>32.5</v>
      </c>
      <c r="Z28" s="106">
        <v>0</v>
      </c>
      <c r="AA28" s="155">
        <f t="shared" si="5"/>
        <v>16.439999999999998</v>
      </c>
      <c r="AB28" s="156">
        <f t="shared" si="6"/>
        <v>16.77857142857124</v>
      </c>
      <c r="AC28" s="155">
        <f t="shared" si="7"/>
        <v>11.735000000000001</v>
      </c>
    </row>
    <row r="29" spans="1:29">
      <c r="A29" s="85" t="s">
        <v>88</v>
      </c>
      <c r="B29" s="86">
        <v>70.8</v>
      </c>
      <c r="C29" s="86">
        <v>38.6</v>
      </c>
      <c r="D29" s="86">
        <v>50.4</v>
      </c>
      <c r="E29" s="86">
        <v>63.7</v>
      </c>
      <c r="F29" s="86">
        <v>76.5</v>
      </c>
      <c r="G29" s="86">
        <v>35.4</v>
      </c>
      <c r="H29" s="86">
        <v>62.4</v>
      </c>
      <c r="I29" s="86">
        <v>54.5</v>
      </c>
      <c r="J29" s="86">
        <v>25.5</v>
      </c>
      <c r="K29" s="86">
        <v>16.3</v>
      </c>
      <c r="L29" s="86">
        <v>104.8</v>
      </c>
      <c r="M29" s="86">
        <v>32.200000000000003</v>
      </c>
      <c r="N29" s="86">
        <v>51.2</v>
      </c>
      <c r="O29" s="86">
        <v>53</v>
      </c>
      <c r="P29" s="86">
        <v>26.2</v>
      </c>
      <c r="Q29" s="86">
        <v>32.6</v>
      </c>
      <c r="R29" s="86">
        <v>21.6</v>
      </c>
      <c r="S29" s="86">
        <v>61.2</v>
      </c>
      <c r="T29" s="86">
        <v>31.3</v>
      </c>
      <c r="U29" s="86">
        <v>44.3</v>
      </c>
      <c r="V29" s="106">
        <v>15.5</v>
      </c>
      <c r="W29" s="106">
        <v>34.300000000000004</v>
      </c>
      <c r="X29" s="106">
        <v>43</v>
      </c>
      <c r="Y29" s="106">
        <v>41.5</v>
      </c>
      <c r="Z29" s="106">
        <v>15.700000000000001</v>
      </c>
      <c r="AA29" s="155">
        <f t="shared" si="5"/>
        <v>34.1</v>
      </c>
      <c r="AB29" s="156">
        <f t="shared" si="6"/>
        <v>30.231428571428751</v>
      </c>
      <c r="AC29" s="155">
        <f t="shared" si="7"/>
        <v>40.125</v>
      </c>
    </row>
    <row r="30" spans="1:29">
      <c r="A30" s="85" t="s">
        <v>89</v>
      </c>
      <c r="B30" s="86">
        <v>105.9</v>
      </c>
      <c r="C30" s="86">
        <v>41.9</v>
      </c>
      <c r="D30" s="86">
        <v>59.8</v>
      </c>
      <c r="E30" s="86">
        <v>64.8</v>
      </c>
      <c r="F30" s="86">
        <v>138.9</v>
      </c>
      <c r="G30" s="86">
        <v>44.8</v>
      </c>
      <c r="H30" s="86">
        <v>65.7</v>
      </c>
      <c r="I30" s="86">
        <v>129</v>
      </c>
      <c r="J30" s="86">
        <v>50.1</v>
      </c>
      <c r="K30" s="86">
        <v>49.3</v>
      </c>
      <c r="L30" s="86">
        <v>105.4</v>
      </c>
      <c r="M30" s="86">
        <v>117.2</v>
      </c>
      <c r="N30" s="86">
        <v>53.8</v>
      </c>
      <c r="O30" s="86">
        <v>75.8</v>
      </c>
      <c r="P30" s="86">
        <v>14.5</v>
      </c>
      <c r="Q30" s="86">
        <v>106.6</v>
      </c>
      <c r="R30" s="86">
        <v>129.69999999999999</v>
      </c>
      <c r="S30" s="86">
        <v>128.19999999999999</v>
      </c>
      <c r="T30" s="86">
        <v>86.5</v>
      </c>
      <c r="U30" s="86">
        <v>38.799999999999997</v>
      </c>
      <c r="V30" s="106">
        <v>57.70000000000001</v>
      </c>
      <c r="W30" s="106">
        <v>103</v>
      </c>
      <c r="X30" s="106">
        <v>58.500000000000007</v>
      </c>
      <c r="Y30" s="106">
        <v>89.300000000000011</v>
      </c>
      <c r="Z30" s="106">
        <v>100.10000000000001</v>
      </c>
      <c r="AA30" s="155">
        <f t="shared" si="5"/>
        <v>89.84</v>
      </c>
      <c r="AB30" s="156">
        <f t="shared" si="6"/>
        <v>87.242857142857247</v>
      </c>
      <c r="AC30" s="155">
        <f t="shared" si="7"/>
        <v>80.2</v>
      </c>
    </row>
    <row r="31" spans="1:29">
      <c r="A31" s="85" t="s">
        <v>90</v>
      </c>
      <c r="B31" s="86">
        <v>101.9</v>
      </c>
      <c r="C31" s="86">
        <v>55.2</v>
      </c>
      <c r="D31" s="86">
        <v>21.9</v>
      </c>
      <c r="E31" s="86">
        <v>83.1</v>
      </c>
      <c r="F31" s="86">
        <v>30.9</v>
      </c>
      <c r="G31" s="86">
        <v>46.3</v>
      </c>
      <c r="H31" s="86">
        <v>94.2</v>
      </c>
      <c r="I31" s="86">
        <v>72.3</v>
      </c>
      <c r="J31" s="86">
        <v>72.400000000000006</v>
      </c>
      <c r="K31" s="86">
        <v>30.6</v>
      </c>
      <c r="L31" s="86">
        <v>67.900000000000006</v>
      </c>
      <c r="M31" s="86">
        <v>45.5</v>
      </c>
      <c r="N31" s="86">
        <v>65.099999999999994</v>
      </c>
      <c r="O31" s="86">
        <v>29.5</v>
      </c>
      <c r="P31" s="86">
        <v>57.3</v>
      </c>
      <c r="Q31" s="86">
        <v>85.3</v>
      </c>
      <c r="R31" s="86">
        <v>60.1</v>
      </c>
      <c r="S31" s="86">
        <v>59.1</v>
      </c>
      <c r="T31" s="86">
        <v>42.1</v>
      </c>
      <c r="U31" s="86">
        <v>28.5</v>
      </c>
      <c r="V31" s="106">
        <v>47.899999999999991</v>
      </c>
      <c r="W31" s="106">
        <v>105</v>
      </c>
      <c r="X31" s="106">
        <v>28.6</v>
      </c>
      <c r="Y31" s="106">
        <v>93.90000000000002</v>
      </c>
      <c r="Z31" s="106">
        <v>48.3</v>
      </c>
      <c r="AA31" s="155">
        <f t="shared" si="5"/>
        <v>59.879999999999995</v>
      </c>
      <c r="AB31" s="156">
        <f t="shared" si="6"/>
        <v>56.872857142857129</v>
      </c>
      <c r="AC31" s="155">
        <f t="shared" si="7"/>
        <v>58.995000000000005</v>
      </c>
    </row>
    <row r="32" spans="1:29">
      <c r="A32" s="85" t="s">
        <v>91</v>
      </c>
      <c r="B32" s="86">
        <v>10.8</v>
      </c>
      <c r="C32" s="86">
        <v>12.6</v>
      </c>
      <c r="D32" s="86">
        <v>5.4</v>
      </c>
      <c r="E32" s="86">
        <v>26</v>
      </c>
      <c r="F32" s="86">
        <v>27.7</v>
      </c>
      <c r="G32" s="86">
        <v>23.8</v>
      </c>
      <c r="H32" s="86">
        <v>19.2</v>
      </c>
      <c r="I32" s="86">
        <v>47</v>
      </c>
      <c r="J32" s="86">
        <v>6</v>
      </c>
      <c r="K32" s="86">
        <v>13.7</v>
      </c>
      <c r="L32" s="86">
        <v>13.7</v>
      </c>
      <c r="M32" s="86">
        <v>2.2999999999999998</v>
      </c>
      <c r="N32" s="86">
        <v>28</v>
      </c>
      <c r="O32" s="86">
        <v>12</v>
      </c>
      <c r="P32" s="86">
        <v>5.5</v>
      </c>
      <c r="Q32" s="86">
        <v>23</v>
      </c>
      <c r="R32" s="86">
        <v>19.7</v>
      </c>
      <c r="S32" s="86">
        <v>16.399999999999999</v>
      </c>
      <c r="T32" s="86">
        <v>20.5</v>
      </c>
      <c r="U32" s="86">
        <v>11.4</v>
      </c>
      <c r="V32" s="106">
        <v>45.300000000000004</v>
      </c>
      <c r="W32" s="106">
        <v>26.6</v>
      </c>
      <c r="X32" s="106">
        <v>36.299999999999997</v>
      </c>
      <c r="Y32" s="106">
        <v>48.800000000000004</v>
      </c>
      <c r="Z32" s="106">
        <v>13.8</v>
      </c>
      <c r="AA32" s="155">
        <f t="shared" si="5"/>
        <v>26.18</v>
      </c>
      <c r="AB32" s="156">
        <f t="shared" si="6"/>
        <v>27.774285714285952</v>
      </c>
      <c r="AC32" s="155">
        <f t="shared" si="7"/>
        <v>21.650000000000002</v>
      </c>
    </row>
    <row r="33" spans="1:29">
      <c r="A33" s="85" t="s">
        <v>92</v>
      </c>
      <c r="B33" s="86">
        <v>0</v>
      </c>
      <c r="C33" s="86">
        <v>0</v>
      </c>
      <c r="D33" s="86">
        <v>1.6</v>
      </c>
      <c r="E33" s="86">
        <v>0</v>
      </c>
      <c r="F33" s="86">
        <v>0</v>
      </c>
      <c r="G33" s="86">
        <v>0</v>
      </c>
      <c r="H33" s="86">
        <v>0</v>
      </c>
      <c r="I33" s="86">
        <v>1</v>
      </c>
      <c r="J33" s="86">
        <v>0</v>
      </c>
      <c r="K33" s="86">
        <v>0</v>
      </c>
      <c r="L33" s="86">
        <v>2.6</v>
      </c>
      <c r="M33" s="86">
        <v>0</v>
      </c>
      <c r="N33" s="86">
        <v>10.9</v>
      </c>
      <c r="O33" s="86">
        <v>0</v>
      </c>
      <c r="P33" s="86">
        <v>0</v>
      </c>
      <c r="Q33" s="86">
        <v>0</v>
      </c>
      <c r="R33" s="86">
        <v>0</v>
      </c>
      <c r="S33" s="86">
        <v>0</v>
      </c>
      <c r="T33" s="86">
        <v>0</v>
      </c>
      <c r="U33" s="86">
        <v>0</v>
      </c>
      <c r="V33" s="106">
        <v>0</v>
      </c>
      <c r="W33" s="106">
        <v>1.9</v>
      </c>
      <c r="X33" s="106">
        <v>3.2</v>
      </c>
      <c r="Y33" s="106">
        <v>5.1999999999999993</v>
      </c>
      <c r="Z33" s="106">
        <v>3.5</v>
      </c>
      <c r="AA33" s="155">
        <f t="shared" si="5"/>
        <v>1.38</v>
      </c>
      <c r="AB33" s="156">
        <f t="shared" si="6"/>
        <v>2.377142857142843</v>
      </c>
      <c r="AC33" s="155">
        <f t="shared" si="7"/>
        <v>1.4149999999999998</v>
      </c>
    </row>
    <row r="34" spans="1:29">
      <c r="A34" s="85" t="s">
        <v>93</v>
      </c>
      <c r="B34" s="86">
        <v>0</v>
      </c>
      <c r="C34" s="86">
        <v>0</v>
      </c>
      <c r="D34" s="86">
        <v>0</v>
      </c>
      <c r="E34" s="86">
        <v>0</v>
      </c>
      <c r="F34" s="86">
        <v>0</v>
      </c>
      <c r="G34" s="86">
        <v>0</v>
      </c>
      <c r="H34" s="86">
        <v>0</v>
      </c>
      <c r="I34" s="86">
        <v>0</v>
      </c>
      <c r="J34" s="86">
        <v>0</v>
      </c>
      <c r="K34" s="86">
        <v>0</v>
      </c>
      <c r="L34" s="86">
        <v>0</v>
      </c>
      <c r="M34" s="86">
        <v>0</v>
      </c>
      <c r="N34" s="86">
        <v>0</v>
      </c>
      <c r="O34" s="86">
        <v>0</v>
      </c>
      <c r="P34" s="86">
        <v>0</v>
      </c>
      <c r="Q34" s="86">
        <v>0</v>
      </c>
      <c r="R34" s="86">
        <v>0</v>
      </c>
      <c r="S34" s="86">
        <v>0</v>
      </c>
      <c r="T34" s="86">
        <v>0</v>
      </c>
      <c r="U34" s="106">
        <v>0</v>
      </c>
      <c r="V34" s="106">
        <v>0</v>
      </c>
      <c r="W34" s="106">
        <v>0</v>
      </c>
      <c r="X34" s="106">
        <v>0</v>
      </c>
      <c r="Y34" s="106">
        <v>0</v>
      </c>
      <c r="Z34" s="106">
        <v>0</v>
      </c>
      <c r="AA34" s="155">
        <f t="shared" si="5"/>
        <v>0</v>
      </c>
      <c r="AB34" s="156">
        <f t="shared" si="6"/>
        <v>0</v>
      </c>
      <c r="AC34" s="155">
        <f t="shared" si="7"/>
        <v>0</v>
      </c>
    </row>
    <row r="35" spans="1:29">
      <c r="A35" s="85" t="s">
        <v>94</v>
      </c>
      <c r="B35" s="86">
        <v>0</v>
      </c>
      <c r="C35" s="86">
        <v>0</v>
      </c>
      <c r="D35" s="86">
        <v>0</v>
      </c>
      <c r="E35" s="86">
        <v>0</v>
      </c>
      <c r="F35" s="86">
        <v>0</v>
      </c>
      <c r="G35" s="86">
        <v>0</v>
      </c>
      <c r="H35" s="86">
        <v>0</v>
      </c>
      <c r="I35" s="86">
        <v>0</v>
      </c>
      <c r="J35" s="86">
        <v>0</v>
      </c>
      <c r="K35" s="86">
        <v>0</v>
      </c>
      <c r="L35" s="86">
        <v>0</v>
      </c>
      <c r="M35" s="86">
        <v>0</v>
      </c>
      <c r="N35" s="86">
        <v>0</v>
      </c>
      <c r="O35" s="86">
        <v>0</v>
      </c>
      <c r="P35" s="86">
        <v>0</v>
      </c>
      <c r="Q35" s="86">
        <v>0</v>
      </c>
      <c r="R35" s="86">
        <v>0</v>
      </c>
      <c r="S35" s="86">
        <v>0</v>
      </c>
      <c r="T35" s="86">
        <v>0</v>
      </c>
      <c r="U35" s="106">
        <v>0</v>
      </c>
      <c r="V35" s="106">
        <v>0</v>
      </c>
      <c r="W35" s="106">
        <v>0</v>
      </c>
      <c r="X35" s="106">
        <v>0</v>
      </c>
      <c r="Y35" s="106">
        <v>0</v>
      </c>
      <c r="Z35" s="106">
        <v>0</v>
      </c>
      <c r="AA35" s="155">
        <f t="shared" si="5"/>
        <v>0</v>
      </c>
      <c r="AB35" s="156">
        <f t="shared" si="6"/>
        <v>0</v>
      </c>
      <c r="AC35" s="155">
        <f t="shared" si="7"/>
        <v>0</v>
      </c>
    </row>
    <row r="36" spans="1:29">
      <c r="A36" s="85"/>
      <c r="B36" s="85"/>
      <c r="C36" s="85"/>
      <c r="D36" s="85"/>
      <c r="E36" s="85"/>
      <c r="F36" s="85"/>
      <c r="G36" s="81"/>
      <c r="H36" s="81"/>
      <c r="Q36" s="85"/>
      <c r="R36" s="85"/>
      <c r="S36" s="85"/>
      <c r="T36" s="85"/>
      <c r="U36" s="85"/>
      <c r="V36" s="201"/>
      <c r="W36" s="201"/>
      <c r="X36" s="201"/>
      <c r="Y36" s="201"/>
      <c r="Z36" s="85"/>
      <c r="AA36" s="87"/>
      <c r="AB36" s="87"/>
      <c r="AC36" s="87"/>
    </row>
    <row r="37" spans="1:29">
      <c r="A37" s="85" t="s">
        <v>10</v>
      </c>
      <c r="B37" s="86">
        <f t="shared" ref="B37:U37" si="8">SUM(B24:B35)</f>
        <v>291.10000000000002</v>
      </c>
      <c r="C37" s="86">
        <f t="shared" si="8"/>
        <v>158.29999999999998</v>
      </c>
      <c r="D37" s="86">
        <f t="shared" si="8"/>
        <v>139.1</v>
      </c>
      <c r="E37" s="86">
        <f t="shared" si="8"/>
        <v>254.4</v>
      </c>
      <c r="F37" s="86">
        <f t="shared" si="8"/>
        <v>284.5</v>
      </c>
      <c r="G37" s="86">
        <f t="shared" si="8"/>
        <v>169</v>
      </c>
      <c r="H37" s="86">
        <f t="shared" si="8"/>
        <v>249.2</v>
      </c>
      <c r="I37" s="86">
        <f t="shared" si="8"/>
        <v>315.7</v>
      </c>
      <c r="J37" s="86">
        <f t="shared" si="8"/>
        <v>154.69999999999999</v>
      </c>
      <c r="K37" s="86">
        <f t="shared" si="8"/>
        <v>116.60000000000001</v>
      </c>
      <c r="L37" s="86">
        <f t="shared" si="8"/>
        <v>294.40000000000003</v>
      </c>
      <c r="M37" s="86">
        <f t="shared" si="8"/>
        <v>214.90000000000003</v>
      </c>
      <c r="N37" s="86">
        <f t="shared" si="8"/>
        <v>220.20000000000002</v>
      </c>
      <c r="O37" s="86">
        <f t="shared" si="8"/>
        <v>171</v>
      </c>
      <c r="P37" s="86">
        <f t="shared" si="8"/>
        <v>109</v>
      </c>
      <c r="Q37" s="86">
        <f t="shared" si="8"/>
        <v>268.5</v>
      </c>
      <c r="R37" s="86">
        <f t="shared" si="8"/>
        <v>244.29999999999998</v>
      </c>
      <c r="S37" s="86">
        <f t="shared" si="8"/>
        <v>283.09999999999997</v>
      </c>
      <c r="T37" s="86">
        <f t="shared" si="8"/>
        <v>200</v>
      </c>
      <c r="U37" s="86">
        <f t="shared" si="8"/>
        <v>132</v>
      </c>
      <c r="V37" s="106">
        <f t="shared" ref="V37:Z37" si="9">SUM(V24:V35)</f>
        <v>196.2</v>
      </c>
      <c r="W37" s="106">
        <f t="shared" si="9"/>
        <v>289.2</v>
      </c>
      <c r="X37" s="106">
        <f t="shared" si="9"/>
        <v>172.3</v>
      </c>
      <c r="Y37" s="106">
        <f t="shared" si="9"/>
        <v>311.20000000000005</v>
      </c>
      <c r="Z37" s="86">
        <f t="shared" si="9"/>
        <v>181.40000000000003</v>
      </c>
      <c r="AA37" s="157"/>
      <c r="AB37" s="157"/>
      <c r="AC37" s="87"/>
    </row>
    <row r="38" spans="1:29">
      <c r="A38" s="85"/>
      <c r="B38" s="85"/>
      <c r="C38" s="85"/>
      <c r="D38" s="85"/>
      <c r="E38" s="81"/>
      <c r="F38" s="81"/>
      <c r="G38" s="81"/>
      <c r="H38" s="81"/>
      <c r="I38" s="81"/>
      <c r="J38" s="81"/>
      <c r="K38" s="81"/>
      <c r="L38" s="81"/>
      <c r="M38" s="81"/>
      <c r="N38" s="81"/>
      <c r="O38" s="81"/>
      <c r="P38" s="81"/>
      <c r="U38" s="158"/>
      <c r="V38" s="202"/>
      <c r="W38" s="202"/>
      <c r="X38" s="202"/>
      <c r="Y38" s="202"/>
      <c r="Z38" s="168"/>
      <c r="AA38" s="87"/>
      <c r="AB38" s="87"/>
      <c r="AC38" s="87"/>
    </row>
    <row r="39" spans="1:29">
      <c r="A39" s="85"/>
      <c r="B39" s="85"/>
      <c r="C39" s="85"/>
      <c r="D39" s="85"/>
      <c r="E39" s="81"/>
      <c r="F39" s="81"/>
      <c r="G39" s="81"/>
      <c r="H39" s="81"/>
      <c r="AA39" s="87"/>
      <c r="AB39" s="87"/>
      <c r="AC39" s="87"/>
    </row>
    <row r="40" spans="1:29">
      <c r="A40" s="80"/>
      <c r="B40" s="80"/>
      <c r="C40" s="80"/>
      <c r="D40" s="80"/>
      <c r="E40" s="81"/>
      <c r="F40" s="81"/>
      <c r="AA40" s="87"/>
      <c r="AB40" s="87"/>
      <c r="AC40" s="87"/>
    </row>
  </sheetData>
  <pageMargins left="0.51181102362204722" right="0.51181102362204722" top="0.74803149606299213" bottom="0.74803149606299213" header="0.51181102362204722" footer="0.51181102362204722"/>
  <pageSetup orientation="landscape" r:id="rId1"/>
  <headerFooter alignWithMargins="0">
    <oddFooter>&amp;L&amp;8&amp;D
&amp;Z&amp;F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5</vt:i4>
      </vt:variant>
    </vt:vector>
  </HeadingPairs>
  <TitlesOfParts>
    <vt:vector size="12" baseType="lpstr">
      <vt:lpstr>Summary</vt:lpstr>
      <vt:lpstr>Purchased Power Model</vt:lpstr>
      <vt:lpstr>Rate Class Energy Model</vt:lpstr>
      <vt:lpstr>Rate Class Customer Model</vt:lpstr>
      <vt:lpstr>Rate Class Load Model</vt:lpstr>
      <vt:lpstr>CDM Activity</vt:lpstr>
      <vt:lpstr>Weather Analysis </vt:lpstr>
      <vt:lpstr>'CDM Activity'!Print_Area</vt:lpstr>
      <vt:lpstr>'Purchased Power Model'!Print_Titles</vt:lpstr>
      <vt:lpstr>'Rate Class Customer Model'!Print_Titles</vt:lpstr>
      <vt:lpstr>'Rate Class Load Model'!Print_Titles</vt:lpstr>
      <vt:lpstr>'Weather Analysis '!Print_Titles</vt:lpstr>
    </vt:vector>
  </TitlesOfParts>
  <Company>London Hydro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Bruce Bacon</dc:creator>
  <cp:lastModifiedBy>Gabe Platt</cp:lastModifiedBy>
  <cp:lastPrinted>2020-06-29T12:08:49Z</cp:lastPrinted>
  <dcterms:created xsi:type="dcterms:W3CDTF">2008-02-06T18:24:44Z</dcterms:created>
  <dcterms:modified xsi:type="dcterms:W3CDTF">2020-06-29T12:10:41Z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M_Links_Updated">
    <vt:bool>true</vt:bool>
  </property>
</Properties>
</file>