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lalani\AppData\Roaming\iManage\Work\Recent\088175.000036 - Oshawa PUC Networks Inc. - 2021 Cost of Service\"/>
    </mc:Choice>
  </mc:AlternateContent>
  <workbookProtection workbookAlgorithmName="SHA-512" workbookHashValue="wjquVqPsfCXUJutwcMowF8+lCqcEYfWuRXFtbujOZCpWuYPXtK03MGzYHl+AL58CPFpyQitY048rd0tXSGYTDQ==" workbookSaltValue="3LJDqawCDAegBe0OPWFyPA==" workbookSpinCount="100000" lockStructure="1"/>
  <bookViews>
    <workbookView xWindow="280" yWindow="-130" windowWidth="28210" windowHeight="7300" tabRatio="789" firstSheet="9" activeTab="12"/>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Threshold'!$A$1:$Q$55</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2">'7.  Persistence Report'!$A$1:$BU$77</definedName>
    <definedName name="_xlnm.Print_Area" localSheetId="0">Contents!$A$1:$D$27</definedName>
    <definedName name="_xlnm.Print_Area" localSheetId="2">'LRAMVA Checklist Schematic'!$A$1:$H$31</definedName>
    <definedName name="_xlnm.Print_Titles" localSheetId="9">'4.  2011-2014 LRAM'!$B:$B</definedName>
    <definedName name="_xlnm.Print_Titles" localSheetId="10">'5.  2015-2020 LRAM'!$B:$B</definedName>
    <definedName name="_xlnm.Print_Titles" localSheetId="11">'6.  Carrying Charges'!$14:$14</definedName>
    <definedName name="_xlnm.Print_Titles" localSheetId="12">'7.  Persistence Report'!$25:$25</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62913"/>
</workbook>
</file>

<file path=xl/calcChain.xml><?xml version="1.0" encoding="utf-8"?>
<calcChain xmlns="http://schemas.openxmlformats.org/spreadsheetml/2006/main">
  <c r="W148" i="47" l="1"/>
  <c r="R74" i="43"/>
  <c r="R71" i="43"/>
  <c r="R68" i="43"/>
  <c r="E856" i="79"/>
  <c r="F856" i="79"/>
  <c r="G856" i="79"/>
  <c r="H856" i="79"/>
  <c r="I856" i="79"/>
  <c r="J856" i="79"/>
  <c r="K856" i="79"/>
  <c r="L856" i="79"/>
  <c r="M856" i="79"/>
  <c r="D856" i="79"/>
  <c r="T72" i="68"/>
  <c r="O837" i="79" s="1"/>
  <c r="E837" i="79"/>
  <c r="F837" i="79"/>
  <c r="G837" i="79"/>
  <c r="H837" i="79"/>
  <c r="I837" i="79"/>
  <c r="J837" i="79"/>
  <c r="K837" i="79"/>
  <c r="L837" i="79"/>
  <c r="M837" i="79"/>
  <c r="D837" i="79"/>
  <c r="E673" i="79"/>
  <c r="F673" i="79"/>
  <c r="G673" i="79"/>
  <c r="H673" i="79"/>
  <c r="I673" i="79"/>
  <c r="J673" i="79"/>
  <c r="K673" i="79"/>
  <c r="L673" i="79"/>
  <c r="M673" i="79"/>
  <c r="D673" i="79"/>
  <c r="O670" i="79"/>
  <c r="E670" i="79"/>
  <c r="F670" i="79"/>
  <c r="G670" i="79"/>
  <c r="H670" i="79"/>
  <c r="I670" i="79"/>
  <c r="J670" i="79"/>
  <c r="K670" i="79"/>
  <c r="L670" i="79"/>
  <c r="M670" i="79"/>
  <c r="D670" i="79"/>
  <c r="E654" i="79"/>
  <c r="F654" i="79"/>
  <c r="G654" i="79"/>
  <c r="H654" i="79"/>
  <c r="I654" i="79"/>
  <c r="J654" i="79"/>
  <c r="K654" i="79"/>
  <c r="L654" i="79"/>
  <c r="M654" i="79"/>
  <c r="D654" i="79"/>
  <c r="N327" i="79"/>
  <c r="F81" i="85"/>
  <c r="F82" i="85" s="1"/>
  <c r="Y70" i="68"/>
  <c r="U670" i="79" s="1"/>
  <c r="AB71" i="68"/>
  <c r="X673" i="79" s="1"/>
  <c r="T74" i="68"/>
  <c r="Y72" i="68" s="1"/>
  <c r="T837" i="79" s="1"/>
  <c r="S74" i="68"/>
  <c r="W69" i="68" s="1"/>
  <c r="S654" i="79" s="1"/>
  <c r="BH65" i="68"/>
  <c r="BG65" i="68"/>
  <c r="BF65" i="68"/>
  <c r="BE65" i="68"/>
  <c r="BD65" i="68"/>
  <c r="BC65" i="68"/>
  <c r="BB65" i="68"/>
  <c r="BA65" i="68"/>
  <c r="AZ65" i="68"/>
  <c r="AY65" i="68"/>
  <c r="T75" i="68" s="1"/>
  <c r="AX65" i="68"/>
  <c r="S75" i="68" s="1"/>
  <c r="S70" i="68" s="1"/>
  <c r="AW65" i="68"/>
  <c r="AD71" i="68" l="1"/>
  <c r="U71" i="68"/>
  <c r="Q673" i="79" s="1"/>
  <c r="V71" i="68"/>
  <c r="R673" i="79" s="1"/>
  <c r="AC71" i="68"/>
  <c r="Z70" i="68"/>
  <c r="V670" i="79" s="1"/>
  <c r="T73" i="85"/>
  <c r="T61" i="85"/>
  <c r="X70" i="68"/>
  <c r="T670" i="79" s="1"/>
  <c r="AA71" i="68"/>
  <c r="W673" i="79" s="1"/>
  <c r="Z71" i="68"/>
  <c r="V673" i="79" s="1"/>
  <c r="AD70" i="68"/>
  <c r="V70" i="68"/>
  <c r="R670" i="79" s="1"/>
  <c r="T71" i="68"/>
  <c r="P673" i="79" s="1"/>
  <c r="AC70" i="68"/>
  <c r="X71" i="68"/>
  <c r="T673" i="79" s="1"/>
  <c r="AB70" i="68"/>
  <c r="X670" i="79" s="1"/>
  <c r="T70" i="68"/>
  <c r="P670" i="79" s="1"/>
  <c r="S71" i="68"/>
  <c r="O673" i="79" s="1"/>
  <c r="W70" i="68"/>
  <c r="S670" i="79" s="1"/>
  <c r="Y71" i="68"/>
  <c r="U673" i="79" s="1"/>
  <c r="U70" i="68"/>
  <c r="Q670" i="79" s="1"/>
  <c r="W71" i="68"/>
  <c r="S673" i="79" s="1"/>
  <c r="AA70" i="68"/>
  <c r="W670" i="79" s="1"/>
  <c r="U72" i="68"/>
  <c r="P837" i="79" s="1"/>
  <c r="Z72" i="68"/>
  <c r="U837" i="79" s="1"/>
  <c r="AA72" i="68"/>
  <c r="V837" i="79" s="1"/>
  <c r="X72" i="68"/>
  <c r="S837" i="79" s="1"/>
  <c r="AB72" i="68"/>
  <c r="W837" i="79" s="1"/>
  <c r="AC72" i="68"/>
  <c r="X837" i="79" s="1"/>
  <c r="AD72" i="68"/>
  <c r="V72" i="68"/>
  <c r="Q837" i="79" s="1"/>
  <c r="AE72" i="68"/>
  <c r="AA69" i="68"/>
  <c r="W654" i="79" s="1"/>
  <c r="U69" i="68"/>
  <c r="Q654" i="79" s="1"/>
  <c r="X69" i="68"/>
  <c r="T654" i="79" s="1"/>
  <c r="AC69" i="68"/>
  <c r="S69" i="68"/>
  <c r="O654" i="79" s="1"/>
  <c r="AD69" i="68"/>
  <c r="AA73" i="68"/>
  <c r="V856" i="79" s="1"/>
  <c r="Z73" i="68"/>
  <c r="U856" i="79" s="1"/>
  <c r="Y73" i="68"/>
  <c r="T856" i="79" s="1"/>
  <c r="X73" i="68"/>
  <c r="S856" i="79" s="1"/>
  <c r="AE73" i="68"/>
  <c r="W73" i="68"/>
  <c r="R856" i="79" s="1"/>
  <c r="U73" i="68"/>
  <c r="P856" i="79" s="1"/>
  <c r="AB73" i="68"/>
  <c r="W856" i="79" s="1"/>
  <c r="AD73" i="68"/>
  <c r="V73" i="68"/>
  <c r="Q856" i="79" s="1"/>
  <c r="AC73" i="68"/>
  <c r="X856" i="79" s="1"/>
  <c r="T73" i="68"/>
  <c r="O856" i="79" s="1"/>
  <c r="Y69" i="68"/>
  <c r="U654" i="79" s="1"/>
  <c r="Z69" i="68"/>
  <c r="V654" i="79" s="1"/>
  <c r="T69" i="68"/>
  <c r="P654" i="79" s="1"/>
  <c r="AB69" i="68"/>
  <c r="X654" i="79" s="1"/>
  <c r="V69" i="68"/>
  <c r="R654" i="79" s="1"/>
  <c r="W72" i="68"/>
  <c r="R837" i="79" s="1"/>
  <c r="P27" i="85" l="1"/>
  <c r="P49" i="85" s="1"/>
  <c r="C28" i="85" s="1"/>
  <c r="K27" i="85"/>
  <c r="K49" i="85" s="1"/>
  <c r="C27" i="85" s="1"/>
  <c r="D28" i="85" l="1"/>
  <c r="F28" i="85" s="1"/>
  <c r="F39" i="85" s="1"/>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0" i="79"/>
  <c r="N506" i="79"/>
  <c r="N503" i="79"/>
  <c r="N500" i="79"/>
  <c r="N497" i="79"/>
  <c r="N494"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0" i="79"/>
  <c r="N317" i="79"/>
  <c r="N314"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01" i="79"/>
  <c r="N98" i="79"/>
  <c r="N92" i="79"/>
  <c r="N88" i="79"/>
  <c r="N74" i="79"/>
  <c r="N64" i="79"/>
  <c r="N61" i="79"/>
  <c r="N55"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6" i="79"/>
  <c r="AC577" i="79"/>
  <c r="D53" i="44"/>
  <c r="AD212" i="79"/>
  <c r="AD208" i="79"/>
  <c r="AD211" i="79"/>
  <c r="AD210" i="79"/>
  <c r="AD209" i="79"/>
  <c r="G47" i="44"/>
  <c r="H47" i="44"/>
  <c r="E47" i="44"/>
  <c r="F47" i="44"/>
  <c r="J47" i="44"/>
  <c r="D47" i="44"/>
  <c r="I47"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17" i="45"/>
  <c r="L23" i="45" s="1"/>
  <c r="N60" i="46"/>
  <c r="N57" i="46"/>
  <c r="AA127" i="46" l="1"/>
  <c r="AD138" i="46"/>
  <c r="AD142" i="46"/>
  <c r="AD137" i="46"/>
  <c r="AB135" i="46"/>
  <c r="AD141" i="46"/>
  <c r="AD139" i="46"/>
  <c r="AD135" i="46"/>
  <c r="AD140" i="46"/>
  <c r="AD136" i="46"/>
  <c r="AD127" i="46"/>
  <c r="AD143"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N107" i="45"/>
  <c r="N79" i="45"/>
  <c r="N93" i="45"/>
  <c r="N100" i="45"/>
  <c r="N72" i="45"/>
  <c r="L65" i="45"/>
  <c r="L51" i="45"/>
  <c r="L30" i="45"/>
  <c r="L58" i="45"/>
  <c r="L37" i="45"/>
  <c r="L44" i="45"/>
  <c r="M44" i="45"/>
  <c r="M58" i="45"/>
  <c r="M51" i="45"/>
  <c r="M37" i="45"/>
  <c r="M65" i="45"/>
  <c r="M30" i="45"/>
  <c r="N58" i="45"/>
  <c r="N65" i="45"/>
  <c r="N51" i="45"/>
  <c r="N44" i="45"/>
  <c r="N37" i="45"/>
  <c r="N30" i="45"/>
  <c r="H132" i="45" l="1"/>
  <c r="E132" i="45"/>
  <c r="G131" i="45"/>
  <c r="J132" i="45"/>
  <c r="G132" i="45"/>
  <c r="I131" i="45"/>
  <c r="J131" i="45"/>
  <c r="K132" i="45"/>
  <c r="K131" i="45"/>
  <c r="E131" i="45"/>
  <c r="L131"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J127" i="45"/>
  <c r="AF516" i="46" s="1"/>
  <c r="H130" i="45"/>
  <c r="Y1113" i="79"/>
  <c r="N130" i="45"/>
  <c r="K125" i="45"/>
  <c r="AG258" i="46" s="1"/>
  <c r="AG259" i="46" s="1"/>
  <c r="K128" i="45"/>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L128" i="45"/>
  <c r="M127" i="45"/>
  <c r="K129" i="45"/>
  <c r="K130" i="45"/>
  <c r="J129" i="45"/>
  <c r="L127" i="45"/>
  <c r="AI387" i="46"/>
  <c r="AI389" i="46" s="1"/>
  <c r="F129" i="45"/>
  <c r="H129" i="45"/>
  <c r="D130" i="45"/>
  <c r="I130" i="45"/>
  <c r="J130" i="45"/>
  <c r="J126" i="45"/>
  <c r="AF387" i="46" s="1"/>
  <c r="L124" i="45"/>
  <c r="D128" i="45"/>
  <c r="Y198" i="79"/>
  <c r="Y128" i="46"/>
  <c r="AL387" i="46"/>
  <c r="AL389" i="46"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H516" i="46" l="1"/>
  <c r="AL516" i="46"/>
  <c r="AL520" i="46" s="1"/>
  <c r="AK516" i="46"/>
  <c r="AK520" i="46" s="1"/>
  <c r="AH258" i="46"/>
  <c r="AH260" i="46" s="1"/>
  <c r="AJ258" i="46"/>
  <c r="AJ260" i="46" s="1"/>
  <c r="AI516" i="46"/>
  <c r="AI520" i="46" s="1"/>
  <c r="AJ387" i="46"/>
  <c r="AJ389" i="46" s="1"/>
  <c r="AH130" i="46"/>
  <c r="AH131" i="46" s="1"/>
  <c r="M54" i="43" s="1"/>
  <c r="AK130" i="46"/>
  <c r="AK131" i="46" s="1"/>
  <c r="P54" i="43" s="1"/>
  <c r="AJ130" i="46"/>
  <c r="AJ131" i="46" s="1"/>
  <c r="O54" i="43" s="1"/>
  <c r="AK258" i="46"/>
  <c r="AK260" i="46" s="1"/>
  <c r="AI130" i="46"/>
  <c r="AI131" i="46" s="1"/>
  <c r="N54" i="43" s="1"/>
  <c r="AL258" i="46"/>
  <c r="AL262" i="46" s="1"/>
  <c r="Q58" i="43" s="1"/>
  <c r="AK564" i="79"/>
  <c r="AK573" i="79" s="1"/>
  <c r="P73" i="43" s="1"/>
  <c r="AJ516" i="46"/>
  <c r="AJ520" i="46" s="1"/>
  <c r="AL130" i="46"/>
  <c r="AL131" i="46" s="1"/>
  <c r="Q54" i="43" s="1"/>
  <c r="AI258" i="46"/>
  <c r="AI260" i="46" s="1"/>
  <c r="Y522" i="46"/>
  <c r="D64" i="43" s="1"/>
  <c r="AD522" i="46"/>
  <c r="I64" i="43" s="1"/>
  <c r="Y1117" i="79"/>
  <c r="Y1123" i="79"/>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Y754" i="79"/>
  <c r="Y753" i="79"/>
  <c r="Y748" i="79"/>
  <c r="Y752" i="79"/>
  <c r="Y750" i="79"/>
  <c r="Y749" i="79"/>
  <c r="Y751" i="79"/>
  <c r="AF260" i="46"/>
  <c r="AF259" i="46"/>
  <c r="Y1121" i="79"/>
  <c r="Y1119" i="79"/>
  <c r="Y1114" i="79"/>
  <c r="Y1116" i="79"/>
  <c r="Y1122" i="79"/>
  <c r="AF389" i="46"/>
  <c r="AF390" i="46"/>
  <c r="AF388"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I390" i="46"/>
  <c r="Y202" i="79"/>
  <c r="Y200" i="79"/>
  <c r="Y201" i="79"/>
  <c r="Y205" i="79"/>
  <c r="AI388" i="46"/>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K132" i="46"/>
  <c r="P55" i="43" s="1"/>
  <c r="AK262" i="46"/>
  <c r="P58" i="43" s="1"/>
  <c r="AL522" i="46"/>
  <c r="Q64" i="43" s="1"/>
  <c r="AK517" i="46"/>
  <c r="AL390" i="46"/>
  <c r="AL388" i="46"/>
  <c r="AK522" i="46"/>
  <c r="P64" i="43" s="1"/>
  <c r="AL517" i="46"/>
  <c r="AL260"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I517" i="46" l="1"/>
  <c r="AJ522" i="46"/>
  <c r="O64" i="43" s="1"/>
  <c r="AI522" i="46"/>
  <c r="N64" i="43" s="1"/>
  <c r="AJ392" i="46"/>
  <c r="O61" i="43" s="1"/>
  <c r="AI519" i="46"/>
  <c r="AH132" i="46"/>
  <c r="M55" i="43" s="1"/>
  <c r="R17" i="47" s="1"/>
  <c r="AI259" i="46"/>
  <c r="AI261" i="46" s="1"/>
  <c r="N57" i="43" s="1"/>
  <c r="AJ132" i="46"/>
  <c r="O55" i="43" s="1"/>
  <c r="T16" i="47" s="1"/>
  <c r="AK259" i="46"/>
  <c r="AJ390" i="46"/>
  <c r="AJ388" i="46"/>
  <c r="AI132" i="46"/>
  <c r="N55" i="43" s="1"/>
  <c r="S23" i="47" s="1"/>
  <c r="AK566" i="79"/>
  <c r="AK568" i="79"/>
  <c r="AL259" i="46"/>
  <c r="AL261" i="46" s="1"/>
  <c r="Q57" i="43" s="1"/>
  <c r="AK565" i="79"/>
  <c r="AJ518" i="46"/>
  <c r="F94" i="43" s="1"/>
  <c r="AK571" i="79"/>
  <c r="AK569" i="79"/>
  <c r="AJ519" i="46"/>
  <c r="AM519" i="46" s="1"/>
  <c r="AK570" i="79"/>
  <c r="AJ517" i="46"/>
  <c r="F93" i="43" s="1"/>
  <c r="AK567" i="79"/>
  <c r="AL132" i="46"/>
  <c r="Q55" i="43" s="1"/>
  <c r="V18" i="47" s="1"/>
  <c r="AI262" i="46"/>
  <c r="N58" i="43" s="1"/>
  <c r="Y756" i="79"/>
  <c r="P20" i="47"/>
  <c r="Q15" i="47"/>
  <c r="U17"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Z1125" i="79"/>
  <c r="E82" i="43" s="1"/>
  <c r="D70" i="43"/>
  <c r="AM131" i="46"/>
  <c r="C93" i="43" s="1"/>
  <c r="D76" i="43"/>
  <c r="AM520" i="46"/>
  <c r="AM260" i="46"/>
  <c r="D67" i="43"/>
  <c r="AD568" i="79"/>
  <c r="AH569" i="79"/>
  <c r="AL569" i="79"/>
  <c r="AD565" i="79"/>
  <c r="AI569" i="79"/>
  <c r="AE389" i="79"/>
  <c r="J70" i="43" s="1"/>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F521" i="46"/>
  <c r="K63" i="43" s="1"/>
  <c r="AH261" i="46"/>
  <c r="M57" i="43"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D75" i="43"/>
  <c r="AI201" i="79"/>
  <c r="P26" i="47"/>
  <c r="Q20" i="47"/>
  <c r="AJ205" i="79"/>
  <c r="O67" i="43" s="1"/>
  <c r="AH203" i="79"/>
  <c r="AH201" i="79"/>
  <c r="AH199" i="79"/>
  <c r="AH200" i="79"/>
  <c r="AH202" i="79"/>
  <c r="R64" i="43"/>
  <c r="AI391" i="46"/>
  <c r="N60" i="43" s="1"/>
  <c r="S20" i="47"/>
  <c r="S24" i="47"/>
  <c r="S26" i="47"/>
  <c r="S17" i="47"/>
  <c r="S19" i="47"/>
  <c r="S21" i="47"/>
  <c r="S18" i="47"/>
  <c r="S15" i="47"/>
  <c r="S25" i="47"/>
  <c r="S16" i="47"/>
  <c r="S22" i="47"/>
  <c r="Y204" i="79"/>
  <c r="Y261" i="46"/>
  <c r="D57" i="43" s="1"/>
  <c r="D94" i="43"/>
  <c r="D58" i="43"/>
  <c r="U20" i="47"/>
  <c r="U22" i="47"/>
  <c r="U23" i="47"/>
  <c r="U16" i="47"/>
  <c r="U15" i="47"/>
  <c r="U24" i="47"/>
  <c r="U25" i="47"/>
  <c r="U18" i="47"/>
  <c r="U26" i="47"/>
  <c r="U19" i="47"/>
  <c r="U21" i="47"/>
  <c r="Q34" i="47"/>
  <c r="Q40" i="47"/>
  <c r="Q41" i="47"/>
  <c r="Q36" i="47"/>
  <c r="Q30" i="47"/>
  <c r="Q35" i="47"/>
  <c r="Q37" i="47"/>
  <c r="Q38" i="47"/>
  <c r="Q39" i="47"/>
  <c r="Q33" i="47"/>
  <c r="Q32" i="47"/>
  <c r="AK521" i="46"/>
  <c r="P63" i="43" s="1"/>
  <c r="AK261" i="46"/>
  <c r="P57" i="43" s="1"/>
  <c r="AL391" i="46"/>
  <c r="Q60" i="43" s="1"/>
  <c r="AA391" i="46"/>
  <c r="F60" i="43" s="1"/>
  <c r="K45" i="47" s="1"/>
  <c r="AL521" i="46"/>
  <c r="Q63" i="43" s="1"/>
  <c r="AC391" i="46"/>
  <c r="H60" i="43" s="1"/>
  <c r="M45" i="47" s="1"/>
  <c r="AE521" i="46"/>
  <c r="J63" i="43" s="1"/>
  <c r="AD391" i="46"/>
  <c r="I60" i="43"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J391" i="46" l="1"/>
  <c r="O60" i="43" s="1"/>
  <c r="R15" i="47"/>
  <c r="R26" i="47"/>
  <c r="R18" i="47"/>
  <c r="R23" i="47"/>
  <c r="R25" i="47"/>
  <c r="R22" i="47"/>
  <c r="T19" i="47"/>
  <c r="T26" i="47"/>
  <c r="T35" i="47"/>
  <c r="T24" i="47"/>
  <c r="T32" i="47"/>
  <c r="T31" i="47"/>
  <c r="T34" i="47"/>
  <c r="T33" i="47"/>
  <c r="T21" i="47"/>
  <c r="R16" i="47"/>
  <c r="T39" i="47"/>
  <c r="T20" i="47"/>
  <c r="T38" i="47"/>
  <c r="T36" i="47"/>
  <c r="R24" i="47"/>
  <c r="R21" i="47"/>
  <c r="T18" i="47"/>
  <c r="T17" i="47"/>
  <c r="T15" i="47"/>
  <c r="T30" i="47"/>
  <c r="T37" i="47"/>
  <c r="T25" i="47"/>
  <c r="T22" i="47"/>
  <c r="R19" i="47"/>
  <c r="R20" i="47"/>
  <c r="T40" i="47"/>
  <c r="T41" i="47"/>
  <c r="T23" i="47"/>
  <c r="AM259" i="46"/>
  <c r="D93" i="43"/>
  <c r="D103" i="43" s="1"/>
  <c r="V15" i="47"/>
  <c r="S41" i="47"/>
  <c r="V26" i="47"/>
  <c r="V25" i="47"/>
  <c r="V23" i="47"/>
  <c r="V22" i="47"/>
  <c r="V20" i="47"/>
  <c r="V21" i="47"/>
  <c r="V17" i="47"/>
  <c r="V16" i="47"/>
  <c r="S36" i="47"/>
  <c r="V19" i="47"/>
  <c r="AM132" i="46"/>
  <c r="C104" i="43" s="1"/>
  <c r="V24" i="47"/>
  <c r="S32" i="47"/>
  <c r="AM518" i="46"/>
  <c r="S34" i="47"/>
  <c r="AM262" i="46"/>
  <c r="D104" i="43" s="1"/>
  <c r="S35" i="47"/>
  <c r="S31" i="47"/>
  <c r="S38" i="47"/>
  <c r="S30" i="47"/>
  <c r="S37" i="47"/>
  <c r="S40" i="47"/>
  <c r="S33" i="47"/>
  <c r="S39" i="47"/>
  <c r="R58" i="43"/>
  <c r="AK572" i="79"/>
  <c r="P72" i="43" s="1"/>
  <c r="AJ521" i="46"/>
  <c r="O63" i="43" s="1"/>
  <c r="T66" i="47" s="1"/>
  <c r="AM517" i="46"/>
  <c r="V39" i="47"/>
  <c r="N51" i="47"/>
  <c r="S56" i="47"/>
  <c r="R54" i="43"/>
  <c r="R30" i="47"/>
  <c r="P39" i="47"/>
  <c r="AM383" i="79"/>
  <c r="Z756" i="79"/>
  <c r="E75" i="43" s="1"/>
  <c r="Y572" i="79"/>
  <c r="D72" i="43" s="1"/>
  <c r="AM382" i="79"/>
  <c r="AM384" i="79"/>
  <c r="AM205" i="79"/>
  <c r="G104" i="43" s="1"/>
  <c r="AD572" i="79"/>
  <c r="I72" i="43" s="1"/>
  <c r="AJ572" i="79"/>
  <c r="O72" i="43" s="1"/>
  <c r="U31" i="47"/>
  <c r="R55" i="43"/>
  <c r="AM261" i="46"/>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AM936" i="79"/>
  <c r="AM755" i="79"/>
  <c r="AM939" i="79"/>
  <c r="AM938" i="79"/>
  <c r="AM757" i="79"/>
  <c r="C103" i="43"/>
  <c r="AB204" i="79"/>
  <c r="G66" i="43" s="1"/>
  <c r="AL572" i="79"/>
  <c r="Q72" i="43" s="1"/>
  <c r="E95" i="43"/>
  <c r="Z388" i="79"/>
  <c r="E69" i="43" s="1"/>
  <c r="AA204" i="79"/>
  <c r="F66" i="43" s="1"/>
  <c r="AG572" i="79"/>
  <c r="L72" i="43" s="1"/>
  <c r="AB388" i="79"/>
  <c r="G69" i="43" s="1"/>
  <c r="AA572" i="79"/>
  <c r="F72" i="43"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S68" i="47"/>
  <c r="S46" i="47"/>
  <c r="S67" i="47"/>
  <c r="S66" i="47"/>
  <c r="S69" i="47"/>
  <c r="S45" i="47"/>
  <c r="S70" i="47"/>
  <c r="S64" i="47"/>
  <c r="S52" i="47"/>
  <c r="S65" i="47"/>
  <c r="S62" i="47"/>
  <c r="S61" i="47"/>
  <c r="S51" i="47"/>
  <c r="S54" i="47"/>
  <c r="S47" i="47"/>
  <c r="S53" i="47"/>
  <c r="T54" i="47"/>
  <c r="T52" i="47"/>
  <c r="T56" i="47"/>
  <c r="T48" i="47"/>
  <c r="T53" i="47"/>
  <c r="T45" i="47"/>
  <c r="T55" i="47"/>
  <c r="S27" i="47"/>
  <c r="S29" i="47" s="1"/>
  <c r="T46" i="47"/>
  <c r="T51" i="47"/>
  <c r="T49" i="47"/>
  <c r="T50" i="47"/>
  <c r="F96" i="43"/>
  <c r="F95" i="43"/>
  <c r="D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H20" i="43" l="1"/>
  <c r="T68" i="47"/>
  <c r="R27" i="47"/>
  <c r="R29" i="47" s="1"/>
  <c r="T27" i="47"/>
  <c r="T29" i="47" s="1"/>
  <c r="T42" i="47" s="1"/>
  <c r="T44" i="47" s="1"/>
  <c r="T57" i="47" s="1"/>
  <c r="T59" i="47" s="1"/>
  <c r="T70" i="47"/>
  <c r="T61" i="47"/>
  <c r="AM133" i="46"/>
  <c r="V27" i="47"/>
  <c r="V29" i="47" s="1"/>
  <c r="V42" i="47" s="1"/>
  <c r="V44" i="47" s="1"/>
  <c r="V57" i="47" s="1"/>
  <c r="V59" i="47" s="1"/>
  <c r="V72" i="47" s="1"/>
  <c r="V74" i="47" s="1"/>
  <c r="T67" i="47"/>
  <c r="T63" i="47"/>
  <c r="AM263" i="46"/>
  <c r="AM521" i="46"/>
  <c r="AM523" i="46" s="1"/>
  <c r="S42" i="47"/>
  <c r="S44" i="47" s="1"/>
  <c r="T71" i="47"/>
  <c r="T64" i="47"/>
  <c r="T65" i="47"/>
  <c r="T69" i="47"/>
  <c r="R63" i="43"/>
  <c r="T62" i="47"/>
  <c r="T60" i="47"/>
  <c r="I198" i="47"/>
  <c r="V206" i="47"/>
  <c r="P210" i="47"/>
  <c r="N172" i="47"/>
  <c r="M217" i="47"/>
  <c r="P170" i="47"/>
  <c r="L199" i="47"/>
  <c r="T167" i="47"/>
  <c r="S221" i="47"/>
  <c r="J211" i="47"/>
  <c r="R231" i="47"/>
  <c r="U217" i="47"/>
  <c r="K176" i="47"/>
  <c r="N187" i="47"/>
  <c r="J172" i="47"/>
  <c r="I176" i="47"/>
  <c r="L167" i="47"/>
  <c r="L174" i="47"/>
  <c r="I215" i="47"/>
  <c r="O234" i="47"/>
  <c r="T213" i="47"/>
  <c r="S190" i="47"/>
  <c r="Q205" i="47"/>
  <c r="M195" i="47"/>
  <c r="K235" i="47"/>
  <c r="P187" i="47"/>
  <c r="P225" i="47"/>
  <c r="L216" i="47"/>
  <c r="L165" i="47"/>
  <c r="U181" i="47"/>
  <c r="P189" i="47"/>
  <c r="M183" i="47"/>
  <c r="V170" i="47"/>
  <c r="J184" i="47"/>
  <c r="M182" i="47"/>
  <c r="Q182" i="47"/>
  <c r="V173" i="47"/>
  <c r="M204" i="47"/>
  <c r="L235" i="47"/>
  <c r="S198" i="47"/>
  <c r="S225" i="47"/>
  <c r="O175" i="47"/>
  <c r="E34" i="43"/>
  <c r="N229" i="47"/>
  <c r="N210" i="47"/>
  <c r="N233" i="47"/>
  <c r="N214" i="47"/>
  <c r="N226" i="47"/>
  <c r="N215" i="47"/>
  <c r="N174" i="47"/>
  <c r="N202" i="47"/>
  <c r="N173" i="47"/>
  <c r="N203" i="47"/>
  <c r="N216" i="47"/>
  <c r="N212" i="47"/>
  <c r="N236" i="47"/>
  <c r="N232" i="47"/>
  <c r="N235" i="47"/>
  <c r="N182" i="47"/>
  <c r="N227" i="47"/>
  <c r="N211" i="47"/>
  <c r="N204" i="47"/>
  <c r="N200" i="47"/>
  <c r="N183" i="47"/>
  <c r="N197" i="47"/>
  <c r="N228" i="47"/>
  <c r="N219" i="47"/>
  <c r="N206" i="47"/>
  <c r="N201" i="47"/>
  <c r="N196" i="47"/>
  <c r="N189" i="47"/>
  <c r="N185" i="47"/>
  <c r="N190" i="47"/>
  <c r="N231" i="47"/>
  <c r="N205" i="47"/>
  <c r="N198" i="47"/>
  <c r="N195" i="47"/>
  <c r="N188" i="47"/>
  <c r="N184" i="47"/>
  <c r="N191" i="47"/>
  <c r="N221" i="47"/>
  <c r="N199" i="47"/>
  <c r="N168" i="47"/>
  <c r="N176" i="47"/>
  <c r="N171" i="47"/>
  <c r="N180" i="47"/>
  <c r="N186" i="47"/>
  <c r="P218" i="47"/>
  <c r="L195" i="47"/>
  <c r="S175" i="47"/>
  <c r="U167" i="47"/>
  <c r="K168" i="47"/>
  <c r="M198" i="47"/>
  <c r="P215" i="47"/>
  <c r="S218" i="47"/>
  <c r="K236" i="47"/>
  <c r="Q206" i="47"/>
  <c r="M172" i="47"/>
  <c r="P198" i="47"/>
  <c r="L191" i="47"/>
  <c r="U235" i="47"/>
  <c r="M210" i="47"/>
  <c r="P184" i="47"/>
  <c r="S213" i="47"/>
  <c r="K214" i="47"/>
  <c r="E33" i="43"/>
  <c r="R229" i="47"/>
  <c r="R170" i="47"/>
  <c r="O167" i="47"/>
  <c r="O195" i="47"/>
  <c r="O213" i="47"/>
  <c r="I167" i="47"/>
  <c r="I218" i="47"/>
  <c r="L228" i="47"/>
  <c r="M213" i="47"/>
  <c r="J183" i="47"/>
  <c r="J235" i="47"/>
  <c r="N165" i="47"/>
  <c r="N218" i="47"/>
  <c r="T203" i="47"/>
  <c r="V188" i="47"/>
  <c r="K183" i="47"/>
  <c r="R212" i="47"/>
  <c r="T184" i="47"/>
  <c r="T75" i="47"/>
  <c r="T191" i="47"/>
  <c r="T183" i="47"/>
  <c r="T171" i="47"/>
  <c r="T229" i="47"/>
  <c r="T236" i="47"/>
  <c r="T231" i="47"/>
  <c r="T199" i="47"/>
  <c r="T200" i="47"/>
  <c r="T198" i="47"/>
  <c r="T175" i="47"/>
  <c r="T225" i="47"/>
  <c r="T234" i="47"/>
  <c r="T227" i="47"/>
  <c r="T196" i="47"/>
  <c r="T197" i="47"/>
  <c r="T205" i="47"/>
  <c r="T165" i="47"/>
  <c r="T166" i="47"/>
  <c r="T218" i="47"/>
  <c r="T230" i="47"/>
  <c r="T220" i="47"/>
  <c r="T189" i="47"/>
  <c r="T190" i="47"/>
  <c r="T176" i="47"/>
  <c r="T172" i="47"/>
  <c r="T214" i="47"/>
  <c r="T226" i="47"/>
  <c r="T216" i="47"/>
  <c r="T185" i="47"/>
  <c r="T186" i="47"/>
  <c r="T187" i="47"/>
  <c r="T170" i="47"/>
  <c r="T173" i="47"/>
  <c r="T168" i="47"/>
  <c r="T210" i="47"/>
  <c r="T219" i="47"/>
  <c r="T212" i="47"/>
  <c r="T182" i="47"/>
  <c r="T206" i="47"/>
  <c r="T169" i="47"/>
  <c r="T217" i="47"/>
  <c r="T211" i="47"/>
  <c r="T215" i="47"/>
  <c r="T181" i="47"/>
  <c r="T202" i="47"/>
  <c r="T180" i="47"/>
  <c r="T195" i="47"/>
  <c r="T201" i="47"/>
  <c r="S180" i="47"/>
  <c r="E39" i="43"/>
  <c r="S203" i="47"/>
  <c r="S197" i="47"/>
  <c r="S187" i="47"/>
  <c r="S183" i="47"/>
  <c r="S166" i="47"/>
  <c r="S206" i="47"/>
  <c r="S204" i="47"/>
  <c r="S200" i="47"/>
  <c r="S170" i="47"/>
  <c r="S191" i="47"/>
  <c r="S171" i="47"/>
  <c r="S214" i="47"/>
  <c r="S165" i="47"/>
  <c r="S228" i="47"/>
  <c r="S199" i="47"/>
  <c r="S210" i="47"/>
  <c r="S188" i="47"/>
  <c r="S215" i="47"/>
  <c r="S220" i="47"/>
  <c r="S195" i="47"/>
  <c r="S219" i="47"/>
  <c r="S227" i="47"/>
  <c r="S185" i="47"/>
  <c r="S174" i="47"/>
  <c r="S231" i="47"/>
  <c r="S189" i="47"/>
  <c r="S184" i="47"/>
  <c r="S196" i="47"/>
  <c r="S182" i="47"/>
  <c r="S205" i="47"/>
  <c r="S216" i="47"/>
  <c r="S217" i="47"/>
  <c r="Q226" i="47"/>
  <c r="Q173" i="47"/>
  <c r="Q167" i="47"/>
  <c r="Q228" i="47"/>
  <c r="Q165" i="47"/>
  <c r="Q230" i="47"/>
  <c r="Q210" i="47"/>
  <c r="Q213" i="47"/>
  <c r="Q185" i="47"/>
  <c r="Q188" i="47"/>
  <c r="Q221" i="47"/>
  <c r="Q197" i="47"/>
  <c r="Q235" i="47"/>
  <c r="Q212" i="47"/>
  <c r="Q174" i="47"/>
  <c r="Q199" i="47"/>
  <c r="Q184" i="47"/>
  <c r="Q233" i="47"/>
  <c r="Q172" i="47"/>
  <c r="Q232" i="47"/>
  <c r="Q202" i="47"/>
  <c r="Q169" i="47"/>
  <c r="Q236" i="47"/>
  <c r="Q187" i="47"/>
  <c r="Q218" i="47"/>
  <c r="Q227" i="47"/>
  <c r="Q219" i="47"/>
  <c r="Q196" i="47"/>
  <c r="E37" i="43"/>
  <c r="Q211" i="47"/>
  <c r="Q217" i="47"/>
  <c r="Q229" i="47"/>
  <c r="Q176" i="47"/>
  <c r="Q201" i="47"/>
  <c r="Q216" i="47"/>
  <c r="Q195" i="47"/>
  <c r="Q234" i="47"/>
  <c r="Q225" i="47"/>
  <c r="Q190" i="47"/>
  <c r="Q189" i="47"/>
  <c r="Q183" i="47"/>
  <c r="Q175" i="47"/>
  <c r="Q186" i="47"/>
  <c r="Q171" i="47"/>
  <c r="Q181" i="47"/>
  <c r="P214" i="47"/>
  <c r="L172" i="47"/>
  <c r="S236" i="47"/>
  <c r="U230" i="47"/>
  <c r="Q203" i="47"/>
  <c r="M170" i="47"/>
  <c r="U226" i="47"/>
  <c r="L225" i="47"/>
  <c r="S181" i="47"/>
  <c r="U219" i="47"/>
  <c r="K225" i="47"/>
  <c r="R202" i="47"/>
  <c r="M175" i="47"/>
  <c r="P182" i="47"/>
  <c r="L170" i="47"/>
  <c r="U210" i="47"/>
  <c r="M221" i="47"/>
  <c r="L214" i="47"/>
  <c r="S226" i="47"/>
  <c r="Q200" i="47"/>
  <c r="R233" i="47"/>
  <c r="R195" i="47"/>
  <c r="O169" i="47"/>
  <c r="O183" i="47"/>
  <c r="O217" i="47"/>
  <c r="I200" i="47"/>
  <c r="I225" i="47"/>
  <c r="L189" i="47"/>
  <c r="M203" i="47"/>
  <c r="S186" i="47"/>
  <c r="R189" i="47"/>
  <c r="P230" i="47"/>
  <c r="J201" i="47"/>
  <c r="J214" i="47"/>
  <c r="N169" i="47"/>
  <c r="N166" i="47"/>
  <c r="E40" i="43"/>
  <c r="T174" i="47"/>
  <c r="V228" i="47"/>
  <c r="L168" i="47"/>
  <c r="U166" i="47"/>
  <c r="R218" i="47"/>
  <c r="U213" i="47"/>
  <c r="U211" i="47"/>
  <c r="R230" i="47"/>
  <c r="K216" i="47"/>
  <c r="K199" i="47"/>
  <c r="K206" i="47"/>
  <c r="K173" i="47"/>
  <c r="K233" i="47"/>
  <c r="K226" i="47"/>
  <c r="K187" i="47"/>
  <c r="K220" i="47"/>
  <c r="K201" i="47"/>
  <c r="K180" i="47"/>
  <c r="K228" i="47"/>
  <c r="K171" i="47"/>
  <c r="K213" i="47"/>
  <c r="K204" i="47"/>
  <c r="K231" i="47"/>
  <c r="K169" i="47"/>
  <c r="K172" i="47"/>
  <c r="K198" i="47"/>
  <c r="K210" i="47"/>
  <c r="K227" i="47"/>
  <c r="K221" i="47"/>
  <c r="K234" i="47"/>
  <c r="K166" i="47"/>
  <c r="K165" i="47"/>
  <c r="K217" i="47"/>
  <c r="K175" i="47"/>
  <c r="K200" i="47"/>
  <c r="K184" i="47"/>
  <c r="K211" i="47"/>
  <c r="P221" i="47"/>
  <c r="L169" i="47"/>
  <c r="S232" i="47"/>
  <c r="K229" i="47"/>
  <c r="R203" i="47"/>
  <c r="M173" i="47"/>
  <c r="P233" i="47"/>
  <c r="L226" i="47"/>
  <c r="P211" i="47"/>
  <c r="U215" i="47"/>
  <c r="K215" i="47"/>
  <c r="M214" i="47"/>
  <c r="Q166" i="47"/>
  <c r="S168" i="47"/>
  <c r="K232" i="47"/>
  <c r="M200" i="47"/>
  <c r="L215" i="47"/>
  <c r="S212" i="47"/>
  <c r="K181" i="47"/>
  <c r="R200" i="47"/>
  <c r="R228" i="47"/>
  <c r="R226" i="47"/>
  <c r="O181" i="47"/>
  <c r="O187" i="47"/>
  <c r="O220" i="47"/>
  <c r="I189" i="47"/>
  <c r="I232" i="47"/>
  <c r="S234" i="47"/>
  <c r="R184" i="47"/>
  <c r="U191" i="47"/>
  <c r="Q198" i="47"/>
  <c r="K203" i="47"/>
  <c r="J204" i="47"/>
  <c r="J220" i="47"/>
  <c r="N217" i="47"/>
  <c r="N225" i="47"/>
  <c r="T235" i="47"/>
  <c r="V196" i="47"/>
  <c r="V168" i="47"/>
  <c r="N175" i="47"/>
  <c r="R234" i="47"/>
  <c r="O214" i="47"/>
  <c r="K205" i="47"/>
  <c r="P213" i="47"/>
  <c r="P236" i="47"/>
  <c r="P232" i="47"/>
  <c r="P228" i="47"/>
  <c r="P220" i="47"/>
  <c r="P234" i="47"/>
  <c r="P227" i="47"/>
  <c r="P175" i="47"/>
  <c r="P173" i="47"/>
  <c r="P190" i="47"/>
  <c r="P165" i="47"/>
  <c r="P188" i="47"/>
  <c r="P168" i="47"/>
  <c r="P206" i="47"/>
  <c r="E36" i="43"/>
  <c r="P181" i="47"/>
  <c r="P195" i="47"/>
  <c r="P174" i="47"/>
  <c r="P172" i="47"/>
  <c r="P204" i="47"/>
  <c r="P183" i="47"/>
  <c r="P200" i="47"/>
  <c r="P171" i="47"/>
  <c r="P231" i="47"/>
  <c r="P185" i="47"/>
  <c r="P226" i="47"/>
  <c r="P235" i="47"/>
  <c r="P176" i="47"/>
  <c r="P166" i="47"/>
  <c r="P199" i="47"/>
  <c r="P217" i="47"/>
  <c r="L176" i="47"/>
  <c r="U229" i="47"/>
  <c r="K219" i="47"/>
  <c r="M218" i="47"/>
  <c r="Q220" i="47"/>
  <c r="P219" i="47"/>
  <c r="L220" i="47"/>
  <c r="S169" i="47"/>
  <c r="U218" i="47"/>
  <c r="K195" i="47"/>
  <c r="M235" i="47"/>
  <c r="R174" i="47"/>
  <c r="P180" i="47"/>
  <c r="S176" i="47"/>
  <c r="K218" i="47"/>
  <c r="M201" i="47"/>
  <c r="L196" i="47"/>
  <c r="U189" i="47"/>
  <c r="K182" i="47"/>
  <c r="R185" i="47"/>
  <c r="R171" i="47"/>
  <c r="R217" i="47"/>
  <c r="O189" i="47"/>
  <c r="O201" i="47"/>
  <c r="O227" i="47"/>
  <c r="I196" i="47"/>
  <c r="I236" i="47"/>
  <c r="S230" i="47"/>
  <c r="Q170" i="47"/>
  <c r="U216" i="47"/>
  <c r="Q215" i="47"/>
  <c r="K191" i="47"/>
  <c r="E30" i="43"/>
  <c r="J227" i="47"/>
  <c r="N170" i="47"/>
  <c r="T232" i="47"/>
  <c r="V197" i="47"/>
  <c r="V210" i="47"/>
  <c r="M219" i="47"/>
  <c r="S235" i="47"/>
  <c r="S173" i="47"/>
  <c r="P197" i="47"/>
  <c r="U225" i="47"/>
  <c r="K212" i="47"/>
  <c r="M211" i="47"/>
  <c r="R236" i="47"/>
  <c r="P205" i="47"/>
  <c r="L184" i="47"/>
  <c r="S172" i="47"/>
  <c r="U214" i="47"/>
  <c r="K189" i="47"/>
  <c r="M228" i="47"/>
  <c r="R166" i="47"/>
  <c r="U180" i="47"/>
  <c r="S233" i="47"/>
  <c r="K188" i="47"/>
  <c r="P202" i="47"/>
  <c r="L197" i="47"/>
  <c r="U185" i="47"/>
  <c r="K167" i="47"/>
  <c r="R168" i="47"/>
  <c r="R205" i="47"/>
  <c r="O196" i="47"/>
  <c r="O205" i="47"/>
  <c r="O230" i="47"/>
  <c r="I180" i="47"/>
  <c r="P169" i="47"/>
  <c r="K170" i="47"/>
  <c r="Q204" i="47"/>
  <c r="V225" i="47"/>
  <c r="J180" i="47"/>
  <c r="J210" i="47"/>
  <c r="N230" i="47"/>
  <c r="N220" i="47"/>
  <c r="T228" i="47"/>
  <c r="V220" i="47"/>
  <c r="V189" i="47"/>
  <c r="L234" i="47"/>
  <c r="O188" i="47"/>
  <c r="U196" i="47"/>
  <c r="R213" i="47"/>
  <c r="U47" i="47"/>
  <c r="U170" i="47"/>
  <c r="U169" i="47"/>
  <c r="U171" i="47"/>
  <c r="U202" i="47"/>
  <c r="U198" i="47"/>
  <c r="U201" i="47"/>
  <c r="U188" i="47"/>
  <c r="U174" i="47"/>
  <c r="U173" i="47"/>
  <c r="U195" i="47"/>
  <c r="U175" i="47"/>
  <c r="U165" i="47"/>
  <c r="U233" i="47"/>
  <c r="U197" i="47"/>
  <c r="U172" i="47"/>
  <c r="U204" i="47"/>
  <c r="U186" i="47"/>
  <c r="U183" i="47"/>
  <c r="U184" i="47"/>
  <c r="U205" i="47"/>
  <c r="U190" i="47"/>
  <c r="U168" i="47"/>
  <c r="U227" i="47"/>
  <c r="U182" i="47"/>
  <c r="U206" i="47"/>
  <c r="U203" i="47"/>
  <c r="U200" i="47"/>
  <c r="U221" i="47"/>
  <c r="U232" i="47"/>
  <c r="U236" i="47"/>
  <c r="P212" i="47"/>
  <c r="L230" i="47"/>
  <c r="S201" i="47"/>
  <c r="U220" i="47"/>
  <c r="K196" i="47"/>
  <c r="M232" i="47"/>
  <c r="Q231" i="47"/>
  <c r="P201" i="47"/>
  <c r="L204" i="47"/>
  <c r="S167" i="47"/>
  <c r="U187" i="47"/>
  <c r="K190" i="47"/>
  <c r="Q214" i="47"/>
  <c r="L218" i="47"/>
  <c r="S211" i="47"/>
  <c r="K185" i="47"/>
  <c r="P203" i="47"/>
  <c r="L187" i="47"/>
  <c r="U228" i="47"/>
  <c r="R216" i="47"/>
  <c r="R190" i="47"/>
  <c r="O173" i="47"/>
  <c r="O200" i="47"/>
  <c r="O190" i="47"/>
  <c r="K230" i="47"/>
  <c r="E41" i="43"/>
  <c r="P167" i="47"/>
  <c r="K174" i="47"/>
  <c r="Q180" i="47"/>
  <c r="N213" i="47"/>
  <c r="L201" i="47"/>
  <c r="N167" i="47"/>
  <c r="T221" i="47"/>
  <c r="T188" i="47"/>
  <c r="V187" i="47"/>
  <c r="R68" i="47"/>
  <c r="R201" i="47"/>
  <c r="R191" i="47"/>
  <c r="R235" i="47"/>
  <c r="R214" i="47"/>
  <c r="R165" i="47"/>
  <c r="R220" i="47"/>
  <c r="R219" i="47"/>
  <c r="R188" i="47"/>
  <c r="R210" i="47"/>
  <c r="R183" i="47"/>
  <c r="R215" i="47"/>
  <c r="R196" i="47"/>
  <c r="R211" i="47"/>
  <c r="R198" i="47"/>
  <c r="R176" i="47"/>
  <c r="E38" i="43"/>
  <c r="R186" i="47"/>
  <c r="R180" i="47"/>
  <c r="R199" i="47"/>
  <c r="R172" i="47"/>
  <c r="R206" i="47"/>
  <c r="R232" i="47"/>
  <c r="R167" i="47"/>
  <c r="R204" i="47"/>
  <c r="R173" i="47"/>
  <c r="R221" i="47"/>
  <c r="R169" i="47"/>
  <c r="R182" i="47"/>
  <c r="R225" i="47"/>
  <c r="R197" i="47"/>
  <c r="R175" i="47"/>
  <c r="R187" i="47"/>
  <c r="O98" i="47"/>
  <c r="O226" i="47"/>
  <c r="O216" i="47"/>
  <c r="O233" i="47"/>
  <c r="O186" i="47"/>
  <c r="O206" i="47"/>
  <c r="E35" i="43"/>
  <c r="O174" i="47"/>
  <c r="O168" i="47"/>
  <c r="O219" i="47"/>
  <c r="O212" i="47"/>
  <c r="O229" i="47"/>
  <c r="O182" i="47"/>
  <c r="O202" i="47"/>
  <c r="O203" i="47"/>
  <c r="O172" i="47"/>
  <c r="O176" i="47"/>
  <c r="O215" i="47"/>
  <c r="O236" i="47"/>
  <c r="O225" i="47"/>
  <c r="O204" i="47"/>
  <c r="O198" i="47"/>
  <c r="O199" i="47"/>
  <c r="O166" i="47"/>
  <c r="O171" i="47"/>
  <c r="O211" i="47"/>
  <c r="O232" i="47"/>
  <c r="O218" i="47"/>
  <c r="O235" i="47"/>
  <c r="O228" i="47"/>
  <c r="O231" i="47"/>
  <c r="O221" i="47"/>
  <c r="O210" i="47"/>
  <c r="O191" i="47"/>
  <c r="O184" i="47"/>
  <c r="O185" i="47"/>
  <c r="O170" i="47"/>
  <c r="R57" i="43"/>
  <c r="J236" i="47"/>
  <c r="J231" i="47"/>
  <c r="J216" i="47"/>
  <c r="J202" i="47"/>
  <c r="J185" i="47"/>
  <c r="J200" i="47"/>
  <c r="J171" i="47"/>
  <c r="J175" i="47"/>
  <c r="J232" i="47"/>
  <c r="J212" i="47"/>
  <c r="J234" i="47"/>
  <c r="J198" i="47"/>
  <c r="J203" i="47"/>
  <c r="J197" i="47"/>
  <c r="J166" i="47"/>
  <c r="J168" i="47"/>
  <c r="J228" i="47"/>
  <c r="J233" i="47"/>
  <c r="J230" i="47"/>
  <c r="J181" i="47"/>
  <c r="J199" i="47"/>
  <c r="J190" i="47"/>
  <c r="J174" i="47"/>
  <c r="J170" i="47"/>
  <c r="J221" i="47"/>
  <c r="J229" i="47"/>
  <c r="J226" i="47"/>
  <c r="J191" i="47"/>
  <c r="J196" i="47"/>
  <c r="J186" i="47"/>
  <c r="J173" i="47"/>
  <c r="J165" i="47"/>
  <c r="J217" i="47"/>
  <c r="J225" i="47"/>
  <c r="J219" i="47"/>
  <c r="J195" i="47"/>
  <c r="J189" i="47"/>
  <c r="J182" i="47"/>
  <c r="J169" i="47"/>
  <c r="J213" i="47"/>
  <c r="J218" i="47"/>
  <c r="J215" i="47"/>
  <c r="J188" i="47"/>
  <c r="J187" i="47"/>
  <c r="J205" i="47"/>
  <c r="J176" i="47"/>
  <c r="I235" i="47"/>
  <c r="I228" i="47"/>
  <c r="I214" i="47"/>
  <c r="I191" i="47"/>
  <c r="I188" i="47"/>
  <c r="I185" i="47"/>
  <c r="I197" i="47"/>
  <c r="I172" i="47"/>
  <c r="I231" i="47"/>
  <c r="I221" i="47"/>
  <c r="I210" i="47"/>
  <c r="I187" i="47"/>
  <c r="I184" i="47"/>
  <c r="I181" i="47"/>
  <c r="I190" i="47"/>
  <c r="I174" i="47"/>
  <c r="I227" i="47"/>
  <c r="I217" i="47"/>
  <c r="I234" i="47"/>
  <c r="I183" i="47"/>
  <c r="I201" i="47"/>
  <c r="I168" i="47"/>
  <c r="I186" i="47"/>
  <c r="I169" i="47"/>
  <c r="I220" i="47"/>
  <c r="I213" i="47"/>
  <c r="I230" i="47"/>
  <c r="I150" i="47"/>
  <c r="I195" i="47"/>
  <c r="I165" i="47"/>
  <c r="I182" i="47"/>
  <c r="I171" i="47"/>
  <c r="I216" i="47"/>
  <c r="I233" i="47"/>
  <c r="I226" i="47"/>
  <c r="I206" i="47"/>
  <c r="I203" i="47"/>
  <c r="E29" i="43"/>
  <c r="I166" i="47"/>
  <c r="I173" i="47"/>
  <c r="I212" i="47"/>
  <c r="I229" i="47"/>
  <c r="I219" i="47"/>
  <c r="I202" i="47"/>
  <c r="I199" i="47"/>
  <c r="I204" i="47"/>
  <c r="I205" i="47"/>
  <c r="I175" i="47"/>
  <c r="V171" i="47"/>
  <c r="V200" i="47"/>
  <c r="V235" i="47"/>
  <c r="V230" i="47"/>
  <c r="V229" i="47"/>
  <c r="V233" i="47"/>
  <c r="E42" i="43"/>
  <c r="V234" i="47"/>
  <c r="V219" i="47"/>
  <c r="V199" i="47"/>
  <c r="V167" i="47"/>
  <c r="V174" i="47"/>
  <c r="V185" i="47"/>
  <c r="V211" i="47"/>
  <c r="V198" i="47"/>
  <c r="V227" i="47"/>
  <c r="V212" i="47"/>
  <c r="V204" i="47"/>
  <c r="V231" i="47"/>
  <c r="V215" i="47"/>
  <c r="V172" i="47"/>
  <c r="V165" i="47"/>
  <c r="V216" i="47"/>
  <c r="V221" i="47"/>
  <c r="V218" i="47"/>
  <c r="V214" i="47"/>
  <c r="V183" i="47"/>
  <c r="V226" i="47"/>
  <c r="V217" i="47"/>
  <c r="V205" i="47"/>
  <c r="V176" i="47"/>
  <c r="V190" i="47"/>
  <c r="V175" i="47"/>
  <c r="V232" i="47"/>
  <c r="V181" i="47"/>
  <c r="V236" i="47"/>
  <c r="V213" i="47"/>
  <c r="V180" i="47"/>
  <c r="V166" i="47"/>
  <c r="V201" i="47"/>
  <c r="V203" i="47"/>
  <c r="V195" i="47"/>
  <c r="V182" i="47"/>
  <c r="V202" i="47"/>
  <c r="V186" i="47"/>
  <c r="V191" i="47"/>
  <c r="M225" i="47"/>
  <c r="M215" i="47"/>
  <c r="M185" i="47"/>
  <c r="M236" i="47"/>
  <c r="M186" i="47"/>
  <c r="M202" i="47"/>
  <c r="M168" i="47"/>
  <c r="M171" i="47"/>
  <c r="M196" i="47"/>
  <c r="M220" i="47"/>
  <c r="M176" i="47"/>
  <c r="M174" i="47"/>
  <c r="M216" i="47"/>
  <c r="M230" i="47"/>
  <c r="M184" i="47"/>
  <c r="M188" i="47"/>
  <c r="M169" i="47"/>
  <c r="M226" i="47"/>
  <c r="M165" i="47"/>
  <c r="M191" i="47"/>
  <c r="M206" i="47"/>
  <c r="M233" i="47"/>
  <c r="M166" i="47"/>
  <c r="M189" i="47"/>
  <c r="M212" i="47"/>
  <c r="M167" i="47"/>
  <c r="M190" i="47"/>
  <c r="M180" i="47"/>
  <c r="M229" i="47"/>
  <c r="M199" i="47"/>
  <c r="M187" i="47"/>
  <c r="M227" i="47"/>
  <c r="M231" i="47"/>
  <c r="L81" i="47"/>
  <c r="E32" i="43"/>
  <c r="L231" i="47"/>
  <c r="L186" i="47"/>
  <c r="L221" i="47"/>
  <c r="L200" i="47"/>
  <c r="L205" i="47"/>
  <c r="L185" i="47"/>
  <c r="L210" i="47"/>
  <c r="L171" i="47"/>
  <c r="L180" i="47"/>
  <c r="L166" i="47"/>
  <c r="L198" i="47"/>
  <c r="L213" i="47"/>
  <c r="L181" i="47"/>
  <c r="L233" i="47"/>
  <c r="L217" i="47"/>
  <c r="L175" i="47"/>
  <c r="L202" i="47"/>
  <c r="L182" i="47"/>
  <c r="L203" i="47"/>
  <c r="L229" i="47"/>
  <c r="L232" i="47"/>
  <c r="L183" i="47"/>
  <c r="L236" i="47"/>
  <c r="L190" i="47"/>
  <c r="L212" i="47"/>
  <c r="L173" i="47"/>
  <c r="P229" i="47"/>
  <c r="L227" i="47"/>
  <c r="S202" i="47"/>
  <c r="U176" i="47"/>
  <c r="K197" i="47"/>
  <c r="M181" i="47"/>
  <c r="Q191" i="47"/>
  <c r="P191" i="47"/>
  <c r="L188" i="47"/>
  <c r="S229" i="47"/>
  <c r="U234" i="47"/>
  <c r="K202" i="47"/>
  <c r="M205" i="47"/>
  <c r="P216" i="47"/>
  <c r="L219" i="47"/>
  <c r="U212" i="47"/>
  <c r="K186" i="47"/>
  <c r="P196" i="47"/>
  <c r="U199" i="47"/>
  <c r="U231" i="47"/>
  <c r="M234" i="47"/>
  <c r="R181" i="47"/>
  <c r="R227" i="47"/>
  <c r="O165" i="47"/>
  <c r="O180" i="47"/>
  <c r="O197" i="47"/>
  <c r="I170" i="47"/>
  <c r="I211" i="47"/>
  <c r="P186" i="47"/>
  <c r="E31" i="43"/>
  <c r="L206" i="47"/>
  <c r="M197" i="47"/>
  <c r="Q168" i="47"/>
  <c r="J167" i="47"/>
  <c r="J206" i="47"/>
  <c r="N181" i="47"/>
  <c r="N234" i="47"/>
  <c r="T204" i="47"/>
  <c r="T233" i="47"/>
  <c r="V169" i="47"/>
  <c r="V184" i="47"/>
  <c r="L211" i="47"/>
  <c r="U83" i="47"/>
  <c r="AM204" i="79"/>
  <c r="AM206" i="79" s="1"/>
  <c r="J104" i="43"/>
  <c r="I104"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W25" i="47"/>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T72" i="47"/>
  <c r="T74" i="47" s="1"/>
  <c r="T87" i="47" s="1"/>
  <c r="T89" i="47" s="1"/>
  <c r="T102" i="47" s="1"/>
  <c r="W198" i="47"/>
  <c r="W215" i="47"/>
  <c r="W184" i="47"/>
  <c r="W229" i="47"/>
  <c r="W176" i="47"/>
  <c r="W212" i="47"/>
  <c r="W216" i="47"/>
  <c r="W220" i="47"/>
  <c r="W227" i="47"/>
  <c r="W231" i="47"/>
  <c r="W235" i="47"/>
  <c r="W236" i="47"/>
  <c r="W228" i="47"/>
  <c r="W175" i="47"/>
  <c r="W173" i="47"/>
  <c r="W171" i="47"/>
  <c r="W169" i="47"/>
  <c r="W174" i="47"/>
  <c r="W172" i="47"/>
  <c r="W180" i="47"/>
  <c r="W196" i="47"/>
  <c r="W211" i="47"/>
  <c r="W205" i="47"/>
  <c r="W166" i="47"/>
  <c r="W182" i="47"/>
  <c r="W186" i="47"/>
  <c r="W190" i="47"/>
  <c r="W197" i="47"/>
  <c r="W217" i="47"/>
  <c r="W170" i="47"/>
  <c r="W204" i="47"/>
  <c r="E43" i="43"/>
  <c r="W165" i="47"/>
  <c r="W168" i="47"/>
  <c r="W181" i="47"/>
  <c r="W185" i="47"/>
  <c r="W195" i="47"/>
  <c r="W188" i="47"/>
  <c r="W189" i="47"/>
  <c r="W199" i="47"/>
  <c r="W203" i="47"/>
  <c r="W201" i="47"/>
  <c r="W218" i="47"/>
  <c r="W202" i="47"/>
  <c r="W206" i="47"/>
  <c r="W183" i="47"/>
  <c r="W187" i="47"/>
  <c r="W191" i="47"/>
  <c r="W225" i="47"/>
  <c r="W167" i="47"/>
  <c r="W233" i="47"/>
  <c r="W219" i="47"/>
  <c r="W226" i="47"/>
  <c r="W230" i="47"/>
  <c r="W234" i="47"/>
  <c r="W210" i="47"/>
  <c r="W214" i="47"/>
  <c r="W232" i="47"/>
  <c r="W221" i="47"/>
  <c r="W213" i="47"/>
  <c r="W200"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P164" i="47" l="1"/>
  <c r="P177" i="47" s="1"/>
  <c r="P179" i="47" s="1"/>
  <c r="P192" i="47" s="1"/>
  <c r="P194" i="47" s="1"/>
  <c r="P207" i="47" s="1"/>
  <c r="P209" i="47" s="1"/>
  <c r="P222" i="47" s="1"/>
  <c r="P224" i="47" s="1"/>
  <c r="P237" i="47" s="1"/>
  <c r="K84" i="43" s="1"/>
  <c r="K85" i="43" s="1"/>
  <c r="U164" i="47"/>
  <c r="U177" i="47" s="1"/>
  <c r="U179" i="47" s="1"/>
  <c r="U192" i="47" s="1"/>
  <c r="U194" i="47" s="1"/>
  <c r="U207" i="47" s="1"/>
  <c r="U209" i="47" s="1"/>
  <c r="U222" i="47" s="1"/>
  <c r="U224" i="47" s="1"/>
  <c r="U237" i="47" s="1"/>
  <c r="P84" i="43" s="1"/>
  <c r="P85" i="43" s="1"/>
  <c r="T164" i="47"/>
  <c r="T177" i="47" s="1"/>
  <c r="T179" i="47" s="1"/>
  <c r="T192" i="47" s="1"/>
  <c r="T194" i="47" s="1"/>
  <c r="T207" i="47" s="1"/>
  <c r="T209" i="47" s="1"/>
  <c r="T222" i="47" s="1"/>
  <c r="T224" i="47" s="1"/>
  <c r="T237" i="47" s="1"/>
  <c r="O84" i="43" s="1"/>
  <c r="O85" i="43" s="1"/>
  <c r="R164" i="47"/>
  <c r="R177" i="47" s="1"/>
  <c r="R179" i="47" s="1"/>
  <c r="R192" i="47" s="1"/>
  <c r="R194" i="47" s="1"/>
  <c r="R207" i="47" s="1"/>
  <c r="R209" i="47" s="1"/>
  <c r="R222" i="47" s="1"/>
  <c r="R224" i="47" s="1"/>
  <c r="R237" i="47" s="1"/>
  <c r="M84" i="43" s="1"/>
  <c r="M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85"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36" i="43" l="1"/>
  <c r="G36" i="43" s="1"/>
  <c r="F40" i="43"/>
  <c r="G40" i="43" s="1"/>
  <c r="F39" i="43"/>
  <c r="G39" i="43" s="1"/>
  <c r="F41" i="43"/>
  <c r="G41" i="43" s="1"/>
  <c r="F42" i="43"/>
  <c r="G42" i="43" s="1"/>
  <c r="F37" i="43"/>
  <c r="G37" i="43" s="1"/>
  <c r="F38" i="43"/>
  <c r="G38" i="43" s="1"/>
  <c r="N164" i="47"/>
  <c r="N177" i="47" s="1"/>
  <c r="N179" i="47" s="1"/>
  <c r="N192" i="47" s="1"/>
  <c r="N194" i="47" s="1"/>
  <c r="N207" i="47" s="1"/>
  <c r="N209" i="47" s="1"/>
  <c r="N222" i="47" s="1"/>
  <c r="N224" i="47" s="1"/>
  <c r="N237" i="47" s="1"/>
  <c r="I84" i="43" s="1"/>
  <c r="I85" i="43" s="1"/>
  <c r="M164" i="47"/>
  <c r="M177" i="47" s="1"/>
  <c r="M179" i="47" s="1"/>
  <c r="M192" i="47" s="1"/>
  <c r="M194" i="47" s="1"/>
  <c r="M207" i="47" s="1"/>
  <c r="M209" i="47" s="1"/>
  <c r="M222" i="47" s="1"/>
  <c r="M224" i="47" s="1"/>
  <c r="M237" i="47" s="1"/>
  <c r="H84" i="43" s="1"/>
  <c r="F33" i="43" s="1"/>
  <c r="G33" i="43" s="1"/>
  <c r="J164" i="47"/>
  <c r="J177" i="47" s="1"/>
  <c r="J179" i="47" s="1"/>
  <c r="J192" i="47" s="1"/>
  <c r="J194" i="47" s="1"/>
  <c r="J207" i="47" s="1"/>
  <c r="J209" i="47" s="1"/>
  <c r="J222" i="47" s="1"/>
  <c r="J224" i="47" s="1"/>
  <c r="J237" i="47" s="1"/>
  <c r="E84" i="43" s="1"/>
  <c r="F30" i="43" s="1"/>
  <c r="G30" i="43" s="1"/>
  <c r="O164" i="47"/>
  <c r="O177" i="47" s="1"/>
  <c r="O179" i="47" s="1"/>
  <c r="O192" i="47" s="1"/>
  <c r="O194" i="47" s="1"/>
  <c r="O207" i="47" s="1"/>
  <c r="O209" i="47" s="1"/>
  <c r="O222" i="47" s="1"/>
  <c r="O224" i="47" s="1"/>
  <c r="O237" i="47" s="1"/>
  <c r="J84" i="43" s="1"/>
  <c r="J85" i="43" s="1"/>
  <c r="L104" i="47"/>
  <c r="L117" i="47" s="1"/>
  <c r="L119" i="47" s="1"/>
  <c r="L132" i="47" s="1"/>
  <c r="L134" i="47" s="1"/>
  <c r="L147" i="47" s="1"/>
  <c r="L149" i="47" s="1"/>
  <c r="L162" i="47" s="1"/>
  <c r="I104" i="47"/>
  <c r="I117" i="47" s="1"/>
  <c r="I119" i="47" s="1"/>
  <c r="I132" i="47" s="1"/>
  <c r="I134" i="47" s="1"/>
  <c r="I147" i="47" s="1"/>
  <c r="I149" i="47" l="1"/>
  <c r="I162" i="47" s="1"/>
  <c r="I164" i="47" s="1"/>
  <c r="I177" i="47" s="1"/>
  <c r="I179" i="47" s="1"/>
  <c r="I192" i="47" s="1"/>
  <c r="I194" i="47" s="1"/>
  <c r="I207" i="47" s="1"/>
  <c r="I209" i="47" s="1"/>
  <c r="I222" i="47" s="1"/>
  <c r="I224" i="47" s="1"/>
  <c r="I237" i="47" s="1"/>
  <c r="D84" i="43" s="1"/>
  <c r="F35" i="43"/>
  <c r="G35" i="43" s="1"/>
  <c r="L164" i="47"/>
  <c r="L177" i="47" s="1"/>
  <c r="L179" i="47" s="1"/>
  <c r="L192" i="47" s="1"/>
  <c r="L194" i="47" s="1"/>
  <c r="L207" i="47" s="1"/>
  <c r="L209" i="47" s="1"/>
  <c r="L222" i="47" s="1"/>
  <c r="L224" i="47" s="1"/>
  <c r="L237" i="47" s="1"/>
  <c r="G84" i="43" s="1"/>
  <c r="F32" i="43" s="1"/>
  <c r="G32" i="43" s="1"/>
  <c r="F34" i="43"/>
  <c r="G34" i="43" s="1"/>
  <c r="H85" i="43"/>
  <c r="E85" i="43"/>
  <c r="W42" i="47"/>
  <c r="D105" i="43" s="1"/>
  <c r="K42" i="47"/>
  <c r="D85" i="43" l="1"/>
  <c r="F29" i="43"/>
  <c r="G29" i="43" s="1"/>
  <c r="G85" i="43"/>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W89" i="47"/>
  <c r="W102" i="47" s="1"/>
  <c r="G105" i="43"/>
  <c r="R85" i="43" l="1"/>
  <c r="H21" i="43"/>
  <c r="H22" i="43" s="1"/>
  <c r="F31" i="43"/>
  <c r="F43" i="43" s="1"/>
  <c r="F85" i="43"/>
  <c r="G106" i="43"/>
  <c r="W104" i="47"/>
  <c r="W117" i="47" s="1"/>
  <c r="H105" i="43"/>
  <c r="H106" i="43" s="1"/>
  <c r="G31" i="43" l="1"/>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<sst xmlns="http://schemas.openxmlformats.org/spreadsheetml/2006/main" count="3508" uniqueCount="825">
  <si>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</si>
  <si>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</si>
  <si>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</si>
  <si>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</si>
  <si>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</si>
  <si>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</si>
  <si>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</si>
  <si>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</si>
  <si>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</si>
  <si>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</si>
  <si>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</si>
  <si>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</si>
  <si>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</si>
  <si>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</si>
  <si>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</si>
  <si>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</si>
  <si>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</si>
  <si>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</si>
  <si>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</si>
  <si>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</si>
  <si>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</si>
  <si>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</si>
  <si>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</si>
  <si>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</si>
  <si>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</si>
  <si>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</si>
  <si>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</si>
  <si>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</si>
  <si>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</si>
  <si>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</si>
  <si>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</si>
  <si>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</si>
  <si>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</si>
  <si>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</si>
  <si>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</si>
  <si>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</si>
  <si>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</si>
  <si>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</si>
  <si>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</si>
  <si>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</si>
  <si>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</si>
  <si>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</si>
  <si>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</si>
  <si>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</si>
  <si>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</si>
  <si>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</si>
  <si>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</si>
  <si>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</si>
  <si>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</si>
  <si>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</si>
  <si>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</si>
  <si>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</si>
  <si>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</si>
  <si>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</si>
  <si>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</si>
  <si>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</si>
  <si>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</si>
  <si>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</si>
  <si>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</si>
  <si>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</si>
  <si>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</si>
  <si>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</si>
  <si>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</si>
  <si>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</si>
  <si>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</si>
  <si>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</si>
  <si>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</si>
  <si>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</si>
  <si>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</si>
  <si>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</si>
  <si>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</si>
  <si>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</si>
  <si>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</si>
  <si>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</si>
  <si>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</si>
  <si>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</si>
  <si>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</si>
  <si>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</si>
  <si>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</si>
  <si>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</si>
  <si>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</si>
  <si>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</si>
  <si>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</si>
  <si>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</si>
  <si>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</si>
  <si>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</si>
  <si>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</si>
  <si>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</si>
  <si>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</si>
  <si>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</si>
  <si>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</si>
  <si>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</si>
  <si>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</si>
  <si>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</si>
  <si>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</si>
  <si>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</si>
  <si>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</si>
  <si>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</si>
  <si>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</si>
  <si>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</si>
  <si>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</si>
  <si>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</si>
  <si>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</si>
  <si>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</si>
  <si>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</si>
  <si>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</si>
  <si>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</si>
  <si>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</si>
  <si>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</si>
  <si>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</si>
  <si>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</si>
  <si>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</si>
  <si>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</si>
  <si>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</si>
  <si>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</si>
  <si>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</si>
  <si>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</si>
  <si>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</si>
  <si>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</si>
  <si>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</si>
  <si>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</si>
  <si>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</si>
  <si>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</si>
  <si>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</si>
  <si>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</si>
  <si>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</si>
  <si>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</si>
  <si>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</si>
  <si>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</si>
  <si>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</si>
  <si>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</si>
  <si>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</si>
  <si>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</si>
  <si>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</si>
  <si>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</si>
  <si>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</si>
  <si>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</si>
  <si>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</si>
  <si>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</si>
  <si>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</si>
  <si>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</si>
  <si>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</si>
  <si>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</si>
  <si>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</si>
  <si>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</si>
  <si>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</si>
  <si>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</si>
  <si>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</si>
  <si>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</si>
  <si>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</si>
  <si>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</si>
  <si>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</si>
  <si>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</si>
  <si>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</si>
  <si>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</si>
  <si>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</si>
  <si>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</si>
  <si>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</si>
  <si>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</si>
  <si>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</si>
  <si>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</si>
  <si>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</si>
  <si>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</si>
  <si>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</si>
  <si>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</si>
  <si>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</si>
  <si>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</si>
  <si>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</si>
  <si>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</si>
  <si>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</si>
  <si>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</si>
  <si>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</si>
  <si>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</si>
  <si>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</si>
  <si>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</si>
  <si>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</si>
  <si>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</si>
  <si>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</si>
  <si>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</si>
  <si>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</si>
  <si>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</si>
  <si>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</si>
  <si>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</si>
  <si>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</si>
  <si>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</si>
  <si>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</si>
  <si>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</si>
  <si>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</si>
  <si>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</si>
  <si>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</si>
  <si>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</si>
  <si>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</si>
  <si>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</si>
  <si>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</si>
  <si>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</si>
  <si>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</si>
  <si>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</si>
  <si>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</si>
  <si>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</si>
  <si>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</si>
  <si>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</si>
  <si>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</si>
  <si>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</si>
  <si>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</si>
  <si>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</si>
  <si>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</si>
  <si>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</si>
  <si>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</si>
  <si>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</si>
  <si>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</si>
  <si>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</si>
  <si>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</si>
  <si>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</si>
  <si>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</si>
  <si>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</si>
  <si>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</si>
  <si>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</si>
  <si>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</si>
  <si>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</si>
  <si>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</si>
  <si>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</si>
  <si>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</si>
  <si>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</si>
  <si>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</si>
  <si>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</si>
  <si>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</si>
  <si>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</si>
  <si>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</si>
  <si>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</si>
  <si>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</si>
  <si>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</si>
  <si>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</si>
  <si>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</si>
  <si>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</si>
  <si>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</si>
  <si>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</si>
  <si>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</si>
  <si>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</si>
  <si>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</si>
  <si>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</si>
  <si>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</si>
  <si>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</si>
  <si>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</si>
  <si>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</si>
  <si>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</si>
  <si>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</si>
  <si>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</si>
  <si>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</si>
  <si>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</si>
  <si>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</si>
  <si>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</si>
  <si>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</si>
  <si>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</si>
  <si>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</si>
  <si>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</si>
  <si>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</si>
  <si>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</si>
  <si>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</si>
  <si>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</si>
  <si>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</si>
  <si>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</si>
  <si>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</si>
  <si>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</si>
  <si>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</si>
  <si>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</si>
  <si>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</si>
  <si>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</si>
  <si>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</si>
  <si>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</si>
  <si>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</si>
  <si>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</si>
  <si>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</si>
  <si>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</si>
  <si>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</si>
  <si>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</si>
  <si>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</si>
  <si>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</si>
  <si>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</si>
  <si>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</si>
  <si>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</si>
  <si>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</si>
  <si>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</si>
  <si>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</si>
  <si>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</si>
  <si>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</si>
  <si>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</si>
  <si>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</si>
  <si>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</si>
  <si>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</si>
  <si>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</si>
  <si>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</si>
  <si>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</si>
  <si>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</si>
  <si>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</si>
  <si>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</si>
  <si>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</si>
  <si>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</si>
  <si>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</si>
  <si>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</si>
  <si>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</si>
  <si>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</si>
  <si>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</si>
  <si>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</si>
  <si>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</si>
  <si>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</si>
  <si>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</si>
  <si>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</si>
  <si>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</si>
  <si>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</si>
  <si>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</si>
  <si>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</si>
  <si>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</si>
  <si>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</si>
  <si>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</si>
  <si>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</si>
  <si>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</si>
  <si>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</si>
  <si>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</si>
  <si>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</si>
  <si>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</si>
  <si>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</si>
  <si>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</si>
  <si>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</si>
  <si>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</si>
  <si>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</si>
  <si>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</si>
  <si>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</si>
  <si>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</si>
  <si>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</si>
  <si>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</si>
  <si>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</si>
  <si>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</si>
  <si>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</si>
  <si>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</si>
  <si>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</si>
  <si>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</si>
  <si>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</si>
  <si>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</si>
  <si>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</si>
  <si>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</si>
  <si>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</si>
  <si>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</si>
  <si>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</si>
  <si>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</si>
  <si>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</si>
  <si>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</si>
  <si>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</si>
  <si>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</si>
  <si>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</si>
  <si>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</si>
  <si>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</si>
  <si>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</si>
  <si>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</si>
  <si>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</si>
  <si>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</si>
  <si>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</si>
  <si>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</si>
  <si>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</si>
  <si>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</si>
  <si>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</si>
  <si>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</si>
  <si>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</si>
  <si>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</si>
  <si>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</si>
  <si>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</si>
  <si>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</si>
  <si>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</si>
  <si>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</si>
  <si>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</si>
  <si>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</si>
  <si>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</si>
  <si>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</si>
  <si>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</si>
  <si>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</si>
  <si>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</si>
  <si>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</si>
  <si>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</si>
  <si>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</si>
  <si>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</si>
  <si>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</si>
  <si>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</si>
  <si>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</si>
  <si>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</si>
  <si>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</si>
  <si>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</si>
  <si>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</si>
  <si>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</si>
  <si>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</si>
  <si>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</si>
  <si>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</si>
  <si>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</si>
  <si>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</si>
  <si>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</si>
  <si>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</si>
  <si>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</si>
  <si>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</si>
  <si>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</si>
  <si>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</si>
  <si>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</si>
  <si>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</si>
  <si>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</si>
  <si>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</si>
  <si>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</si>
  <si>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</si>
  <si>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</si>
  <si>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</si>
  <si>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</si>
  <si>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</si>
  <si>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</si>
  <si>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</si>
  <si>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</si>
  <si>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</si>
  <si>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</si>
  <si>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</si>
  <si>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</si>
  <si>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</si>
  <si>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</si>
  <si>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</si>
  <si>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</si>
  <si>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</si>
  <si>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</si>
  <si>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</si>
  <si>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</si>
  <si>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</si>
  <si>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</si>
  <si>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</si>
  <si>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</si>
  <si>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</si>
  <si>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</si>
  <si>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</si>
  <si>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</si>
  <si>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</si>
  <si>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</si>
  <si>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</si>
  <si>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</si>
  <si>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</si>
  <si>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</si>
  <si>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</si>
  <si>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</si>
  <si>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</si>
  <si>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</si>
  <si>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</si>
  <si>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</si>
  <si>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</si>
  <si>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</si>
  <si>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</si>
  <si>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</si>
  <si>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</si>
  <si>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</si>
  <si>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</si>
  <si>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</si>
  <si>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</si>
  <si>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</si>
  <si>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</si>
  <si>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</si>
  <si>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</si>
  <si>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</si>
  <si>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</si>
  <si>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</si>
  <si>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</si>
  <si>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</si>
  <si>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</si>
  <si>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</si>
  <si>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</si>
  <si>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</si>
  <si>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</si>
  <si>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</si>
  <si>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</si>
  <si>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</si>
  <si>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</si>
  <si>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</si>
  <si>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</si>
  <si>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</si>
  <si>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</si>
  <si>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</si>
  <si>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</si>
  <si>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</si>
  <si>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</si>
  <si>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</si>
  <si>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</si>
  <si>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</si>
  <si>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</si>
  <si>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</si>
  <si>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</si>
  <si>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</si>
  <si>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</si>
  <si>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</si>
  <si>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</si>
  <si>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</si>
  <si>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</si>
  <si>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</si>
  <si>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</si>
  <si>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</si>
  <si>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</si>
  <si>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</si>
  <si>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</si>
  <si>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</si>
  <si>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</si>
  <si>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</si>
  <si>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</si>
  <si>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</si>
  <si>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</si>
  <si>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</si>
  <si>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</si>
  <si>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</si>
  <si>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</si>
  <si>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</si>
  <si>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</si>
  <si>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</si>
  <si>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</si>
  <si>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</si>
  <si>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</si>
  <si>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</si>
  <si>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</si>
  <si>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</si>
  <si>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</si>
  <si>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</si>
  <si>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</si>
  <si>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</si>
  <si>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</si>
  <si>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</si>
  <si>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</si>
  <si>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</si>
  <si>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</si>
  <si>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</si>
  <si>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</si>
  <si>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</si>
  <si>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</si>
  <si>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</si>
  <si>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</si>
  <si>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</si>
  <si>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</si>
  <si>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</si>
  <si>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</si>
  <si>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</si>
  <si>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</si>
  <si>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</si>
  <si>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</si>
  <si>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</si>
  <si>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</si>
  <si>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</si>
  <si>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</si>
  <si>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</si>
  <si>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</si>
  <si>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</si>
  <si>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</si>
  <si>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</si>
  <si>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</si>
  <si>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</si>
  <si>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</si>
  <si>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</si>
  <si>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</si>
  <si>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</si>
  <si>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</si>
  <si>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</si>
  <si>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</si>
  <si>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</si>
  <si>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</si>
  <si>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</si>
  <si>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</si>
  <si>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</si>
  <si>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</si>
  <si>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</si>
  <si>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</si>
  <si>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</si>
  <si>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</si>
  <si>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</si>
  <si>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</si>
  <si>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</si>
  <si>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</si>
  <si>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</si>
  <si>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</si>
  <si>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</si>
  <si>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</si>
  <si>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</si>
  <si>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</si>
  <si>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</si>
  <si>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</si>
  <si>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</si>
  <si>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</si>
  <si>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</si>
  <si>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</si>
  <si>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</si>
  <si>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</si>
  <si>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</si>
  <si>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</si>
  <si>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</si>
  <si>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</si>
  <si>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</si>
  <si>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</si>
  <si>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</si>
  <si>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</si>
  <si>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</si>
  <si>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</si>
  <si>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</si>
  <si>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</si>
  <si>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</si>
  <si>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</si>
  <si>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</si>
  <si>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</si>
  <si>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</si>
  <si>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</si>
  <si>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</si>
  <si>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</si>
  <si>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</si>
  <si>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</si>
  <si>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</si>
  <si>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</si>
  <si>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</si>
  <si>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</si>
  <si>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</si>
  <si>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</si>
  <si>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</si>
  <si>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</si>
  <si>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</si>
  <si>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</si>
  <si>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</si>
  <si>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</si>
  <si>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</si>
  <si>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</si>
  <si>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</si>
  <si>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</si>
  <si>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</si>
  <si>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</si>
  <si>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</si>
  <si>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</si>
  <si>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</si>
  <si>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</si>
  <si>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</si>
  <si>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</si>
  <si>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</si>
  <si>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</si>
  <si>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</si>
  <si>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</si>
  <si>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</si>
  <si>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</si>
  <si>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</si>
  <si>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</si>
  <si>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</si>
  <si>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</si>
  <si>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</si>
  <si>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</si>
  <si>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</si>
  <si>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</si>
  <si>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</si>
  <si>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</si>
  <si>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</si>
  <si>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</si>
  <si>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</si>
  <si>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</si>
  <si>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</si>
  <si>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</si>
  <si>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</si>
  <si>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</si>
  <si>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</si>
  <si>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</si>
  <si>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</si>
  <si>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</si>
  <si>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</si>
  <si>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</si>
  <si>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</si>
  <si>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</si>
  <si>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</si>
  <si>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</si>
  <si>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</si>
  <si>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</si>
  <si>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</si>
  <si>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</si>
  <si>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</si>
  <si>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</si>
  <si>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</si>
  <si>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</si>
  <si>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</si>
  <si>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</si>
  <si>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</si>
  <si>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</si>
  <si>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</si>
  <si>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</si>
  <si>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</si>
  <si>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</si>
  <si>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</si>
  <si>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</si>
  <si>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</si>
  <si>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</si>
  <si>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</si>
  <si>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</si>
  <si>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</si>
  <si>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</si>
  <si>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</si>
  <si>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</si>
  <si>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</si>
  <si>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</si>
  <si>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</si>
  <si>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</si>
  <si>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</si>
  <si>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</si>
  <si>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</si>
  <si>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</si>
  <si>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</si>
  <si>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</si>
  <si>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</si>
  <si>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</si>
  <si>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</si>
  <si>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</si>
  <si>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</si>
  <si>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</si>
  <si>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</si>
  <si>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</si>
  <si>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</si>
  <si>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</si>
  <si>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</si>
  <si>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</si>
  <si>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</si>
  <si>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</si>
  <si>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</si>
  <si>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</si>
  <si>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</si>
  <si>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</si>
  <si>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</si>
  <si>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</si>
  <si>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</si>
  <si>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</si>
  <si>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</si>
  <si>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</si>
  <si>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</si>
  <si>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</si>
  <si>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</si>
  <si>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</si>
  <si>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</si>
  <si>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</si>
  <si>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</si>
  <si>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</si>
  <si>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</si>
  <si>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</si>
  <si>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</si>
  <si>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</si>
  <si>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</si>
  <si>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</si>
  <si>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</si>
  <si>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</si>
  <si>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</si>
  <si>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</si>
  <si>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</si>
  <si>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</si>
  <si>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</si>
  <si>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</si>
  <si>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</si>
  <si>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</si>
  <si>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</si>
  <si>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</si>
  <si>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</si>
  <si>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</si>
  <si>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</si>
  <si>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</si>
  <si>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</si>
  <si>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</si>
  <si>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</si>
  <si>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Oshawa PUC Networks Inc.</t>
  </si>
  <si>
    <t>EB-2019-0062</t>
  </si>
  <si>
    <t>2020 COS/IRM Application</t>
  </si>
  <si>
    <t>2015-2017</t>
  </si>
  <si>
    <t>EB-2020-0048</t>
  </si>
  <si>
    <t>2021 COS/IRM Application</t>
  </si>
  <si>
    <t>2018-2019</t>
  </si>
  <si>
    <t>GS 50 to 999 kW (I1 &amp; I4)</t>
  </si>
  <si>
    <t>GS 1,000 to 4,999 kW (I2)</t>
  </si>
  <si>
    <t>Large Use (I3)</t>
  </si>
  <si>
    <t>USL</t>
  </si>
  <si>
    <t>Sentinel Lights</t>
  </si>
  <si>
    <t>Rows 48 to 52</t>
  </si>
  <si>
    <t>LRAM Threshold is based on approved Load Forecast from 2015 COS</t>
  </si>
  <si>
    <t>No changes to LRAM threshold from version used in 2020 LRAM claim</t>
  </si>
  <si>
    <t>EB-2014-0101</t>
  </si>
  <si>
    <t>EB-2017-0069</t>
  </si>
  <si>
    <t xml:space="preserve">Methodology: </t>
  </si>
  <si>
    <t xml:space="preserve">Participant lists were extracted for programs that spanned more than one customer class (i.e.. ERII, SBL, Retrofit, HPNC, Energy Audit). Participation was grouped into customer classes, and a weight for each class on total participants in that customer class was calculated. </t>
  </si>
  <si>
    <t xml:space="preserve">Retrofit was calculated using the amount of incentive given to customer as a percentage to the total incentives issued for the retrofit initiative. </t>
  </si>
  <si>
    <t xml:space="preserve">Other programs such as all residential programs, or PSUI programs were allocated 100% to the customer class the savings came from. </t>
  </si>
  <si>
    <t>Programs</t>
  </si>
  <si>
    <t>General 
Service 
&lt;50 kW</t>
  </si>
  <si>
    <t>General 
Service 
&gt;50-999 kW</t>
  </si>
  <si>
    <t>General
 Service 
1000-4,999 kW</t>
  </si>
  <si>
    <t>Large Use &gt;5000 kW</t>
  </si>
  <si>
    <t>2015-2020 LRAM</t>
  </si>
  <si>
    <t xml:space="preserve"> </t>
  </si>
  <si>
    <t>Save on Energy Instant Discount Program</t>
  </si>
  <si>
    <t>Whole Home Pilot Program</t>
  </si>
  <si>
    <t>Home Depot Home Appliance Market Uplift Conservation Fund Pilot Program</t>
  </si>
  <si>
    <t>2018 &amp; 2019</t>
  </si>
  <si>
    <t>Conservation Fund</t>
  </si>
  <si>
    <t xml:space="preserve">Oshawa PUC Networks Inc. </t>
  </si>
  <si>
    <t>EE</t>
  </si>
  <si>
    <t>Commercial and Institutional</t>
  </si>
  <si>
    <t>Commercial</t>
  </si>
  <si>
    <t>Industrial</t>
  </si>
  <si>
    <t>CFF Business</t>
  </si>
  <si>
    <t>CFF Residential</t>
  </si>
  <si>
    <t>Save on Energy Heating &amp; Cooling Program</t>
  </si>
  <si>
    <t>CFF</t>
  </si>
  <si>
    <t>KWH to KW conversion - residential</t>
  </si>
  <si>
    <t>KWH to KW conversion - retrofit (non-resi)</t>
  </si>
  <si>
    <t>non-Residential - Retrofit</t>
  </si>
  <si>
    <t>non-Residential - SBL</t>
  </si>
  <si>
    <t>Table 8-a: Oshawa PUC Networks</t>
  </si>
  <si>
    <t>Cobras</t>
  </si>
  <si>
    <t>Daily Avg Savings</t>
  </si>
  <si>
    <t>Install Days</t>
  </si>
  <si>
    <t>Avg Units Installed per Day</t>
  </si>
  <si>
    <t>Monthly kW Savings</t>
  </si>
  <si>
    <t>Cumulative kW Savings</t>
  </si>
  <si>
    <t>Decorative</t>
  </si>
  <si>
    <t>Total Monthly kW Savings</t>
  </si>
  <si>
    <t>Annual Cumulative kW Savings</t>
  </si>
  <si>
    <t>Net Annual Cummulative Savings in KWH</t>
  </si>
  <si>
    <t xml:space="preserve">persistant savings </t>
  </si>
  <si>
    <t>KW to KWH conversion factor, as used in Realterm pre-audit report</t>
  </si>
  <si>
    <t>Annual Energy Consumption of cobraheads (page 10)</t>
  </si>
  <si>
    <t>Demand for cobraheads (monthly*12) (page 11)</t>
  </si>
  <si>
    <t>KW to KWH ratio (%)</t>
  </si>
  <si>
    <t>Streetlights</t>
  </si>
  <si>
    <t>2018 - All residential programs</t>
  </si>
  <si>
    <t>2019 - All Residential Programs</t>
  </si>
  <si>
    <t>--&gt;formula doesn't account for what has been claimed</t>
  </si>
  <si>
    <r>
      <t xml:space="preserve">--&gt;formula </t>
    </r>
    <r>
      <rPr>
        <b/>
        <sz val="12"/>
        <color theme="1"/>
        <rFont val="Calibri"/>
        <family val="2"/>
        <scheme val="minor"/>
      </rPr>
      <t xml:space="preserve">does </t>
    </r>
    <r>
      <rPr>
        <sz val="12"/>
        <color theme="1"/>
        <rFont val="Calibri"/>
        <family val="2"/>
        <scheme val="minor"/>
      </rPr>
      <t>account for what has been claimed</t>
    </r>
  </si>
  <si>
    <t>--&gt; life to date of LRAM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</si>
</sst>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0.000%"/>
    <numFmt numFmtId="286" formatCode="_-* #,##0.0000_-;\-* #,##0.0000_-;_-* &quot;-&quot;??_-;_-@_-"/>
  </numFmts>
  <fonts count="252">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sz val="11"/>
      <color rgb="FF0070C0"/>
      <name val="Calibri"/>
      <family val="2"/>
      <scheme val="minor"/>
    </font>
    <font>
      <b/>
      <u/>
      <sz val="12"/>
      <color theme="1"/>
      <name val="Calibri"/>
      <family val="2"/>
      <scheme val="minor"/>
    </font>
    <font>
      <b/>
      <sz val="11"/>
      <color rgb="FF0070C0"/>
      <name val="Calibri"/>
      <family val="2"/>
      <scheme val="minor"/>
    </font>
    <font>
      <b/>
      <sz val="11"/>
      <color rgb="FF000000"/>
      <name val="Calibri"/>
      <family val="2"/>
    </font>
    <font>
      <sz val="11"/>
      <color theme="1"/>
      <name val="Calibri"/>
      <family val="2"/>
    </font>
    <font>
      <b/>
      <sz val="11"/>
      <color theme="1"/>
      <name val="Calibri"/>
      <family val="2"/>
    </font>
  </fonts>
  <fills count="103">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5"/>
        <bgColor indexed="64"/>
      </patternFill>
    </fill>
    <fill>
      <patternFill patternType="solid">
        <fgColor theme="7" tint="0.59999389629810485"/>
        <bgColor indexed="64"/>
      </patternFill>
    </fill>
    <fill>
      <patternFill patternType="solid">
        <fgColor rgb="FF92D050"/>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tint="0.39997558519241921"/>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n">
        <color auto="1"/>
      </left>
      <right/>
      <top/>
      <bottom style="thin">
        <color theme="0"/>
      </bottom>
      <diagonal/>
    </border>
    <border>
      <left style="thin">
        <color indexed="64"/>
      </left>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indexed="64"/>
      </right>
      <top style="thin">
        <color theme="0"/>
      </top>
      <bottom style="thin">
        <color indexed="64"/>
      </bottom>
      <diagonal/>
    </border>
    <border>
      <left/>
      <right/>
      <top style="thin">
        <color theme="0"/>
      </top>
      <bottom style="thin">
        <color indexed="64"/>
      </bottom>
      <diagonal/>
    </border>
    <border>
      <left style="thin">
        <color indexed="64"/>
      </left>
      <right/>
      <top style="thin">
        <color theme="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937">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3" fontId="48" fillId="94" borderId="34" xfId="0" applyNumberFormat="1" applyFont="1" applyFill="1" applyBorder="1" applyAlignment="1">
      <alignment horizontal="center"/>
    </xf>
    <xf numFmtId="177" fontId="48" fillId="28" borderId="34" xfId="71" applyNumberFormat="1" applyFont="1" applyFill="1" applyBorder="1" applyAlignment="1" applyProtection="1">
      <alignment horizontal="center"/>
      <protection locked="0"/>
    </xf>
    <xf numFmtId="177" fontId="41" fillId="28" borderId="34" xfId="71" applyNumberFormat="1" applyFont="1" applyFill="1" applyBorder="1" applyAlignment="1" applyProtection="1">
      <alignment horizontal="center"/>
      <protection locked="0"/>
    </xf>
    <xf numFmtId="177" fontId="41" fillId="28" borderId="110" xfId="71" applyNumberFormat="1" applyFont="1" applyFill="1" applyBorder="1" applyAlignment="1" applyProtection="1">
      <alignment horizontal="center"/>
      <protection locked="0"/>
    </xf>
    <xf numFmtId="0" fontId="246" fillId="2" borderId="0" xfId="0" applyFont="1" applyFill="1"/>
    <xf numFmtId="0" fontId="0" fillId="95" borderId="0" xfId="0" applyFill="1"/>
    <xf numFmtId="0" fontId="3" fillId="96" borderId="132" xfId="0" applyFont="1" applyFill="1" applyBorder="1" applyAlignment="1">
      <alignment horizontal="center"/>
    </xf>
    <xf numFmtId="0" fontId="3" fillId="96" borderId="131" xfId="0" applyFont="1" applyFill="1" applyBorder="1" applyAlignment="1">
      <alignment horizontal="center"/>
    </xf>
    <xf numFmtId="0" fontId="3" fillId="96" borderId="12" xfId="0" applyFont="1" applyFill="1" applyBorder="1" applyAlignment="1">
      <alignment horizontal="center"/>
    </xf>
    <xf numFmtId="0" fontId="3" fillId="95" borderId="5" xfId="0" applyFont="1" applyFill="1" applyBorder="1" applyAlignment="1">
      <alignment vertical="center"/>
    </xf>
    <xf numFmtId="0" fontId="0" fillId="95" borderId="5" xfId="0" applyFill="1" applyBorder="1"/>
    <xf numFmtId="0" fontId="11" fillId="95" borderId="144" xfId="0" applyNumberFormat="1" applyFont="1" applyFill="1" applyBorder="1" applyAlignment="1" applyProtection="1">
      <alignment horizontal="center" vertical="center" wrapText="1"/>
      <protection locked="0"/>
    </xf>
    <xf numFmtId="0" fontId="11" fillId="95" borderId="145" xfId="0" applyNumberFormat="1" applyFont="1" applyFill="1" applyBorder="1" applyAlignment="1" applyProtection="1">
      <alignment horizontal="center" vertical="center" wrapText="1"/>
      <protection locked="0"/>
    </xf>
    <xf numFmtId="0" fontId="11" fillId="95" borderId="146" xfId="0" applyNumberFormat="1" applyFont="1" applyFill="1" applyBorder="1" applyAlignment="1" applyProtection="1">
      <alignment horizontal="center" vertical="center" wrapText="1"/>
      <protection locked="0"/>
    </xf>
    <xf numFmtId="0" fontId="11" fillId="95" borderId="147" xfId="0" applyNumberFormat="1" applyFont="1" applyFill="1" applyBorder="1" applyAlignment="1" applyProtection="1">
      <alignment horizontal="center" vertical="center" wrapText="1"/>
      <protection locked="0"/>
    </xf>
    <xf numFmtId="0" fontId="11" fillId="95" borderId="148" xfId="0" applyNumberFormat="1" applyFont="1" applyFill="1" applyBorder="1" applyAlignment="1" applyProtection="1">
      <alignment horizontal="center" vertical="center" wrapText="1"/>
      <protection locked="0"/>
    </xf>
    <xf numFmtId="0" fontId="11" fillId="95" borderId="149" xfId="0" applyNumberFormat="1" applyFont="1" applyFill="1" applyBorder="1" applyAlignment="1" applyProtection="1">
      <alignment horizontal="center" vertical="center" wrapText="1"/>
      <protection locked="0"/>
    </xf>
    <xf numFmtId="0" fontId="11" fillId="95" borderId="46" xfId="0" applyNumberFormat="1" applyFont="1" applyFill="1" applyBorder="1" applyAlignment="1" applyProtection="1">
      <alignment horizontal="center" vertical="center" wrapText="1"/>
      <protection locked="0"/>
    </xf>
    <xf numFmtId="0" fontId="32" fillId="97" borderId="138" xfId="0" quotePrefix="1" applyFont="1" applyFill="1" applyBorder="1"/>
    <xf numFmtId="0" fontId="0" fillId="97" borderId="138" xfId="0" applyFill="1" applyBorder="1"/>
    <xf numFmtId="0" fontId="0" fillId="97" borderId="122" xfId="0" applyFill="1" applyBorder="1"/>
    <xf numFmtId="0" fontId="0" fillId="97" borderId="134" xfId="0" applyFill="1" applyBorder="1"/>
    <xf numFmtId="0" fontId="247" fillId="2" borderId="0" xfId="0" applyFont="1" applyFill="1"/>
    <xf numFmtId="9" fontId="0" fillId="2" borderId="89" xfId="72" applyFont="1" applyFill="1" applyBorder="1"/>
    <xf numFmtId="9" fontId="0" fillId="2" borderId="0" xfId="72" applyFont="1" applyFill="1" applyBorder="1"/>
    <xf numFmtId="9" fontId="0" fillId="2" borderId="12" xfId="72" applyFont="1" applyFill="1" applyBorder="1"/>
    <xf numFmtId="9" fontId="0" fillId="2" borderId="0" xfId="72" applyFont="1" applyFill="1"/>
    <xf numFmtId="0" fontId="0" fillId="2" borderId="118" xfId="0" applyFill="1" applyBorder="1"/>
    <xf numFmtId="0" fontId="0" fillId="2" borderId="103" xfId="0" applyFill="1" applyBorder="1"/>
    <xf numFmtId="0" fontId="0" fillId="2" borderId="97" xfId="0" applyFill="1" applyBorder="1"/>
    <xf numFmtId="0" fontId="248" fillId="2" borderId="0" xfId="0" applyFont="1" applyFill="1"/>
    <xf numFmtId="0" fontId="0" fillId="2" borderId="89" xfId="0" applyFill="1" applyBorder="1"/>
    <xf numFmtId="0" fontId="0" fillId="2" borderId="12" xfId="0" applyFill="1" applyBorder="1"/>
    <xf numFmtId="0" fontId="0" fillId="2" borderId="109" xfId="0" applyFill="1" applyBorder="1"/>
    <xf numFmtId="0" fontId="0" fillId="2" borderId="5" xfId="0" applyFill="1" applyBorder="1"/>
    <xf numFmtId="0" fontId="0" fillId="2" borderId="112" xfId="0" applyFill="1" applyBorder="1"/>
    <xf numFmtId="0" fontId="248" fillId="2" borderId="103" xfId="0" applyFont="1" applyFill="1" applyBorder="1"/>
    <xf numFmtId="9" fontId="0" fillId="2" borderId="118" xfId="72" applyFont="1" applyFill="1" applyBorder="1"/>
    <xf numFmtId="9" fontId="0" fillId="2" borderId="103" xfId="72" applyFont="1" applyFill="1" applyBorder="1"/>
    <xf numFmtId="9" fontId="0" fillId="2" borderId="97" xfId="72" applyFont="1" applyFill="1" applyBorder="1"/>
    <xf numFmtId="9" fontId="0" fillId="2" borderId="0" xfId="72" applyNumberFormat="1" applyFont="1" applyFill="1" applyBorder="1"/>
    <xf numFmtId="9" fontId="0" fillId="2" borderId="109" xfId="72" applyFont="1" applyFill="1" applyBorder="1"/>
    <xf numFmtId="9" fontId="0" fillId="2" borderId="5" xfId="72" applyFont="1" applyFill="1" applyBorder="1"/>
    <xf numFmtId="9" fontId="0" fillId="2" borderId="112" xfId="72" applyFont="1" applyFill="1" applyBorder="1"/>
    <xf numFmtId="9" fontId="0" fillId="2" borderId="89" xfId="0" applyNumberFormat="1" applyFill="1" applyBorder="1"/>
    <xf numFmtId="233" fontId="0" fillId="2" borderId="0" xfId="72" applyNumberFormat="1" applyFont="1" applyFill="1" applyBorder="1"/>
    <xf numFmtId="233" fontId="0" fillId="2" borderId="12" xfId="72" applyNumberFormat="1" applyFont="1" applyFill="1" applyBorder="1"/>
    <xf numFmtId="9" fontId="0" fillId="2" borderId="0" xfId="0" applyNumberFormat="1" applyFill="1" applyBorder="1"/>
    <xf numFmtId="9" fontId="0" fillId="2" borderId="12" xfId="0" applyNumberFormat="1" applyFill="1" applyBorder="1"/>
    <xf numFmtId="233" fontId="0" fillId="2" borderId="0" xfId="72" applyNumberFormat="1" applyFont="1" applyFill="1"/>
    <xf numFmtId="0" fontId="0" fillId="98" borderId="110" xfId="0" applyFont="1" applyFill="1" applyBorder="1" applyAlignment="1">
      <alignment vertical="top"/>
    </xf>
    <xf numFmtId="0" fontId="0" fillId="99" borderId="110" xfId="0" applyFont="1" applyFill="1" applyBorder="1" applyAlignment="1">
      <alignment vertical="top"/>
    </xf>
    <xf numFmtId="0" fontId="0" fillId="99" borderId="110" xfId="0" applyFill="1" applyBorder="1"/>
    <xf numFmtId="0" fontId="0" fillId="99" borderId="0" xfId="0" applyFont="1" applyFill="1" applyBorder="1" applyAlignment="1">
      <alignment vertical="top"/>
    </xf>
    <xf numFmtId="3" fontId="0" fillId="99" borderId="3" xfId="0" applyNumberFormat="1" applyFont="1" applyFill="1" applyBorder="1" applyAlignment="1">
      <alignment vertical="top"/>
    </xf>
    <xf numFmtId="3" fontId="0" fillId="99" borderId="35" xfId="0" applyNumberFormat="1" applyFont="1" applyFill="1" applyBorder="1" applyAlignment="1">
      <alignment vertical="top"/>
    </xf>
    <xf numFmtId="3" fontId="0" fillId="99" borderId="45" xfId="0" applyNumberFormat="1" applyFont="1" applyFill="1" applyBorder="1" applyAlignment="1">
      <alignment vertical="top"/>
    </xf>
    <xf numFmtId="3" fontId="0" fillId="100" borderId="35" xfId="0" applyNumberFormat="1" applyFont="1" applyFill="1" applyBorder="1" applyAlignment="1">
      <alignment vertical="top"/>
    </xf>
    <xf numFmtId="0" fontId="0" fillId="93" borderId="110" xfId="0" applyFont="1" applyFill="1" applyBorder="1" applyAlignment="1">
      <alignment vertical="top"/>
    </xf>
    <xf numFmtId="285" fontId="0" fillId="28" borderId="35" xfId="72" applyNumberFormat="1" applyFont="1" applyFill="1" applyBorder="1" applyAlignment="1">
      <alignment vertical="top"/>
    </xf>
    <xf numFmtId="285" fontId="0" fillId="93" borderId="35" xfId="72" applyNumberFormat="1" applyFont="1" applyFill="1" applyBorder="1" applyAlignment="1">
      <alignment vertical="top"/>
    </xf>
    <xf numFmtId="0" fontId="0" fillId="97" borderId="110" xfId="0" applyFont="1" applyFill="1" applyBorder="1" applyAlignment="1">
      <alignment vertical="top"/>
    </xf>
    <xf numFmtId="0" fontId="0" fillId="101" borderId="110" xfId="0" applyFont="1" applyFill="1" applyBorder="1" applyAlignment="1">
      <alignment vertical="top"/>
    </xf>
    <xf numFmtId="3" fontId="0" fillId="97" borderId="35" xfId="0" applyNumberFormat="1" applyFont="1" applyFill="1" applyBorder="1" applyAlignment="1">
      <alignment vertical="top"/>
    </xf>
    <xf numFmtId="3" fontId="0" fillId="101" borderId="35" xfId="0" applyNumberFormat="1" applyFont="1" applyFill="1" applyBorder="1" applyAlignment="1">
      <alignment vertical="top"/>
    </xf>
    <xf numFmtId="3" fontId="7" fillId="101" borderId="35" xfId="0" applyNumberFormat="1" applyFont="1" applyFill="1" applyBorder="1" applyAlignment="1">
      <alignment vertical="top"/>
    </xf>
    <xf numFmtId="3" fontId="7" fillId="28" borderId="35" xfId="0" applyNumberFormat="1" applyFont="1" applyFill="1" applyBorder="1" applyAlignment="1">
      <alignment vertical="top"/>
    </xf>
    <xf numFmtId="3" fontId="7" fillId="97" borderId="35" xfId="0" applyNumberFormat="1" applyFont="1" applyFill="1" applyBorder="1" applyAlignment="1">
      <alignment vertical="top"/>
    </xf>
    <xf numFmtId="0" fontId="249" fillId="0" borderId="150" xfId="0" applyFont="1" applyFill="1" applyBorder="1" applyAlignment="1">
      <alignment horizontal="center"/>
    </xf>
    <xf numFmtId="0" fontId="249" fillId="0" borderId="151" xfId="0" applyFont="1" applyFill="1" applyBorder="1" applyAlignment="1">
      <alignment horizontal="center"/>
    </xf>
    <xf numFmtId="0" fontId="249" fillId="0" borderId="151" xfId="0" applyFont="1" applyFill="1" applyBorder="1" applyAlignment="1">
      <alignment horizontal="center" wrapText="1"/>
    </xf>
    <xf numFmtId="0" fontId="249" fillId="0" borderId="152" xfId="0" applyFont="1" applyFill="1" applyBorder="1" applyAlignment="1">
      <alignment horizontal="center" wrapText="1"/>
    </xf>
    <xf numFmtId="0" fontId="3" fillId="2" borderId="110" xfId="0" applyFont="1" applyFill="1" applyBorder="1" applyAlignment="1">
      <alignment horizontal="center" wrapText="1"/>
    </xf>
    <xf numFmtId="17" fontId="250" fillId="0" borderId="153" xfId="0" applyNumberFormat="1" applyFont="1" applyFill="1" applyBorder="1"/>
    <xf numFmtId="174" fontId="250" fillId="0" borderId="110" xfId="71" applyNumberFormat="1" applyFont="1" applyFill="1" applyBorder="1"/>
    <xf numFmtId="286" fontId="250" fillId="0" borderId="110" xfId="0" applyNumberFormat="1" applyFont="1" applyFill="1" applyBorder="1"/>
    <xf numFmtId="43" fontId="250" fillId="0" borderId="110" xfId="0" applyNumberFormat="1" applyFont="1" applyFill="1" applyBorder="1"/>
    <xf numFmtId="43" fontId="250" fillId="0" borderId="154" xfId="0" applyNumberFormat="1" applyFont="1" applyFill="1" applyBorder="1"/>
    <xf numFmtId="0" fontId="0" fillId="2" borderId="110" xfId="0" applyFill="1" applyBorder="1"/>
    <xf numFmtId="43" fontId="249" fillId="0" borderId="154" xfId="0" applyNumberFormat="1" applyFont="1" applyFill="1" applyBorder="1"/>
    <xf numFmtId="17" fontId="251" fillId="0" borderId="153" xfId="0" applyNumberFormat="1" applyFont="1" applyFill="1" applyBorder="1"/>
    <xf numFmtId="174" fontId="3" fillId="2" borderId="110" xfId="0" applyNumberFormat="1" applyFont="1" applyFill="1" applyBorder="1"/>
    <xf numFmtId="17" fontId="249" fillId="0" borderId="153" xfId="0" applyNumberFormat="1" applyFont="1" applyFill="1" applyBorder="1"/>
    <xf numFmtId="0" fontId="249" fillId="0" borderId="110" xfId="0" applyFont="1" applyFill="1" applyBorder="1"/>
    <xf numFmtId="286" fontId="249" fillId="0" borderId="110" xfId="0" applyNumberFormat="1" applyFont="1" applyFill="1" applyBorder="1"/>
    <xf numFmtId="174" fontId="249" fillId="0" borderId="110" xfId="71" applyNumberFormat="1" applyFont="1" applyFill="1" applyBorder="1"/>
    <xf numFmtId="43" fontId="249" fillId="0" borderId="110" xfId="0" applyNumberFormat="1" applyFont="1" applyFill="1" applyBorder="1"/>
    <xf numFmtId="17" fontId="249" fillId="0" borderId="155" xfId="0" applyNumberFormat="1" applyFont="1" applyFill="1" applyBorder="1"/>
    <xf numFmtId="0" fontId="249" fillId="0" borderId="156" xfId="0" applyFont="1" applyFill="1" applyBorder="1"/>
    <xf numFmtId="43" fontId="249" fillId="0" borderId="157" xfId="0" applyNumberFormat="1" applyFont="1" applyFill="1" applyBorder="1"/>
    <xf numFmtId="0" fontId="0" fillId="2" borderId="34" xfId="0" applyFill="1" applyBorder="1"/>
    <xf numFmtId="177" fontId="13" fillId="2" borderId="0" xfId="71" applyNumberFormat="1" applyFont="1" applyFill="1"/>
    <xf numFmtId="10" fontId="13" fillId="2" borderId="0" xfId="72" applyNumberFormat="1" applyFont="1" applyFill="1"/>
    <xf numFmtId="285" fontId="0" fillId="2" borderId="0" xfId="72" applyNumberFormat="1" applyFont="1" applyFill="1"/>
    <xf numFmtId="10" fontId="45" fillId="28" borderId="0" xfId="72" applyNumberFormat="1" applyFont="1" applyFill="1" applyBorder="1" applyAlignment="1">
      <alignment horizontal="center" vertical="center"/>
    </xf>
    <xf numFmtId="9" fontId="45" fillId="28" borderId="0" xfId="72" applyFont="1" applyFill="1" applyBorder="1" applyAlignment="1">
      <alignment horizontal="center" vertical="top"/>
    </xf>
    <xf numFmtId="0" fontId="91" fillId="100" borderId="89" xfId="0" applyFont="1" applyFill="1" applyBorder="1" applyAlignment="1" applyProtection="1">
      <alignment vertical="top" wrapText="1"/>
      <protection locked="0"/>
    </xf>
    <xf numFmtId="0" fontId="91" fillId="100" borderId="0" xfId="0" applyFont="1" applyFill="1" applyBorder="1" applyAlignment="1" applyProtection="1">
      <alignment vertical="top" wrapText="1"/>
      <protection locked="0"/>
    </xf>
    <xf numFmtId="168" fontId="45" fillId="100" borderId="48" xfId="0" applyNumberFormat="1" applyFont="1" applyFill="1" applyBorder="1" applyAlignment="1" applyProtection="1">
      <alignment horizontal="center"/>
    </xf>
    <xf numFmtId="284" fontId="41" fillId="100" borderId="55" xfId="0" applyNumberFormat="1" applyFont="1" applyFill="1" applyBorder="1" applyAlignment="1" applyProtection="1">
      <alignment horizontal="center"/>
    </xf>
    <xf numFmtId="284" fontId="45" fillId="100" borderId="48" xfId="0" applyNumberFormat="1" applyFont="1" applyFill="1" applyBorder="1" applyAlignment="1" applyProtection="1">
      <alignment horizontal="center"/>
    </xf>
    <xf numFmtId="164" fontId="91" fillId="102" borderId="35" xfId="0" applyNumberFormat="1" applyFont="1" applyFill="1" applyBorder="1" applyAlignment="1">
      <alignment horizontal="center"/>
    </xf>
    <xf numFmtId="164" fontId="91" fillId="102" borderId="120" xfId="0" applyNumberFormat="1" applyFont="1" applyFill="1" applyBorder="1" applyAlignment="1">
      <alignment horizontal="center"/>
    </xf>
    <xf numFmtId="164" fontId="91" fillId="102" borderId="45" xfId="0" applyNumberFormat="1" applyFont="1" applyFill="1" applyBorder="1" applyAlignment="1">
      <alignment horizontal="center"/>
    </xf>
    <xf numFmtId="169" fontId="41" fillId="102" borderId="7" xfId="0" applyNumberFormat="1" applyFont="1" applyFill="1" applyBorder="1" applyProtection="1">
      <protection locked="0"/>
    </xf>
    <xf numFmtId="169" fontId="45" fillId="102" borderId="7" xfId="70" applyNumberFormat="1" applyFont="1" applyFill="1" applyBorder="1" applyProtection="1"/>
    <xf numFmtId="17" fontId="41" fillId="102" borderId="7" xfId="0" applyNumberFormat="1" applyFont="1" applyFill="1" applyBorder="1"/>
    <xf numFmtId="0" fontId="41" fillId="102" borderId="7" xfId="0" applyFont="1" applyFill="1" applyBorder="1"/>
    <xf numFmtId="10" fontId="45" fillId="102" borderId="7" xfId="0" applyNumberFormat="1" applyFont="1" applyFill="1" applyBorder="1"/>
    <xf numFmtId="0" fontId="13" fillId="2" borderId="0" xfId="0" quotePrefix="1" applyFont="1" applyFill="1"/>
    <xf numFmtId="0" fontId="217" fillId="2" borderId="0" xfId="0" quotePrefix="1" applyFont="1" applyFill="1" applyAlignment="1">
      <alignment vertic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3" fillId="96" borderId="143" xfId="0" applyFont="1" applyFill="1" applyBorder="1" applyAlignment="1">
      <alignment horizontal="center"/>
    </xf>
    <xf numFmtId="0" fontId="3" fillId="96" borderId="131" xfId="0" applyFont="1" applyFill="1" applyBorder="1" applyAlignment="1">
      <alignment horizontal="center"/>
    </xf>
    <xf numFmtId="0" fontId="3" fillId="96" borderId="132" xfId="0" applyFont="1" applyFill="1" applyBorder="1" applyAlignment="1">
      <alignment horizontal="center"/>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1472583" cy="2361908"/>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23194" y="129873"/>
          <a:ext cx="21441103" cy="1969589"/>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6815661" cy="194808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9823833" cy="178011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300059" y="279812"/>
          <a:ext cx="16690637" cy="2197847"/>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4929" y="75096"/>
          <a:ext cx="19446231" cy="1939234"/>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4853" y="46099"/>
          <a:ext cx="20697985" cy="2333693"/>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958850</xdr:colOff>
          <xdr:row>53</xdr:row>
          <xdr:rowOff>25400</xdr:rowOff>
        </xdr:from>
        <xdr:to>
          <xdr:col>2</xdr:col>
          <xdr:colOff>1377950</xdr:colOff>
          <xdr:row>54</xdr:row>
          <xdr:rowOff>158750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56</xdr:row>
          <xdr:rowOff>25400</xdr:rowOff>
        </xdr:from>
        <xdr:to>
          <xdr:col>2</xdr:col>
          <xdr:colOff>1377950</xdr:colOff>
          <xdr:row>57</xdr:row>
          <xdr:rowOff>158750</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59</xdr:row>
          <xdr:rowOff>25400</xdr:rowOff>
        </xdr:from>
        <xdr:to>
          <xdr:col>2</xdr:col>
          <xdr:colOff>1377950</xdr:colOff>
          <xdr:row>60</xdr:row>
          <xdr:rowOff>158750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62</xdr:row>
          <xdr:rowOff>25400</xdr:rowOff>
        </xdr:from>
        <xdr:to>
          <xdr:col>2</xdr:col>
          <xdr:colOff>1377950</xdr:colOff>
          <xdr:row>63</xdr:row>
          <xdr:rowOff>158750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65</xdr:row>
          <xdr:rowOff>25400</xdr:rowOff>
        </xdr:from>
        <xdr:to>
          <xdr:col>2</xdr:col>
          <xdr:colOff>1377950</xdr:colOff>
          <xdr:row>66</xdr:row>
          <xdr:rowOff>158750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958850</xdr:colOff>
          <xdr:row>68</xdr:row>
          <xdr:rowOff>38100</xdr:rowOff>
        </xdr:from>
        <xdr:to>
          <xdr:col>2</xdr:col>
          <xdr:colOff>1377950</xdr:colOff>
          <xdr:row>69</xdr:row>
          <xdr:rowOff>177800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71</xdr:row>
          <xdr:rowOff>38100</xdr:rowOff>
        </xdr:from>
        <xdr:to>
          <xdr:col>2</xdr:col>
          <xdr:colOff>1377950</xdr:colOff>
          <xdr:row>72</xdr:row>
          <xdr:rowOff>177800</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31750</xdr:rowOff>
        </xdr:from>
        <xdr:to>
          <xdr:col>2</xdr:col>
          <xdr:colOff>1371600</xdr:colOff>
          <xdr:row>75</xdr:row>
          <xdr:rowOff>165100</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1676400</xdr:colOff>
      <xdr:row>25</xdr:row>
      <xdr:rowOff>635000</xdr:rowOff>
    </xdr:from>
    <xdr:to>
      <xdr:col>11</xdr:col>
      <xdr:colOff>457200</xdr:colOff>
      <xdr:row>29</xdr:row>
      <xdr:rowOff>152400</xdr:rowOff>
    </xdr:to>
    <xdr:sp macro="" textlink="">
      <xdr:nvSpPr>
        <xdr:cNvPr id="7" name="TextBox 6"/>
        <xdr:cNvSpPr txBox="1"/>
      </xdr:nvSpPr>
      <xdr:spPr>
        <a:xfrm>
          <a:off x="14147800" y="10185400"/>
          <a:ext cx="5207000" cy="166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solidFill>
                <a:srgbClr val="FF0000"/>
              </a:solidFill>
            </a:rPr>
            <a:t>Claiming:</a:t>
          </a:r>
        </a:p>
        <a:p>
          <a:r>
            <a:rPr lang="en-CA" sz="1100">
              <a:solidFill>
                <a:srgbClr val="FF0000"/>
              </a:solidFill>
            </a:rPr>
            <a:t>- persistence from 2015-2017 programs from Jan 1 2018,</a:t>
          </a:r>
          <a:r>
            <a:rPr lang="en-CA" sz="1100" baseline="0">
              <a:solidFill>
                <a:srgbClr val="FF0000"/>
              </a:solidFill>
            </a:rPr>
            <a:t> to the end of 2019</a:t>
          </a:r>
        </a:p>
        <a:p>
          <a:r>
            <a:rPr lang="en-CA" sz="1100" baseline="0">
              <a:solidFill>
                <a:srgbClr val="FF0000"/>
              </a:solidFill>
            </a:rPr>
            <a:t>- new savings from 2018 programs and their persistence to end of 2019</a:t>
          </a:r>
        </a:p>
        <a:p>
          <a:r>
            <a:rPr lang="en-CA" sz="1100" baseline="0">
              <a:solidFill>
                <a:srgbClr val="FF0000"/>
              </a:solidFill>
            </a:rPr>
            <a:t>- new savings from 2019 programs (until March 2019)  and their persistence to end of 2019. </a:t>
          </a:r>
          <a:endParaRPr lang="en-CA"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6641763" cy="2103438"/>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7272767" cy="217411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513127" y="274996"/>
          <a:ext cx="10227664" cy="1531057"/>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23154" y="211931"/>
          <a:ext cx="18293014" cy="2205565"/>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Finance\Finance%20Mgmt\Rate%20Applications\2021%20Cost%20of%20Service%20(EB-2020-0048)\Workings\MB%20workings\LRAM%20workings\EB-2019-0062_2020_GenericLRAMVA_WorkForm_20191121%20-%20with%202018%20est%20for%20Ph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19"/>
  <sheetViews>
    <sheetView topLeftCell="B2" zoomScale="90" zoomScaleNormal="90" workbookViewId="0">
      <selection activeCell="B11" sqref="B11"/>
    </sheetView>
  </sheetViews>
  <sheetFormatPr defaultColWidth="9.08984375" defaultRowHeight="14.5"/>
  <cols>
    <col min="1" max="1" width="9.08984375" style="9"/>
    <col min="2" max="2" width="32.08984375" style="27" customWidth="1"/>
    <col min="3" max="3" width="114.36328125" style="9" customWidth="1"/>
    <col min="4" max="4" width="8.08984375" style="9" customWidth="1"/>
    <col min="5" max="16384" width="9.08984375" style="9"/>
  </cols>
  <sheetData>
    <row r="1" spans="1:3" ht="174" customHeight="1"/>
    <row r="3" spans="1:3" ht="20">
      <c r="B3" s="865" t="s">
        <v>174</v>
      </c>
      <c r="C3" s="865"/>
    </row>
    <row r="4" spans="1:3" ht="11.25" customHeight="1"/>
    <row r="5" spans="1:3" s="30" customFormat="1" ht="25.5" customHeight="1">
      <c r="B5" s="60" t="s">
        <v>420</v>
      </c>
      <c r="C5" s="60" t="s">
        <v>173</v>
      </c>
    </row>
    <row r="6" spans="1:3" s="176" customFormat="1" ht="48" customHeight="1">
      <c r="A6" s="241"/>
      <c r="B6" s="618" t="s">
        <v>170</v>
      </c>
      <c r="C6" s="671" t="s">
        <v>600</v>
      </c>
    </row>
    <row r="7" spans="1:3" s="176" customFormat="1" ht="21" customHeight="1">
      <c r="A7" s="241"/>
      <c r="B7" s="612" t="s">
        <v>552</v>
      </c>
      <c r="C7" s="672" t="s">
        <v>613</v>
      </c>
    </row>
    <row r="8" spans="1:3" s="176" customFormat="1" ht="32.25" customHeight="1">
      <c r="B8" s="612" t="s">
        <v>367</v>
      </c>
      <c r="C8" s="673" t="s">
        <v>601</v>
      </c>
    </row>
    <row r="9" spans="1:3" s="176" customFormat="1" ht="27.75" customHeight="1">
      <c r="B9" s="612" t="s">
        <v>169</v>
      </c>
      <c r="C9" s="673" t="s">
        <v>602</v>
      </c>
    </row>
    <row r="10" spans="1:3" s="176" customFormat="1" ht="33" customHeight="1">
      <c r="B10" s="612" t="s">
        <v>598</v>
      </c>
      <c r="C10" s="672" t="s">
        <v>606</v>
      </c>
    </row>
    <row r="11" spans="1:3" s="176" customFormat="1" ht="26.25" customHeight="1">
      <c r="B11" s="627" t="s">
        <v>368</v>
      </c>
      <c r="C11" s="675" t="s">
        <v>603</v>
      </c>
    </row>
    <row r="12" spans="1:3" s="176" customFormat="1" ht="39.75" customHeight="1">
      <c r="B12" s="612" t="s">
        <v>369</v>
      </c>
      <c r="C12" s="673" t="s">
        <v>604</v>
      </c>
    </row>
    <row r="13" spans="1:3" s="176" customFormat="1" ht="18" customHeight="1">
      <c r="B13" s="612" t="s">
        <v>370</v>
      </c>
      <c r="C13" s="673" t="s">
        <v>605</v>
      </c>
    </row>
    <row r="14" spans="1:3" s="176" customFormat="1" ht="13.5" customHeight="1">
      <c r="B14" s="612"/>
      <c r="C14" s="674"/>
    </row>
    <row r="15" spans="1:3" s="176" customFormat="1" ht="18" customHeight="1">
      <c r="B15" s="612" t="s">
        <v>669</v>
      </c>
      <c r="C15" s="672" t="s">
        <v>667</v>
      </c>
    </row>
    <row r="16" spans="1:3" s="176" customFormat="1" ht="8.25" customHeight="1">
      <c r="B16" s="612"/>
      <c r="C16" s="674"/>
    </row>
    <row r="17" spans="2:3" s="176" customFormat="1" ht="33" customHeight="1">
      <c r="B17" s="676" t="s">
        <v>599</v>
      </c>
      <c r="C17" s="677" t="s">
        <v>668</v>
      </c>
    </row>
    <row r="18" spans="2:3" s="103" customFormat="1" ht="15.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0"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P534"/>
  <sheetViews>
    <sheetView topLeftCell="R1" zoomScale="70" zoomScaleNormal="70" zoomScaleSheetLayoutView="80" zoomScalePageLayoutView="85" workbookViewId="0">
      <selection activeCell="AI1" sqref="AI1"/>
    </sheetView>
  </sheetViews>
  <sheetFormatPr defaultColWidth="9.08984375" defaultRowHeight="14" outlineLevelRow="1" outlineLevelCol="1"/>
  <cols>
    <col min="1" max="1" width="4.6328125" style="509" customWidth="1"/>
    <col min="2" max="2" width="43.6328125" style="254" customWidth="1"/>
    <col min="3" max="3" width="14" style="254" customWidth="1"/>
    <col min="4" max="4" width="18.08984375" style="253" customWidth="1"/>
    <col min="5" max="8" width="10.453125" style="253" customWidth="1" outlineLevel="1"/>
    <col min="9" max="13" width="9.08984375" style="253" customWidth="1" outlineLevel="1"/>
    <col min="14" max="14" width="12.453125" style="253" customWidth="1" outlineLevel="1"/>
    <col min="15" max="15" width="17.54296875" style="253" customWidth="1"/>
    <col min="16" max="24" width="9.453125" style="253" customWidth="1" outlineLevel="1"/>
    <col min="25" max="25" width="14.08984375" style="255" customWidth="1"/>
    <col min="26" max="26" width="14.54296875" style="255" customWidth="1"/>
    <col min="27" max="27" width="16.90625" style="255" customWidth="1"/>
    <col min="28" max="28" width="17.54296875" style="255" customWidth="1"/>
    <col min="29" max="35" width="14.54296875" style="255" customWidth="1"/>
    <col min="36" max="38" width="15" style="255" customWidth="1"/>
    <col min="39" max="39" width="14.36328125" style="256" customWidth="1"/>
    <col min="40" max="40" width="14.54296875" style="253" customWidth="1"/>
    <col min="41" max="41" width="14.90625" style="253" customWidth="1"/>
    <col min="42" max="42" width="14" style="253" customWidth="1"/>
    <col min="43" max="43" width="9.6328125" style="253" customWidth="1"/>
    <col min="44" max="44" width="11.08984375" style="253" customWidth="1"/>
    <col min="45" max="45" width="12.08984375" style="253" customWidth="1"/>
    <col min="46" max="46" width="6.453125" style="253" bestFit="1" customWidth="1"/>
    <col min="47" max="51" width="9.08984375" style="253"/>
    <col min="52" max="52" width="6.453125" style="253" bestFit="1" customWidth="1"/>
    <col min="53" max="16384" width="9.08984375" style="253"/>
  </cols>
  <sheetData>
    <row r="1" spans="1:39" ht="164.25" customHeight="1"/>
    <row r="2" spans="1:39" ht="23.25" customHeight="1" thickBot="1"/>
    <row r="3" spans="1:39" ht="25.5" customHeight="1" thickBot="1">
      <c r="B3" s="931"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931"/>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910" t="s">
        <v>551</v>
      </c>
      <c r="D5" s="911"/>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931" t="s">
        <v>505</v>
      </c>
      <c r="C7" s="930" t="s">
        <v>632</v>
      </c>
      <c r="D7" s="930"/>
      <c r="E7" s="930"/>
      <c r="F7" s="930"/>
      <c r="G7" s="930"/>
      <c r="H7" s="930"/>
      <c r="I7" s="930"/>
      <c r="J7" s="930"/>
      <c r="K7" s="930"/>
      <c r="L7" s="930"/>
      <c r="M7" s="930"/>
      <c r="N7" s="930"/>
      <c r="O7" s="930"/>
      <c r="P7" s="930"/>
      <c r="Q7" s="930"/>
      <c r="R7" s="930"/>
      <c r="S7" s="930"/>
      <c r="T7" s="930"/>
      <c r="U7" s="930"/>
      <c r="V7" s="930"/>
      <c r="W7" s="930"/>
      <c r="X7" s="930"/>
      <c r="Y7" s="606"/>
      <c r="Z7" s="606"/>
      <c r="AA7" s="606"/>
      <c r="AB7" s="606"/>
      <c r="AC7" s="606"/>
      <c r="AD7" s="606"/>
      <c r="AE7" s="270"/>
      <c r="AF7" s="270"/>
      <c r="AG7" s="270"/>
      <c r="AH7" s="270"/>
      <c r="AI7" s="270"/>
      <c r="AJ7" s="270"/>
      <c r="AK7" s="270"/>
      <c r="AL7" s="270"/>
    </row>
    <row r="8" spans="1:39" s="271" customFormat="1" ht="58.5" customHeight="1">
      <c r="A8" s="509"/>
      <c r="B8" s="931"/>
      <c r="C8" s="930" t="s">
        <v>570</v>
      </c>
      <c r="D8" s="930"/>
      <c r="E8" s="930"/>
      <c r="F8" s="930"/>
      <c r="G8" s="930"/>
      <c r="H8" s="930"/>
      <c r="I8" s="930"/>
      <c r="J8" s="930"/>
      <c r="K8" s="930"/>
      <c r="L8" s="930"/>
      <c r="M8" s="930"/>
      <c r="N8" s="930"/>
      <c r="O8" s="930"/>
      <c r="P8" s="930"/>
      <c r="Q8" s="930"/>
      <c r="R8" s="930"/>
      <c r="S8" s="930"/>
      <c r="T8" s="930"/>
      <c r="U8" s="930"/>
      <c r="V8" s="930"/>
      <c r="W8" s="930"/>
      <c r="X8" s="930"/>
      <c r="Y8" s="606"/>
      <c r="Z8" s="606"/>
      <c r="AA8" s="606"/>
      <c r="AB8" s="606"/>
      <c r="AC8" s="606"/>
      <c r="AD8" s="606"/>
      <c r="AE8" s="272"/>
      <c r="AF8" s="255"/>
      <c r="AG8" s="255"/>
      <c r="AH8" s="255"/>
      <c r="AI8" s="255"/>
      <c r="AJ8" s="255"/>
      <c r="AK8" s="255"/>
      <c r="AL8" s="255"/>
      <c r="AM8" s="256"/>
    </row>
    <row r="9" spans="1:39" s="271" customFormat="1" ht="57.75" customHeight="1">
      <c r="A9" s="509"/>
      <c r="B9" s="273"/>
      <c r="C9" s="930" t="s">
        <v>569</v>
      </c>
      <c r="D9" s="930"/>
      <c r="E9" s="930"/>
      <c r="F9" s="930"/>
      <c r="G9" s="930"/>
      <c r="H9" s="930"/>
      <c r="I9" s="930"/>
      <c r="J9" s="930"/>
      <c r="K9" s="930"/>
      <c r="L9" s="930"/>
      <c r="M9" s="930"/>
      <c r="N9" s="930"/>
      <c r="O9" s="930"/>
      <c r="P9" s="930"/>
      <c r="Q9" s="930"/>
      <c r="R9" s="930"/>
      <c r="S9" s="930"/>
      <c r="T9" s="930"/>
      <c r="U9" s="930"/>
      <c r="V9" s="930"/>
      <c r="W9" s="930"/>
      <c r="X9" s="930"/>
      <c r="Y9" s="606"/>
      <c r="Z9" s="606"/>
      <c r="AA9" s="606"/>
      <c r="AB9" s="606"/>
      <c r="AC9" s="606"/>
      <c r="AD9" s="606"/>
      <c r="AE9" s="272"/>
      <c r="AF9" s="255"/>
      <c r="AG9" s="255"/>
      <c r="AH9" s="255"/>
      <c r="AI9" s="255"/>
      <c r="AJ9" s="255"/>
      <c r="AK9" s="255"/>
      <c r="AL9" s="255"/>
      <c r="AM9" s="256"/>
    </row>
    <row r="10" spans="1:39" ht="41.25" customHeight="1">
      <c r="B10" s="275"/>
      <c r="C10" s="930" t="s">
        <v>635</v>
      </c>
      <c r="D10" s="930"/>
      <c r="E10" s="930"/>
      <c r="F10" s="930"/>
      <c r="G10" s="930"/>
      <c r="H10" s="930"/>
      <c r="I10" s="930"/>
      <c r="J10" s="930"/>
      <c r="K10" s="930"/>
      <c r="L10" s="930"/>
      <c r="M10" s="930"/>
      <c r="N10" s="930"/>
      <c r="O10" s="930"/>
      <c r="P10" s="930"/>
      <c r="Q10" s="930"/>
      <c r="R10" s="930"/>
      <c r="S10" s="930"/>
      <c r="T10" s="930"/>
      <c r="U10" s="930"/>
      <c r="V10" s="930"/>
      <c r="W10" s="930"/>
      <c r="X10" s="930"/>
      <c r="Y10" s="606"/>
      <c r="Z10" s="606"/>
      <c r="AA10" s="606"/>
      <c r="AB10" s="606"/>
      <c r="AC10" s="606"/>
      <c r="AD10" s="606"/>
      <c r="AE10" s="272"/>
      <c r="AF10" s="276"/>
      <c r="AG10" s="276"/>
      <c r="AH10" s="276"/>
      <c r="AI10" s="276"/>
      <c r="AJ10" s="276"/>
      <c r="AK10" s="276"/>
      <c r="AL10" s="276"/>
    </row>
    <row r="11" spans="1:39" ht="53.25" customHeight="1">
      <c r="C11" s="930" t="s">
        <v>620</v>
      </c>
      <c r="D11" s="930"/>
      <c r="E11" s="930"/>
      <c r="F11" s="930"/>
      <c r="G11" s="930"/>
      <c r="H11" s="930"/>
      <c r="I11" s="930"/>
      <c r="J11" s="930"/>
      <c r="K11" s="930"/>
      <c r="L11" s="930"/>
      <c r="M11" s="930"/>
      <c r="N11" s="930"/>
      <c r="O11" s="930"/>
      <c r="P11" s="930"/>
      <c r="Q11" s="930"/>
      <c r="R11" s="930"/>
      <c r="S11" s="930"/>
      <c r="T11" s="930"/>
      <c r="U11" s="930"/>
      <c r="V11" s="930"/>
      <c r="W11" s="930"/>
      <c r="X11" s="930"/>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931" t="s">
        <v>527</v>
      </c>
      <c r="C13" s="591" t="s">
        <v>522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931"/>
      <c r="C14" s="591" t="s">
        <v>523</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525</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921" t="s">
        <v>211</v>
      </c>
      <c r="C19" s="923" t="s">
        <v>33</v>
      </c>
      <c r="D19" s="284" t="s">
        <v>422</v>
      </c>
      <c r="E19" s="925" t="s">
        <v>209</v>
      </c>
      <c r="F19" s="926"/>
      <c r="G19" s="926"/>
      <c r="H19" s="926"/>
      <c r="I19" s="926"/>
      <c r="J19" s="926"/>
      <c r="K19" s="926"/>
      <c r="L19" s="926"/>
      <c r="M19" s="927"/>
      <c r="N19" s="928" t="s">
        <v>213</v>
      </c>
      <c r="O19" s="284" t="s">
        <v>423</v>
      </c>
      <c r="P19" s="925" t="s">
        <v>212</v>
      </c>
      <c r="Q19" s="926"/>
      <c r="R19" s="926"/>
      <c r="S19" s="926"/>
      <c r="T19" s="926"/>
      <c r="U19" s="926"/>
      <c r="V19" s="926"/>
      <c r="W19" s="926"/>
      <c r="X19" s="927"/>
      <c r="Y19" s="918" t="s">
        <v>243</v>
      </c>
      <c r="Z19" s="919"/>
      <c r="AA19" s="919"/>
      <c r="AB19" s="919"/>
      <c r="AC19" s="919"/>
      <c r="AD19" s="919"/>
      <c r="AE19" s="919"/>
      <c r="AF19" s="919"/>
      <c r="AG19" s="919"/>
      <c r="AH19" s="919"/>
      <c r="AI19" s="919"/>
      <c r="AJ19" s="919"/>
      <c r="AK19" s="919"/>
      <c r="AL19" s="919"/>
      <c r="AM19" s="920"/>
    </row>
    <row r="20" spans="1:39" s="283" customFormat="1" ht="59.25" customHeight="1">
      <c r="A20" s="509"/>
      <c r="B20" s="922"/>
      <c r="C20" s="924"/>
      <c r="D20" s="285">
        <v>2011</v>
      </c>
      <c r="E20" s="285">
        <v>2012</v>
      </c>
      <c r="F20" s="285">
        <v>2013</v>
      </c>
      <c r="G20" s="285">
        <v>2014</v>
      </c>
      <c r="H20" s="285">
        <v>2015</v>
      </c>
      <c r="I20" s="285">
        <v>2016</v>
      </c>
      <c r="J20" s="285">
        <v>2017</v>
      </c>
      <c r="K20" s="285">
        <v>2018</v>
      </c>
      <c r="L20" s="285">
        <v>2019</v>
      </c>
      <c r="M20" s="285">
        <v>2020</v>
      </c>
      <c r="N20" s="929"/>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 to 999 kW (I1 &amp; I4)</v>
      </c>
      <c r="AB20" s="286" t="str">
        <f>'1.  LRAMVA Summary'!G52</f>
        <v>GS 1,000 to 4,999 kW (I2)</v>
      </c>
      <c r="AC20" s="286" t="str">
        <f>'1.  LRAMVA Summary'!H52</f>
        <v>Large Use (I3)</v>
      </c>
      <c r="AD20" s="286" t="str">
        <f>'1.  LRAMVA Summary'!I52</f>
        <v>Street Lighting</v>
      </c>
      <c r="AE20" s="286" t="str">
        <f>'1.  LRAMVA Summary'!J52</f>
        <v>USL</v>
      </c>
      <c r="AF20" s="286" t="str">
        <f>'1.  LRAMVA Summary'!K52</f>
        <v>Sentinel Lights</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v>
      </c>
      <c r="AE21" s="291" t="str">
        <f>'1.  LRAMVA Summary'!J53</f>
        <v>kWh</v>
      </c>
      <c r="AF21" s="291" t="str">
        <f>'1.  LRAMVA Summary'!K53</f>
        <v>kW</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5"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5"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5"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5"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5"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5"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5"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5"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5"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5"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1"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5"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5"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5"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5"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5"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5"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5"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5"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5"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5">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588</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5">
      <c r="B146" s="280" t="s">
        <v>242</v>
      </c>
      <c r="C146" s="281"/>
      <c r="D146" s="590" t="s">
        <v>526</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921" t="s">
        <v>211</v>
      </c>
      <c r="C147" s="923" t="s">
        <v>33</v>
      </c>
      <c r="D147" s="284" t="s">
        <v>422</v>
      </c>
      <c r="E147" s="925" t="s">
        <v>209</v>
      </c>
      <c r="F147" s="926"/>
      <c r="G147" s="926"/>
      <c r="H147" s="926"/>
      <c r="I147" s="926"/>
      <c r="J147" s="926"/>
      <c r="K147" s="926"/>
      <c r="L147" s="926"/>
      <c r="M147" s="927"/>
      <c r="N147" s="928" t="s">
        <v>213</v>
      </c>
      <c r="O147" s="284" t="s">
        <v>423</v>
      </c>
      <c r="P147" s="925" t="s">
        <v>212</v>
      </c>
      <c r="Q147" s="926"/>
      <c r="R147" s="926"/>
      <c r="S147" s="926"/>
      <c r="T147" s="926"/>
      <c r="U147" s="926"/>
      <c r="V147" s="926"/>
      <c r="W147" s="926"/>
      <c r="X147" s="927"/>
      <c r="Y147" s="918" t="s">
        <v>243</v>
      </c>
      <c r="Z147" s="919"/>
      <c r="AA147" s="919"/>
      <c r="AB147" s="919"/>
      <c r="AC147" s="919"/>
      <c r="AD147" s="919"/>
      <c r="AE147" s="919"/>
      <c r="AF147" s="919"/>
      <c r="AG147" s="919"/>
      <c r="AH147" s="919"/>
      <c r="AI147" s="919"/>
      <c r="AJ147" s="919"/>
      <c r="AK147" s="919"/>
      <c r="AL147" s="919"/>
      <c r="AM147" s="920"/>
    </row>
    <row r="148" spans="1:39" ht="60.75" customHeight="1">
      <c r="B148" s="922"/>
      <c r="C148" s="924"/>
      <c r="D148" s="285">
        <v>2012</v>
      </c>
      <c r="E148" s="285">
        <v>2013</v>
      </c>
      <c r="F148" s="285">
        <v>2014</v>
      </c>
      <c r="G148" s="285">
        <v>2015</v>
      </c>
      <c r="H148" s="285">
        <v>2016</v>
      </c>
      <c r="I148" s="285">
        <v>2017</v>
      </c>
      <c r="J148" s="285">
        <v>2018</v>
      </c>
      <c r="K148" s="285">
        <v>2019</v>
      </c>
      <c r="L148" s="285">
        <v>2020</v>
      </c>
      <c r="M148" s="285">
        <v>2021</v>
      </c>
      <c r="N148" s="929"/>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 to 999 kW (I1 &amp; I4)</v>
      </c>
      <c r="AB148" s="285" t="str">
        <f>'1.  LRAMVA Summary'!G52</f>
        <v>GS 1,000 to 4,999 kW (I2)</v>
      </c>
      <c r="AC148" s="285" t="str">
        <f>'1.  LRAMVA Summary'!H52</f>
        <v>Large Use (I3)</v>
      </c>
      <c r="AD148" s="285" t="str">
        <f>'1.  LRAMVA Summary'!I52</f>
        <v>Street Lighting</v>
      </c>
      <c r="AE148" s="285" t="str">
        <f>'1.  LRAMVA Summary'!J52</f>
        <v>USL</v>
      </c>
      <c r="AF148" s="285" t="str">
        <f>'1.  LRAMVA Summary'!K52</f>
        <v>Sentinel Lights</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v>
      </c>
      <c r="AE149" s="291" t="str">
        <f>'1.  LRAMVA Summary'!J53</f>
        <v>kWh</v>
      </c>
      <c r="AF149" s="291" t="str">
        <f>'1.  LRAMVA Summary'!K53</f>
        <v>kW</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5"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5"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5"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5"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5"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5"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5"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5"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5"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5"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1"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5"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5"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5"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5"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5"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5"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5"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5">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588</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5">
      <c r="B275" s="280" t="s">
        <v>248</v>
      </c>
      <c r="C275" s="281"/>
      <c r="D275" s="592" t="s">
        <v>526</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921" t="s">
        <v>211</v>
      </c>
      <c r="C276" s="923" t="s">
        <v>33</v>
      </c>
      <c r="D276" s="284" t="s">
        <v>422</v>
      </c>
      <c r="E276" s="925" t="s">
        <v>209</v>
      </c>
      <c r="F276" s="926"/>
      <c r="G276" s="926"/>
      <c r="H276" s="926"/>
      <c r="I276" s="926"/>
      <c r="J276" s="926"/>
      <c r="K276" s="926"/>
      <c r="L276" s="926"/>
      <c r="M276" s="927"/>
      <c r="N276" s="928" t="s">
        <v>213</v>
      </c>
      <c r="O276" s="284" t="s">
        <v>423</v>
      </c>
      <c r="P276" s="925" t="s">
        <v>212</v>
      </c>
      <c r="Q276" s="926"/>
      <c r="R276" s="926"/>
      <c r="S276" s="926"/>
      <c r="T276" s="926"/>
      <c r="U276" s="926"/>
      <c r="V276" s="926"/>
      <c r="W276" s="926"/>
      <c r="X276" s="927"/>
      <c r="Y276" s="918" t="s">
        <v>243</v>
      </c>
      <c r="Z276" s="919"/>
      <c r="AA276" s="919"/>
      <c r="AB276" s="919"/>
      <c r="AC276" s="919"/>
      <c r="AD276" s="919"/>
      <c r="AE276" s="919"/>
      <c r="AF276" s="919"/>
      <c r="AG276" s="919"/>
      <c r="AH276" s="919"/>
      <c r="AI276" s="919"/>
      <c r="AJ276" s="919"/>
      <c r="AK276" s="919"/>
      <c r="AL276" s="919"/>
      <c r="AM276" s="920"/>
    </row>
    <row r="277" spans="1:39" ht="60.75" customHeight="1">
      <c r="B277" s="922"/>
      <c r="C277" s="924"/>
      <c r="D277" s="285">
        <v>2013</v>
      </c>
      <c r="E277" s="285">
        <v>2014</v>
      </c>
      <c r="F277" s="285">
        <v>2015</v>
      </c>
      <c r="G277" s="285">
        <v>2016</v>
      </c>
      <c r="H277" s="285">
        <v>2017</v>
      </c>
      <c r="I277" s="285">
        <v>2018</v>
      </c>
      <c r="J277" s="285">
        <v>2019</v>
      </c>
      <c r="K277" s="285">
        <v>2020</v>
      </c>
      <c r="L277" s="285">
        <v>2021</v>
      </c>
      <c r="M277" s="285">
        <v>2022</v>
      </c>
      <c r="N277" s="929"/>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 to 999 kW (I1 &amp; I4)</v>
      </c>
      <c r="AB277" s="285" t="str">
        <f>'1.  LRAMVA Summary'!G52</f>
        <v>GS 1,000 to 4,999 kW (I2)</v>
      </c>
      <c r="AC277" s="285" t="str">
        <f>'1.  LRAMVA Summary'!H52</f>
        <v>Large Use (I3)</v>
      </c>
      <c r="AD277" s="285" t="str">
        <f>'1.  LRAMVA Summary'!I52</f>
        <v>Street Lighting</v>
      </c>
      <c r="AE277" s="285" t="str">
        <f>'1.  LRAMVA Summary'!J52</f>
        <v>USL</v>
      </c>
      <c r="AF277" s="285" t="str">
        <f>'1.  LRAMVA Summary'!K52</f>
        <v>Sentinel Lights</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v>
      </c>
      <c r="AE278" s="291" t="str">
        <f>'1.  LRAMVA Summary'!J53</f>
        <v>kWh</v>
      </c>
      <c r="AF278" s="291" t="str">
        <f>'1.  LRAMVA Summary'!K53</f>
        <v>kW</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5"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5"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5"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5"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5"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5"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5"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5"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1"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5"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5"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5"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5"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5"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5"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5"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5">
      <c r="B384" s="327" t="s">
        <v>250</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588</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5">
      <c r="B404" s="280" t="s">
        <v>258</v>
      </c>
      <c r="C404" s="281"/>
      <c r="D404" s="590" t="s">
        <v>521</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921" t="s">
        <v>211</v>
      </c>
      <c r="C405" s="923" t="s">
        <v>33</v>
      </c>
      <c r="D405" s="284" t="s">
        <v>422</v>
      </c>
      <c r="E405" s="925" t="s">
        <v>209</v>
      </c>
      <c r="F405" s="926"/>
      <c r="G405" s="926"/>
      <c r="H405" s="926"/>
      <c r="I405" s="926"/>
      <c r="J405" s="926"/>
      <c r="K405" s="926"/>
      <c r="L405" s="926"/>
      <c r="M405" s="927"/>
      <c r="N405" s="928" t="s">
        <v>213</v>
      </c>
      <c r="O405" s="284" t="s">
        <v>423</v>
      </c>
      <c r="P405" s="925" t="s">
        <v>212</v>
      </c>
      <c r="Q405" s="926"/>
      <c r="R405" s="926"/>
      <c r="S405" s="926"/>
      <c r="T405" s="926"/>
      <c r="U405" s="926"/>
      <c r="V405" s="926"/>
      <c r="W405" s="926"/>
      <c r="X405" s="927"/>
      <c r="Y405" s="918" t="s">
        <v>243</v>
      </c>
      <c r="Z405" s="919"/>
      <c r="AA405" s="919"/>
      <c r="AB405" s="919"/>
      <c r="AC405" s="919"/>
      <c r="AD405" s="919"/>
      <c r="AE405" s="919"/>
      <c r="AF405" s="919"/>
      <c r="AG405" s="919"/>
      <c r="AH405" s="919"/>
      <c r="AI405" s="919"/>
      <c r="AJ405" s="919"/>
      <c r="AK405" s="919"/>
      <c r="AL405" s="919"/>
      <c r="AM405" s="920"/>
    </row>
    <row r="406" spans="1:40" ht="45.75" customHeight="1">
      <c r="B406" s="922"/>
      <c r="C406" s="924"/>
      <c r="D406" s="285">
        <v>2014</v>
      </c>
      <c r="E406" s="285">
        <v>2015</v>
      </c>
      <c r="F406" s="285">
        <v>2016</v>
      </c>
      <c r="G406" s="285">
        <v>2017</v>
      </c>
      <c r="H406" s="285">
        <v>2018</v>
      </c>
      <c r="I406" s="285">
        <v>2019</v>
      </c>
      <c r="J406" s="285">
        <v>2020</v>
      </c>
      <c r="K406" s="285">
        <v>2021</v>
      </c>
      <c r="L406" s="285">
        <v>2022</v>
      </c>
      <c r="M406" s="285">
        <v>2023</v>
      </c>
      <c r="N406" s="929"/>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 to 999 kW (I1 &amp; I4)</v>
      </c>
      <c r="AB406" s="285" t="str">
        <f>'1.  LRAMVA Summary'!G52</f>
        <v>GS 1,000 to 4,999 kW (I2)</v>
      </c>
      <c r="AC406" s="285" t="str">
        <f>'1.  LRAMVA Summary'!H52</f>
        <v>Large Use (I3)</v>
      </c>
      <c r="AD406" s="285" t="str">
        <f>'1.  LRAMVA Summary'!I52</f>
        <v>Street Lighting</v>
      </c>
      <c r="AE406" s="285" t="str">
        <f>'1.  LRAMVA Summary'!J52</f>
        <v>USL</v>
      </c>
      <c r="AF406" s="285" t="str">
        <f>'1.  LRAMVA Summary'!K52</f>
        <v>Sentinel Lights</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v>
      </c>
      <c r="AE407" s="291" t="str">
        <f>'1.  LRAMVA Summary'!J53</f>
        <v>kWh</v>
      </c>
      <c r="AF407" s="291" t="str">
        <f>'1.  LRAMVA Summary'!K53</f>
        <v>kW</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5" outlineLevel="1">
      <c r="A408" s="509">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70"/>
      <c r="Z408" s="410"/>
      <c r="AA408" s="410"/>
      <c r="AB408" s="410"/>
      <c r="AC408" s="410"/>
      <c r="AD408" s="410"/>
      <c r="AE408" s="410"/>
      <c r="AF408" s="410"/>
      <c r="AG408" s="410"/>
      <c r="AH408" s="410"/>
      <c r="AI408" s="410"/>
      <c r="AJ408" s="410"/>
      <c r="AK408" s="410"/>
      <c r="AL408" s="410"/>
      <c r="AM408" s="296">
        <f>SUM(Y408:AL408)</f>
        <v>0</v>
      </c>
    </row>
    <row r="409" spans="1:40" ht="15.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5"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5" outlineLevel="1">
      <c r="A414" s="509">
        <v>3</v>
      </c>
      <c r="B414" s="294" t="s">
        <v>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70"/>
      <c r="Z414" s="410"/>
      <c r="AA414" s="410"/>
      <c r="AB414" s="410"/>
      <c r="AC414" s="410"/>
      <c r="AD414" s="410"/>
      <c r="AE414" s="410"/>
      <c r="AF414" s="410"/>
      <c r="AG414" s="410"/>
      <c r="AH414" s="410"/>
      <c r="AI414" s="410"/>
      <c r="AJ414" s="410"/>
      <c r="AK414" s="410"/>
      <c r="AL414" s="410"/>
      <c r="AM414" s="296">
        <f>SUM(Y414:AL414)</f>
        <v>0</v>
      </c>
    </row>
    <row r="415" spans="1:40" ht="15.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5" outlineLevel="1">
      <c r="A417" s="509">
        <v>4</v>
      </c>
      <c r="B417" s="294" t="s">
        <v>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70"/>
      <c r="Z417" s="410"/>
      <c r="AA417" s="410"/>
      <c r="AB417" s="410"/>
      <c r="AC417" s="410"/>
      <c r="AD417" s="410"/>
      <c r="AE417" s="410"/>
      <c r="AF417" s="410"/>
      <c r="AG417" s="410"/>
      <c r="AH417" s="410"/>
      <c r="AI417" s="410"/>
      <c r="AJ417" s="410"/>
      <c r="AK417" s="410"/>
      <c r="AL417" s="410"/>
      <c r="AM417" s="296">
        <f>SUM(Y417:AL417)</f>
        <v>0</v>
      </c>
    </row>
    <row r="418" spans="1:39" ht="15.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5" outlineLevel="1">
      <c r="A420" s="509">
        <v>5</v>
      </c>
      <c r="B420" s="294" t="s">
        <v>5</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70"/>
      <c r="Z420" s="410"/>
      <c r="AA420" s="410"/>
      <c r="AB420" s="410"/>
      <c r="AC420" s="410"/>
      <c r="AD420" s="410"/>
      <c r="AE420" s="410"/>
      <c r="AF420" s="410"/>
      <c r="AG420" s="410"/>
      <c r="AH420" s="410"/>
      <c r="AI420" s="410"/>
      <c r="AJ420" s="410"/>
      <c r="AK420" s="410"/>
      <c r="AL420" s="410"/>
      <c r="AM420" s="296">
        <f>SUM(Y420:AL420)</f>
        <v>0</v>
      </c>
    </row>
    <row r="421" spans="1:39" ht="15.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0</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5" outlineLevel="1">
      <c r="A429" s="509">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5"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5" outlineLevel="1">
      <c r="A439" s="509">
        <v>11</v>
      </c>
      <c r="B439" s="314" t="s">
        <v>21</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69"/>
      <c r="AA439" s="415"/>
      <c r="AB439" s="415"/>
      <c r="AC439" s="415"/>
      <c r="AD439" s="415"/>
      <c r="AE439" s="415"/>
      <c r="AF439" s="415"/>
      <c r="AG439" s="415"/>
      <c r="AH439" s="415"/>
      <c r="AI439" s="415"/>
      <c r="AJ439" s="415"/>
      <c r="AK439" s="415"/>
      <c r="AL439" s="415"/>
      <c r="AM439" s="296">
        <f>SUM(Y439:AL439)</f>
        <v>0</v>
      </c>
    </row>
    <row r="440" spans="1:39" ht="15.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5"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1"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5"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5"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5"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5"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5" outlineLevel="1">
      <c r="A507" s="509">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5"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5">
      <c r="B513" s="327" t="s">
        <v>260</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588</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5">
      <c r="B534" s="595"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3" scale="70" fitToHeight="0" pageOrder="overThenDown" orientation="landscape" cellComments="asDisplayed" r:id="rId1"/>
  <headerFooter>
    <oddHeader>&amp;L&amp;G</oddHeader>
    <oddFooter>&amp;R&amp;P of &amp;N</oddFooter>
  </headerFooter>
  <colBreaks count="1" manualBreakCount="1">
    <brk id="24" max="532"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3:AP1130"/>
  <sheetViews>
    <sheetView view="pageBreakPreview" topLeftCell="A858" zoomScale="60" zoomScaleNormal="60" workbookViewId="0">
      <pane xSplit="2" topLeftCell="F1" activePane="topRight" state="frozen"/>
      <selection pane="topRight" activeCell="J946" sqref="J946"/>
    </sheetView>
  </sheetViews>
  <sheetFormatPr defaultColWidth="9.08984375" defaultRowHeight="14.5" outlineLevelRow="1" outlineLevelCol="1"/>
  <cols>
    <col min="1" max="1" width="4.54296875" style="522" customWidth="1"/>
    <col min="2" max="2" width="44.08984375" style="427" customWidth="1"/>
    <col min="3" max="3" width="13.453125" style="427" customWidth="1"/>
    <col min="4" max="4" width="17" style="427" customWidth="1"/>
    <col min="5" max="13" width="12.81640625" style="427" customWidth="1" outlineLevel="1"/>
    <col min="14" max="14" width="7.81640625" style="427" customWidth="1" outlineLevel="1"/>
    <col min="15" max="15" width="15.6328125" style="427" customWidth="1"/>
    <col min="16" max="24" width="9.08984375" style="427" customWidth="1" outlineLevel="1"/>
    <col min="25" max="25" width="16.54296875" style="427" customWidth="1"/>
    <col min="26" max="27" width="15" style="427" customWidth="1"/>
    <col min="28" max="28" width="17.6328125" style="427" customWidth="1"/>
    <col min="29" max="29" width="19.6328125" style="427" customWidth="1"/>
    <col min="30" max="30" width="18.6328125" style="427" customWidth="1"/>
    <col min="31" max="32" width="14.90625" style="427" customWidth="1"/>
    <col min="33" max="35" width="14.90625" style="427" hidden="1" customWidth="1" outlineLevel="1"/>
    <col min="36" max="38" width="17.36328125" style="427" hidden="1" customWidth="1" outlineLevel="1"/>
    <col min="39" max="39" width="17.90625" style="427" customWidth="1" collapsed="1"/>
    <col min="40" max="40" width="11.6328125" style="427" customWidth="1"/>
    <col min="41" max="16384" width="9.08984375" style="427"/>
  </cols>
  <sheetData>
    <row r="13" spans="2:39" ht="15" hidden="1" outlineLevel="1" thickBot="1"/>
    <row r="14" spans="2:39" ht="26.25" hidden="1" customHeight="1" outlineLevel="1" thickBot="1">
      <c r="B14" s="931"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hidden="1" customHeight="1" outlineLevel="1" thickBot="1">
      <c r="B15" s="931"/>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hidden="1" customHeight="1" outlineLevel="1" thickBot="1">
      <c r="B16" s="931"/>
      <c r="C16" s="910" t="s">
        <v>551</v>
      </c>
      <c r="D16" s="911"/>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5" hidden="1" outlineLevel="1">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hidden="1" customHeight="1" outlineLevel="1">
      <c r="B18" s="931" t="s">
        <v>505</v>
      </c>
      <c r="C18" s="930" t="s">
        <v>692</v>
      </c>
      <c r="D18" s="930"/>
      <c r="E18" s="930"/>
      <c r="F18" s="930"/>
      <c r="G18" s="930"/>
      <c r="H18" s="930"/>
      <c r="I18" s="930"/>
      <c r="J18" s="930"/>
      <c r="K18" s="930"/>
      <c r="L18" s="930"/>
      <c r="M18" s="930"/>
      <c r="N18" s="930"/>
      <c r="O18" s="930"/>
      <c r="P18" s="930"/>
      <c r="Q18" s="930"/>
      <c r="R18" s="930"/>
      <c r="S18" s="930"/>
      <c r="T18" s="930"/>
      <c r="U18" s="930"/>
      <c r="V18" s="930"/>
      <c r="W18" s="930"/>
      <c r="X18" s="930"/>
      <c r="Y18" s="606"/>
      <c r="Z18" s="606"/>
      <c r="AA18" s="606"/>
      <c r="AB18" s="606"/>
      <c r="AC18" s="606"/>
      <c r="AD18" s="606"/>
      <c r="AE18" s="270"/>
      <c r="AF18" s="265"/>
      <c r="AG18" s="265"/>
      <c r="AH18" s="265"/>
      <c r="AI18" s="265"/>
      <c r="AJ18" s="265"/>
      <c r="AK18" s="265"/>
      <c r="AL18" s="265"/>
      <c r="AM18" s="265"/>
    </row>
    <row r="19" spans="2:39" ht="45.75" hidden="1" customHeight="1" outlineLevel="1">
      <c r="B19" s="931"/>
      <c r="C19" s="930" t="s">
        <v>571</v>
      </c>
      <c r="D19" s="930"/>
      <c r="E19" s="930"/>
      <c r="F19" s="930"/>
      <c r="G19" s="930"/>
      <c r="H19" s="930"/>
      <c r="I19" s="930"/>
      <c r="J19" s="930"/>
      <c r="K19" s="930"/>
      <c r="L19" s="930"/>
      <c r="M19" s="930"/>
      <c r="N19" s="930"/>
      <c r="O19" s="930"/>
      <c r="P19" s="930"/>
      <c r="Q19" s="930"/>
      <c r="R19" s="930"/>
      <c r="S19" s="930"/>
      <c r="T19" s="930"/>
      <c r="U19" s="930"/>
      <c r="V19" s="930"/>
      <c r="W19" s="930"/>
      <c r="X19" s="930"/>
      <c r="Y19" s="606"/>
      <c r="Z19" s="606"/>
      <c r="AA19" s="606"/>
      <c r="AB19" s="606"/>
      <c r="AC19" s="606"/>
      <c r="AD19" s="606"/>
      <c r="AE19" s="270"/>
      <c r="AF19" s="265"/>
      <c r="AG19" s="265"/>
      <c r="AH19" s="265"/>
      <c r="AI19" s="265"/>
      <c r="AJ19" s="265"/>
      <c r="AK19" s="265"/>
      <c r="AL19" s="265"/>
      <c r="AM19" s="265"/>
    </row>
    <row r="20" spans="2:39" ht="62.25" hidden="1" customHeight="1" outlineLevel="1">
      <c r="B20" s="273"/>
      <c r="C20" s="930" t="s">
        <v>569</v>
      </c>
      <c r="D20" s="930"/>
      <c r="E20" s="930"/>
      <c r="F20" s="930"/>
      <c r="G20" s="930"/>
      <c r="H20" s="930"/>
      <c r="I20" s="930"/>
      <c r="J20" s="930"/>
      <c r="K20" s="930"/>
      <c r="L20" s="930"/>
      <c r="M20" s="930"/>
      <c r="N20" s="930"/>
      <c r="O20" s="930"/>
      <c r="P20" s="930"/>
      <c r="Q20" s="930"/>
      <c r="R20" s="930"/>
      <c r="S20" s="930"/>
      <c r="T20" s="930"/>
      <c r="U20" s="930"/>
      <c r="V20" s="930"/>
      <c r="W20" s="930"/>
      <c r="X20" s="930"/>
      <c r="Y20" s="606"/>
      <c r="Z20" s="606"/>
      <c r="AA20" s="606"/>
      <c r="AB20" s="606"/>
      <c r="AC20" s="606"/>
      <c r="AD20" s="606"/>
      <c r="AE20" s="428"/>
      <c r="AF20" s="265"/>
      <c r="AG20" s="265"/>
      <c r="AH20" s="265"/>
      <c r="AI20" s="265"/>
      <c r="AJ20" s="265"/>
      <c r="AK20" s="265"/>
      <c r="AL20" s="265"/>
      <c r="AM20" s="265"/>
    </row>
    <row r="21" spans="2:39" ht="37.5" hidden="1" customHeight="1" outlineLevel="1">
      <c r="B21" s="273"/>
      <c r="C21" s="930" t="s">
        <v>635</v>
      </c>
      <c r="D21" s="930"/>
      <c r="E21" s="930"/>
      <c r="F21" s="930"/>
      <c r="G21" s="930"/>
      <c r="H21" s="930"/>
      <c r="I21" s="930"/>
      <c r="J21" s="930"/>
      <c r="K21" s="930"/>
      <c r="L21" s="930"/>
      <c r="M21" s="930"/>
      <c r="N21" s="930"/>
      <c r="O21" s="930"/>
      <c r="P21" s="930"/>
      <c r="Q21" s="930"/>
      <c r="R21" s="930"/>
      <c r="S21" s="930"/>
      <c r="T21" s="930"/>
      <c r="U21" s="930"/>
      <c r="V21" s="930"/>
      <c r="W21" s="930"/>
      <c r="X21" s="930"/>
      <c r="Y21" s="606"/>
      <c r="Z21" s="606"/>
      <c r="AA21" s="606"/>
      <c r="AB21" s="606"/>
      <c r="AC21" s="606"/>
      <c r="AD21" s="606"/>
      <c r="AE21" s="276"/>
      <c r="AF21" s="265"/>
      <c r="AG21" s="265"/>
      <c r="AH21" s="265"/>
      <c r="AI21" s="265"/>
      <c r="AJ21" s="265"/>
      <c r="AK21" s="265"/>
      <c r="AL21" s="265"/>
      <c r="AM21" s="265"/>
    </row>
    <row r="22" spans="2:39" ht="54.75" hidden="1" customHeight="1" outlineLevel="1">
      <c r="B22" s="273"/>
      <c r="C22" s="930" t="s">
        <v>619</v>
      </c>
      <c r="D22" s="930"/>
      <c r="E22" s="930"/>
      <c r="F22" s="930"/>
      <c r="G22" s="930"/>
      <c r="H22" s="930"/>
      <c r="I22" s="930"/>
      <c r="J22" s="930"/>
      <c r="K22" s="930"/>
      <c r="L22" s="930"/>
      <c r="M22" s="930"/>
      <c r="N22" s="930"/>
      <c r="O22" s="930"/>
      <c r="P22" s="930"/>
      <c r="Q22" s="930"/>
      <c r="R22" s="930"/>
      <c r="S22" s="930"/>
      <c r="T22" s="930"/>
      <c r="U22" s="930"/>
      <c r="V22" s="930"/>
      <c r="W22" s="930"/>
      <c r="X22" s="930"/>
      <c r="Y22" s="606"/>
      <c r="Z22" s="606"/>
      <c r="AA22" s="606"/>
      <c r="AB22" s="606"/>
      <c r="AC22" s="606"/>
      <c r="AD22" s="606"/>
      <c r="AE22" s="428"/>
      <c r="AF22" s="265"/>
      <c r="AG22" s="265"/>
      <c r="AH22" s="265"/>
      <c r="AI22" s="265"/>
      <c r="AJ22" s="265"/>
      <c r="AK22" s="265"/>
      <c r="AL22" s="265"/>
      <c r="AM22" s="265"/>
    </row>
    <row r="23" spans="2:39" ht="15.5" hidden="1" outlineLevel="1">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5" hidden="1" outlineLevel="1">
      <c r="B24" s="931" t="s">
        <v>527</v>
      </c>
      <c r="C24" s="596"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5" hidden="1" outlineLevel="1">
      <c r="B25" s="931"/>
      <c r="C25" s="596"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5" hidden="1" outlineLevel="1">
      <c r="B26" s="539"/>
      <c r="C26" s="596"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5" hidden="1" outlineLevel="1">
      <c r="B27" s="539"/>
      <c r="C27" s="596"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5" hidden="1" outlineLevel="1">
      <c r="B28" s="539"/>
      <c r="C28" s="596"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5" hidden="1" outlineLevel="1">
      <c r="B29" s="539"/>
      <c r="C29" s="596"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5" hidden="1" outlineLevel="1">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5" hidden="1" outlineLevel="1">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hidden="1" outlineLevel="1">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5" collapsed="1">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921" t="s">
        <v>211</v>
      </c>
      <c r="C34" s="923" t="s">
        <v>33</v>
      </c>
      <c r="D34" s="284" t="s">
        <v>422</v>
      </c>
      <c r="E34" s="925" t="s">
        <v>209</v>
      </c>
      <c r="F34" s="926"/>
      <c r="G34" s="926"/>
      <c r="H34" s="926"/>
      <c r="I34" s="926"/>
      <c r="J34" s="926"/>
      <c r="K34" s="926"/>
      <c r="L34" s="926"/>
      <c r="M34" s="927"/>
      <c r="N34" s="928" t="s">
        <v>213</v>
      </c>
      <c r="O34" s="284" t="s">
        <v>423</v>
      </c>
      <c r="P34" s="925" t="s">
        <v>212</v>
      </c>
      <c r="Q34" s="926"/>
      <c r="R34" s="926"/>
      <c r="S34" s="926"/>
      <c r="T34" s="926"/>
      <c r="U34" s="926"/>
      <c r="V34" s="926"/>
      <c r="W34" s="926"/>
      <c r="X34" s="927"/>
      <c r="Y34" s="918" t="s">
        <v>243</v>
      </c>
      <c r="Z34" s="919"/>
      <c r="AA34" s="919"/>
      <c r="AB34" s="919"/>
      <c r="AC34" s="919"/>
      <c r="AD34" s="919"/>
      <c r="AE34" s="919"/>
      <c r="AF34" s="919"/>
      <c r="AG34" s="919"/>
      <c r="AH34" s="919"/>
      <c r="AI34" s="919"/>
      <c r="AJ34" s="919"/>
      <c r="AK34" s="919"/>
      <c r="AL34" s="919"/>
      <c r="AM34" s="920"/>
    </row>
    <row r="35" spans="1:39" ht="65.25" customHeight="1">
      <c r="B35" s="922"/>
      <c r="C35" s="924"/>
      <c r="D35" s="285">
        <v>2015</v>
      </c>
      <c r="E35" s="285">
        <v>2016</v>
      </c>
      <c r="F35" s="285">
        <v>2017</v>
      </c>
      <c r="G35" s="285">
        <v>2018</v>
      </c>
      <c r="H35" s="285">
        <v>2019</v>
      </c>
      <c r="I35" s="285">
        <v>2020</v>
      </c>
      <c r="J35" s="285">
        <v>2021</v>
      </c>
      <c r="K35" s="285">
        <v>2022</v>
      </c>
      <c r="L35" s="285">
        <v>2023</v>
      </c>
      <c r="M35" s="429">
        <v>2024</v>
      </c>
      <c r="N35" s="929"/>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 to 999 kW (I1 &amp; I4)</v>
      </c>
      <c r="AB35" s="285" t="str">
        <f>'1.  LRAMVA Summary'!G52</f>
        <v>GS 1,000 to 4,999 kW (I2)</v>
      </c>
      <c r="AC35" s="285" t="str">
        <f>'1.  LRAMVA Summary'!H52</f>
        <v>Large Use (I3)</v>
      </c>
      <c r="AD35" s="285" t="str">
        <f>'1.  LRAMVA Summary'!I52</f>
        <v>Street Lighting</v>
      </c>
      <c r="AE35" s="285" t="str">
        <f>'1.  LRAMVA Summary'!J52</f>
        <v>USL</v>
      </c>
      <c r="AF35" s="285" t="str">
        <f>'1.  LRAMVA Summary'!K52</f>
        <v>Sentinel Lights</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v>
      </c>
      <c r="AE36" s="291" t="str">
        <f>'1.  LRAMVA Summary'!J53</f>
        <v>kWh</v>
      </c>
      <c r="AF36" s="291" t="str">
        <f>'1.  LRAMVA Summary'!K53</f>
        <v>kW</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hidden="1"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5" hidden="1" outlineLevel="1">
      <c r="A38" s="522">
        <v>1</v>
      </c>
      <c r="B38" s="520" t="s">
        <v>95</v>
      </c>
      <c r="C38" s="291" t="s">
        <v>25</v>
      </c>
      <c r="D38" s="295">
        <v>624186</v>
      </c>
      <c r="E38" s="295">
        <v>618505</v>
      </c>
      <c r="F38" s="295">
        <v>618505</v>
      </c>
      <c r="G38" s="295">
        <v>618505</v>
      </c>
      <c r="H38" s="295">
        <v>618505</v>
      </c>
      <c r="I38" s="295">
        <v>618505</v>
      </c>
      <c r="J38" s="295">
        <v>618505</v>
      </c>
      <c r="K38" s="295">
        <v>618370</v>
      </c>
      <c r="L38" s="295">
        <v>618370</v>
      </c>
      <c r="M38" s="295">
        <v>618370</v>
      </c>
      <c r="N38" s="291"/>
      <c r="O38" s="295">
        <v>41</v>
      </c>
      <c r="P38" s="295">
        <v>40</v>
      </c>
      <c r="Q38" s="295">
        <v>40</v>
      </c>
      <c r="R38" s="295">
        <v>40</v>
      </c>
      <c r="S38" s="295">
        <v>40</v>
      </c>
      <c r="T38" s="295">
        <v>40</v>
      </c>
      <c r="U38" s="295">
        <v>40</v>
      </c>
      <c r="V38" s="295">
        <v>40</v>
      </c>
      <c r="W38" s="295">
        <v>40</v>
      </c>
      <c r="X38" s="295">
        <v>40</v>
      </c>
      <c r="Y38" s="410">
        <v>1</v>
      </c>
      <c r="Z38" s="410"/>
      <c r="AA38" s="410"/>
      <c r="AB38" s="410"/>
      <c r="AC38" s="410"/>
      <c r="AD38" s="410"/>
      <c r="AE38" s="410"/>
      <c r="AF38" s="410"/>
      <c r="AG38" s="410"/>
      <c r="AH38" s="410"/>
      <c r="AI38" s="410"/>
      <c r="AJ38" s="410"/>
      <c r="AK38" s="410"/>
      <c r="AL38" s="410"/>
      <c r="AM38" s="296">
        <f>SUM(Y38:AL38)</f>
        <v>1</v>
      </c>
    </row>
    <row r="39" spans="1:39" ht="15.5" hidden="1" outlineLevel="1">
      <c r="B39" s="294" t="s">
        <v>267</v>
      </c>
      <c r="C39" s="291" t="s">
        <v>163</v>
      </c>
      <c r="D39" s="295">
        <v>104247</v>
      </c>
      <c r="E39" s="295">
        <v>102747</v>
      </c>
      <c r="F39" s="295">
        <v>102747</v>
      </c>
      <c r="G39" s="295">
        <v>102747</v>
      </c>
      <c r="H39" s="295">
        <v>102747</v>
      </c>
      <c r="I39" s="295">
        <v>102747</v>
      </c>
      <c r="J39" s="295">
        <v>102747</v>
      </c>
      <c r="K39" s="295">
        <v>102705</v>
      </c>
      <c r="L39" s="295">
        <v>102705</v>
      </c>
      <c r="M39" s="295">
        <v>102705</v>
      </c>
      <c r="N39" s="468"/>
      <c r="O39" s="295">
        <v>7</v>
      </c>
      <c r="P39" s="295">
        <v>7</v>
      </c>
      <c r="Q39" s="295">
        <v>7</v>
      </c>
      <c r="R39" s="295">
        <v>7</v>
      </c>
      <c r="S39" s="295">
        <v>7</v>
      </c>
      <c r="T39" s="295">
        <v>7</v>
      </c>
      <c r="U39" s="295">
        <v>7</v>
      </c>
      <c r="V39" s="295">
        <v>7</v>
      </c>
      <c r="W39" s="295">
        <v>7</v>
      </c>
      <c r="X39" s="295">
        <v>7</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5" hidden="1"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5" hidden="1" outlineLevel="1">
      <c r="A41" s="522">
        <v>2</v>
      </c>
      <c r="B41" s="520" t="s">
        <v>96</v>
      </c>
      <c r="C41" s="291" t="s">
        <v>25</v>
      </c>
      <c r="D41" s="295">
        <v>1153140</v>
      </c>
      <c r="E41" s="295">
        <v>1132646</v>
      </c>
      <c r="F41" s="295">
        <v>1132646</v>
      </c>
      <c r="G41" s="295">
        <v>1132646</v>
      </c>
      <c r="H41" s="295">
        <v>1132646</v>
      </c>
      <c r="I41" s="295">
        <v>1132646</v>
      </c>
      <c r="J41" s="295">
        <v>1132646</v>
      </c>
      <c r="K41" s="295">
        <v>1132053</v>
      </c>
      <c r="L41" s="295">
        <v>1132053</v>
      </c>
      <c r="M41" s="295">
        <v>1132053</v>
      </c>
      <c r="N41" s="291"/>
      <c r="O41" s="295">
        <v>78</v>
      </c>
      <c r="P41" s="295">
        <v>77</v>
      </c>
      <c r="Q41" s="295">
        <v>77</v>
      </c>
      <c r="R41" s="295">
        <v>77</v>
      </c>
      <c r="S41" s="295">
        <v>77</v>
      </c>
      <c r="T41" s="295">
        <v>77</v>
      </c>
      <c r="U41" s="295">
        <v>77</v>
      </c>
      <c r="V41" s="295">
        <v>76</v>
      </c>
      <c r="W41" s="295">
        <v>76</v>
      </c>
      <c r="X41" s="295">
        <v>76</v>
      </c>
      <c r="Y41" s="410">
        <v>1</v>
      </c>
      <c r="Z41" s="410"/>
      <c r="AA41" s="410"/>
      <c r="AB41" s="410"/>
      <c r="AC41" s="410"/>
      <c r="AD41" s="410"/>
      <c r="AE41" s="410"/>
      <c r="AF41" s="410"/>
      <c r="AG41" s="410"/>
      <c r="AH41" s="410"/>
      <c r="AI41" s="410"/>
      <c r="AJ41" s="410"/>
      <c r="AK41" s="410"/>
      <c r="AL41" s="410"/>
      <c r="AM41" s="296">
        <f>SUM(Y41:AL41)</f>
        <v>1</v>
      </c>
    </row>
    <row r="42" spans="1:39" ht="15.5" hidden="1" outlineLevel="1">
      <c r="B42" s="294" t="s">
        <v>267</v>
      </c>
      <c r="C42" s="291" t="s">
        <v>163</v>
      </c>
      <c r="D42" s="295">
        <v>11928</v>
      </c>
      <c r="E42" s="295">
        <v>11788</v>
      </c>
      <c r="F42" s="295">
        <v>11788</v>
      </c>
      <c r="G42" s="295">
        <v>11788</v>
      </c>
      <c r="H42" s="295">
        <v>11788</v>
      </c>
      <c r="I42" s="295">
        <v>11788</v>
      </c>
      <c r="J42" s="295">
        <v>11788</v>
      </c>
      <c r="K42" s="295">
        <v>11758</v>
      </c>
      <c r="L42" s="295">
        <v>11758</v>
      </c>
      <c r="M42" s="295">
        <v>11758</v>
      </c>
      <c r="N42" s="468"/>
      <c r="O42" s="295">
        <v>1</v>
      </c>
      <c r="P42" s="295">
        <v>1</v>
      </c>
      <c r="Q42" s="295">
        <v>1</v>
      </c>
      <c r="R42" s="295">
        <v>1</v>
      </c>
      <c r="S42" s="295">
        <v>1</v>
      </c>
      <c r="T42" s="295">
        <v>1</v>
      </c>
      <c r="U42" s="295">
        <v>1</v>
      </c>
      <c r="V42" s="295">
        <v>1</v>
      </c>
      <c r="W42" s="295">
        <v>1</v>
      </c>
      <c r="X42" s="295">
        <v>1</v>
      </c>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5" hidden="1"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5" hidden="1" outlineLevel="1">
      <c r="A44" s="522">
        <v>3</v>
      </c>
      <c r="B44" s="520" t="s">
        <v>97</v>
      </c>
      <c r="C44" s="291" t="s">
        <v>25</v>
      </c>
      <c r="D44" s="295">
        <v>9670</v>
      </c>
      <c r="E44" s="295">
        <v>9670</v>
      </c>
      <c r="F44" s="295">
        <v>9670</v>
      </c>
      <c r="G44" s="295">
        <v>9670</v>
      </c>
      <c r="H44" s="295">
        <v>4070</v>
      </c>
      <c r="I44" s="295">
        <v>0</v>
      </c>
      <c r="J44" s="295">
        <v>0</v>
      </c>
      <c r="K44" s="295">
        <v>0</v>
      </c>
      <c r="L44" s="295">
        <v>0</v>
      </c>
      <c r="M44" s="295">
        <v>0</v>
      </c>
      <c r="N44" s="291"/>
      <c r="O44" s="295">
        <v>1</v>
      </c>
      <c r="P44" s="295">
        <v>1</v>
      </c>
      <c r="Q44" s="295">
        <v>1</v>
      </c>
      <c r="R44" s="295">
        <v>1</v>
      </c>
      <c r="S44" s="295">
        <v>1</v>
      </c>
      <c r="T44" s="295">
        <v>0</v>
      </c>
      <c r="U44" s="295">
        <v>0</v>
      </c>
      <c r="V44" s="295">
        <v>0</v>
      </c>
      <c r="W44" s="295">
        <v>0</v>
      </c>
      <c r="X44" s="295">
        <v>0</v>
      </c>
      <c r="Y44" s="410">
        <v>1</v>
      </c>
      <c r="Z44" s="410"/>
      <c r="AA44" s="410"/>
      <c r="AB44" s="410"/>
      <c r="AC44" s="410"/>
      <c r="AD44" s="410"/>
      <c r="AE44" s="410"/>
      <c r="AF44" s="410"/>
      <c r="AG44" s="410"/>
      <c r="AH44" s="410"/>
      <c r="AI44" s="410"/>
      <c r="AJ44" s="410"/>
      <c r="AK44" s="410"/>
      <c r="AL44" s="410"/>
      <c r="AM44" s="296">
        <f>SUM(Y44:AL44)</f>
        <v>1</v>
      </c>
    </row>
    <row r="45" spans="1:39" ht="15.5" hidden="1"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ht="15.5" hidden="1"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5" hidden="1" outlineLevel="1">
      <c r="A47" s="522">
        <v>4</v>
      </c>
      <c r="B47" s="520" t="s">
        <v>678</v>
      </c>
      <c r="C47" s="291" t="s">
        <v>25</v>
      </c>
      <c r="D47" s="295">
        <v>1265384</v>
      </c>
      <c r="E47" s="295">
        <v>1265384</v>
      </c>
      <c r="F47" s="295">
        <v>1265384</v>
      </c>
      <c r="G47" s="295">
        <v>1265384</v>
      </c>
      <c r="H47" s="295">
        <v>1265384</v>
      </c>
      <c r="I47" s="295">
        <v>1265384</v>
      </c>
      <c r="J47" s="295">
        <v>1265384</v>
      </c>
      <c r="K47" s="295">
        <v>1265384</v>
      </c>
      <c r="L47" s="295">
        <v>1265384</v>
      </c>
      <c r="M47" s="295">
        <v>1265384</v>
      </c>
      <c r="N47" s="291"/>
      <c r="O47" s="295">
        <v>664</v>
      </c>
      <c r="P47" s="295">
        <v>664</v>
      </c>
      <c r="Q47" s="295">
        <v>664</v>
      </c>
      <c r="R47" s="295">
        <v>664</v>
      </c>
      <c r="S47" s="295">
        <v>664</v>
      </c>
      <c r="T47" s="295">
        <v>664</v>
      </c>
      <c r="U47" s="295">
        <v>664</v>
      </c>
      <c r="V47" s="295">
        <v>664</v>
      </c>
      <c r="W47" s="295">
        <v>664</v>
      </c>
      <c r="X47" s="295">
        <v>664</v>
      </c>
      <c r="Y47" s="410">
        <v>1</v>
      </c>
      <c r="Z47" s="410"/>
      <c r="AA47" s="410"/>
      <c r="AB47" s="410"/>
      <c r="AC47" s="410"/>
      <c r="AD47" s="410"/>
      <c r="AE47" s="410"/>
      <c r="AF47" s="410"/>
      <c r="AG47" s="410"/>
      <c r="AH47" s="410"/>
      <c r="AI47" s="410"/>
      <c r="AJ47" s="410"/>
      <c r="AK47" s="410"/>
      <c r="AL47" s="410"/>
      <c r="AM47" s="296">
        <f>SUM(Y47:AL47)</f>
        <v>1</v>
      </c>
    </row>
    <row r="48" spans="1:39" ht="15.5" hidden="1" outlineLevel="1">
      <c r="B48" s="294" t="s">
        <v>267</v>
      </c>
      <c r="C48" s="291" t="s">
        <v>163</v>
      </c>
      <c r="D48" s="295">
        <v>21001</v>
      </c>
      <c r="E48" s="295">
        <v>21001</v>
      </c>
      <c r="F48" s="295">
        <v>21001</v>
      </c>
      <c r="G48" s="295">
        <v>21001</v>
      </c>
      <c r="H48" s="295">
        <v>21001</v>
      </c>
      <c r="I48" s="295">
        <v>21001</v>
      </c>
      <c r="J48" s="295">
        <v>21001</v>
      </c>
      <c r="K48" s="295">
        <v>21001</v>
      </c>
      <c r="L48" s="295">
        <v>21001</v>
      </c>
      <c r="M48" s="295">
        <v>21001</v>
      </c>
      <c r="N48" s="468"/>
      <c r="O48" s="295">
        <v>11</v>
      </c>
      <c r="P48" s="295">
        <v>11</v>
      </c>
      <c r="Q48" s="295">
        <v>11</v>
      </c>
      <c r="R48" s="295">
        <v>11</v>
      </c>
      <c r="S48" s="295">
        <v>11</v>
      </c>
      <c r="T48" s="295">
        <v>11</v>
      </c>
      <c r="U48" s="295">
        <v>11</v>
      </c>
      <c r="V48" s="295">
        <v>11</v>
      </c>
      <c r="W48" s="295">
        <v>11</v>
      </c>
      <c r="X48" s="295">
        <v>11</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ht="15.5" hidden="1"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hidden="1"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v>1</v>
      </c>
      <c r="Z50" s="410"/>
      <c r="AA50" s="410"/>
      <c r="AB50" s="410"/>
      <c r="AC50" s="410"/>
      <c r="AD50" s="410"/>
      <c r="AE50" s="410"/>
      <c r="AF50" s="410"/>
      <c r="AG50" s="410"/>
      <c r="AH50" s="410"/>
      <c r="AI50" s="410"/>
      <c r="AJ50" s="410"/>
      <c r="AK50" s="410"/>
      <c r="AL50" s="410"/>
      <c r="AM50" s="296">
        <f>SUM(Y50:AL50)</f>
        <v>1</v>
      </c>
    </row>
    <row r="51" spans="1:39" ht="15.5" hidden="1" outlineLevel="1">
      <c r="B51" s="294" t="s">
        <v>267</v>
      </c>
      <c r="C51" s="291" t="s">
        <v>163</v>
      </c>
      <c r="D51" s="295">
        <v>225449</v>
      </c>
      <c r="E51" s="295">
        <v>225449</v>
      </c>
      <c r="F51" s="295">
        <v>225449</v>
      </c>
      <c r="G51" s="295">
        <v>225449</v>
      </c>
      <c r="H51" s="295">
        <v>225449</v>
      </c>
      <c r="I51" s="295">
        <v>225449</v>
      </c>
      <c r="J51" s="295">
        <v>225449</v>
      </c>
      <c r="K51" s="295">
        <v>225449</v>
      </c>
      <c r="L51" s="295">
        <v>225449</v>
      </c>
      <c r="M51" s="295">
        <v>225449</v>
      </c>
      <c r="N51" s="468"/>
      <c r="O51" s="295">
        <v>13</v>
      </c>
      <c r="P51" s="295">
        <v>13</v>
      </c>
      <c r="Q51" s="295">
        <v>13</v>
      </c>
      <c r="R51" s="295">
        <v>13</v>
      </c>
      <c r="S51" s="295">
        <v>13</v>
      </c>
      <c r="T51" s="295">
        <v>13</v>
      </c>
      <c r="U51" s="295">
        <v>13</v>
      </c>
      <c r="V51" s="295">
        <v>13</v>
      </c>
      <c r="W51" s="295">
        <v>13</v>
      </c>
      <c r="X51" s="295">
        <v>13</v>
      </c>
      <c r="Y51" s="411">
        <f>Y50</f>
        <v>1</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ht="15.5" hidden="1"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hidden="1"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5" hidden="1"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ht="15.5" hidden="1" outlineLevel="1">
      <c r="B55" s="294" t="s">
        <v>267</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ht="15.5" hidden="1"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hidden="1" customHeight="1" outlineLevel="1">
      <c r="A57" s="522">
        <v>7</v>
      </c>
      <c r="B57" s="520" t="s">
        <v>100</v>
      </c>
      <c r="C57" s="291" t="s">
        <v>25</v>
      </c>
      <c r="D57" s="295">
        <v>1655090</v>
      </c>
      <c r="E57" s="295">
        <v>1655090</v>
      </c>
      <c r="F57" s="295">
        <v>1604633</v>
      </c>
      <c r="G57" s="295">
        <v>1577999</v>
      </c>
      <c r="H57" s="295">
        <v>1577999</v>
      </c>
      <c r="I57" s="295">
        <v>1577999</v>
      </c>
      <c r="J57" s="295">
        <v>1529250</v>
      </c>
      <c r="K57" s="295">
        <v>1529250</v>
      </c>
      <c r="L57" s="295">
        <v>1478551</v>
      </c>
      <c r="M57" s="295">
        <v>1302929</v>
      </c>
      <c r="N57" s="295">
        <v>12</v>
      </c>
      <c r="O57" s="295">
        <v>268</v>
      </c>
      <c r="P57" s="295">
        <v>268</v>
      </c>
      <c r="Q57" s="295">
        <v>252</v>
      </c>
      <c r="R57" s="295">
        <v>244</v>
      </c>
      <c r="S57" s="295">
        <v>244</v>
      </c>
      <c r="T57" s="295">
        <v>244</v>
      </c>
      <c r="U57" s="295">
        <v>235</v>
      </c>
      <c r="V57" s="295">
        <v>235</v>
      </c>
      <c r="W57" s="295">
        <v>233</v>
      </c>
      <c r="X57" s="295">
        <v>203</v>
      </c>
      <c r="Y57" s="533"/>
      <c r="Z57" s="848">
        <v>0.38</v>
      </c>
      <c r="AA57" s="848">
        <v>0.53</v>
      </c>
      <c r="AB57" s="415">
        <v>0.09</v>
      </c>
      <c r="AC57" s="533"/>
      <c r="AD57" s="410"/>
      <c r="AE57" s="410"/>
      <c r="AF57" s="415"/>
      <c r="AG57" s="415"/>
      <c r="AH57" s="415"/>
      <c r="AI57" s="415"/>
      <c r="AJ57" s="415"/>
      <c r="AK57" s="415"/>
      <c r="AL57" s="415"/>
      <c r="AM57" s="296">
        <f>SUM(Y57:AL57)</f>
        <v>1</v>
      </c>
    </row>
    <row r="58" spans="1:39" ht="15.5" hidden="1" outlineLevel="1">
      <c r="B58" s="294" t="s">
        <v>267</v>
      </c>
      <c r="C58" s="291" t="s">
        <v>163</v>
      </c>
      <c r="D58" s="295">
        <v>231480</v>
      </c>
      <c r="E58" s="295">
        <v>231480</v>
      </c>
      <c r="F58" s="295">
        <v>281937</v>
      </c>
      <c r="G58" s="295">
        <v>294990</v>
      </c>
      <c r="H58" s="295">
        <v>294990</v>
      </c>
      <c r="I58" s="295">
        <v>293527</v>
      </c>
      <c r="J58" s="295">
        <v>342277</v>
      </c>
      <c r="K58" s="295">
        <v>342277</v>
      </c>
      <c r="L58" s="295">
        <v>386186</v>
      </c>
      <c r="M58" s="295">
        <v>273467</v>
      </c>
      <c r="N58" s="295">
        <v>12</v>
      </c>
      <c r="O58" s="295">
        <v>60</v>
      </c>
      <c r="P58" s="295">
        <v>60</v>
      </c>
      <c r="Q58" s="295">
        <v>75</v>
      </c>
      <c r="R58" s="295">
        <v>79</v>
      </c>
      <c r="S58" s="295">
        <v>79</v>
      </c>
      <c r="T58" s="295">
        <v>79</v>
      </c>
      <c r="U58" s="295">
        <v>88</v>
      </c>
      <c r="V58" s="295">
        <v>88</v>
      </c>
      <c r="W58" s="295">
        <v>88</v>
      </c>
      <c r="X58" s="295">
        <v>58</v>
      </c>
      <c r="Y58" s="411">
        <f>Y57</f>
        <v>0</v>
      </c>
      <c r="Z58" s="411">
        <f>Z57</f>
        <v>0.38</v>
      </c>
      <c r="AA58" s="411">
        <f t="shared" ref="AA58" si="66">AA57</f>
        <v>0.53</v>
      </c>
      <c r="AB58" s="411">
        <f t="shared" ref="AB58" si="67">AB57</f>
        <v>0.09</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ht="15.5" hidden="1"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1" hidden="1" outlineLevel="1">
      <c r="A60" s="522">
        <v>8</v>
      </c>
      <c r="B60" s="520" t="s">
        <v>101</v>
      </c>
      <c r="C60" s="291" t="s">
        <v>25</v>
      </c>
      <c r="D60" s="295"/>
      <c r="E60" s="295"/>
      <c r="F60" s="295"/>
      <c r="G60" s="295"/>
      <c r="H60" s="295"/>
      <c r="I60" s="295"/>
      <c r="J60" s="295"/>
      <c r="K60" s="295"/>
      <c r="L60" s="295"/>
      <c r="M60" s="295"/>
      <c r="N60" s="295">
        <v>12</v>
      </c>
      <c r="O60" s="295"/>
      <c r="P60" s="295"/>
      <c r="Q60" s="295"/>
      <c r="R60" s="295"/>
      <c r="S60" s="295"/>
      <c r="T60" s="295"/>
      <c r="U60" s="295"/>
      <c r="V60" s="295"/>
      <c r="W60" s="295"/>
      <c r="X60" s="295"/>
      <c r="Y60" s="415"/>
      <c r="Z60" s="533"/>
      <c r="AA60" s="410"/>
      <c r="AB60" s="410"/>
      <c r="AC60" s="410"/>
      <c r="AD60" s="410"/>
      <c r="AE60" s="410"/>
      <c r="AF60" s="415"/>
      <c r="AG60" s="415"/>
      <c r="AH60" s="415"/>
      <c r="AI60" s="415"/>
      <c r="AJ60" s="415"/>
      <c r="AK60" s="415"/>
      <c r="AL60" s="415"/>
      <c r="AM60" s="296">
        <f>SUM(Y60:AL60)</f>
        <v>0</v>
      </c>
    </row>
    <row r="61" spans="1:39" ht="15.5" hidden="1" outlineLevel="1">
      <c r="B61" s="294" t="s">
        <v>267</v>
      </c>
      <c r="C61" s="291" t="s">
        <v>163</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 si="78">Z60</f>
        <v>0</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ht="15.5" hidden="1"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1" hidden="1"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ht="15.5" hidden="1"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ht="15.5" hidden="1"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1" hidden="1"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ht="15.5" hidden="1"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ht="15.5" hidden="1"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5" hidden="1"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1" hidden="1"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v>1</v>
      </c>
      <c r="AC70" s="410"/>
      <c r="AD70" s="410"/>
      <c r="AE70" s="410"/>
      <c r="AF70" s="415"/>
      <c r="AG70" s="415"/>
      <c r="AH70" s="415"/>
      <c r="AI70" s="415"/>
      <c r="AJ70" s="415"/>
      <c r="AK70" s="415"/>
      <c r="AL70" s="415"/>
      <c r="AM70" s="296">
        <f>SUM(Y70:AL70)</f>
        <v>1</v>
      </c>
    </row>
    <row r="71" spans="1:39" ht="15.5" hidden="1" outlineLevel="1">
      <c r="B71" s="294" t="s">
        <v>267</v>
      </c>
      <c r="C71" s="291" t="s">
        <v>163</v>
      </c>
      <c r="D71" s="295">
        <v>9012548</v>
      </c>
      <c r="E71" s="295">
        <v>9012548</v>
      </c>
      <c r="F71" s="295">
        <v>9012548</v>
      </c>
      <c r="G71" s="295">
        <v>9012548</v>
      </c>
      <c r="H71" s="295">
        <v>9012548</v>
      </c>
      <c r="I71" s="295">
        <v>9012548</v>
      </c>
      <c r="J71" s="295">
        <v>9012548</v>
      </c>
      <c r="K71" s="295">
        <v>9012548</v>
      </c>
      <c r="L71" s="295">
        <v>9012548</v>
      </c>
      <c r="M71" s="295">
        <v>9012548</v>
      </c>
      <c r="N71" s="295">
        <v>12</v>
      </c>
      <c r="O71" s="295">
        <v>734</v>
      </c>
      <c r="P71" s="295">
        <v>734</v>
      </c>
      <c r="Q71" s="295">
        <v>734</v>
      </c>
      <c r="R71" s="295">
        <v>734</v>
      </c>
      <c r="S71" s="295">
        <v>734</v>
      </c>
      <c r="T71" s="295">
        <v>734</v>
      </c>
      <c r="U71" s="295">
        <v>734</v>
      </c>
      <c r="V71" s="295">
        <v>734</v>
      </c>
      <c r="W71" s="295">
        <v>734</v>
      </c>
      <c r="X71" s="295">
        <v>734</v>
      </c>
      <c r="Y71" s="411">
        <f>Y70</f>
        <v>0</v>
      </c>
      <c r="Z71" s="411">
        <f t="shared" ref="Z71" si="117">Z70</f>
        <v>0</v>
      </c>
      <c r="AA71" s="411">
        <f t="shared" ref="AA71" si="118">AA70</f>
        <v>0</v>
      </c>
      <c r="AB71" s="411">
        <f t="shared" ref="AB71" si="119">AB70</f>
        <v>1</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ht="15.5" hidden="1"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1" hidden="1"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ht="15.5" hidden="1"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ht="15.5" hidden="1"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1" hidden="1" outlineLevel="1">
      <c r="A76" s="522">
        <v>13</v>
      </c>
      <c r="B76" s="520" t="s">
        <v>106</v>
      </c>
      <c r="C76" s="291" t="s">
        <v>25</v>
      </c>
      <c r="D76" s="295">
        <v>39560</v>
      </c>
      <c r="E76" s="295">
        <v>39560</v>
      </c>
      <c r="F76" s="295">
        <v>39560</v>
      </c>
      <c r="G76" s="295">
        <v>39560</v>
      </c>
      <c r="H76" s="295">
        <v>39560</v>
      </c>
      <c r="I76" s="295">
        <v>39560</v>
      </c>
      <c r="J76" s="295">
        <v>39560</v>
      </c>
      <c r="K76" s="295">
        <v>39560</v>
      </c>
      <c r="L76" s="295">
        <v>39560</v>
      </c>
      <c r="M76" s="295">
        <v>39560</v>
      </c>
      <c r="N76" s="295">
        <v>12</v>
      </c>
      <c r="O76" s="295">
        <v>11</v>
      </c>
      <c r="P76" s="295">
        <v>11</v>
      </c>
      <c r="Q76" s="295">
        <v>11</v>
      </c>
      <c r="R76" s="295">
        <v>11</v>
      </c>
      <c r="S76" s="295">
        <v>11</v>
      </c>
      <c r="T76" s="295">
        <v>11</v>
      </c>
      <c r="U76" s="295">
        <v>11</v>
      </c>
      <c r="V76" s="295">
        <v>11</v>
      </c>
      <c r="W76" s="295">
        <v>11</v>
      </c>
      <c r="X76" s="295">
        <v>11</v>
      </c>
      <c r="Y76" s="410"/>
      <c r="Z76" s="410"/>
      <c r="AA76" s="410"/>
      <c r="AB76" s="410">
        <v>1</v>
      </c>
      <c r="AC76" s="410"/>
      <c r="AD76" s="410"/>
      <c r="AE76" s="410"/>
      <c r="AF76" s="415"/>
      <c r="AG76" s="415"/>
      <c r="AH76" s="415"/>
      <c r="AI76" s="415"/>
      <c r="AJ76" s="415"/>
      <c r="AK76" s="415"/>
      <c r="AL76" s="415"/>
      <c r="AM76" s="296">
        <f>SUM(Y76:AL76)</f>
        <v>1</v>
      </c>
    </row>
    <row r="77" spans="1:39" ht="15.5" hidden="1" outlineLevel="1">
      <c r="B77" s="520" t="s">
        <v>267</v>
      </c>
      <c r="C77" s="291" t="s">
        <v>163</v>
      </c>
      <c r="D77" s="295"/>
      <c r="E77" s="295"/>
      <c r="F77" s="295"/>
      <c r="G77" s="295"/>
      <c r="H77" s="295"/>
      <c r="I77" s="295"/>
      <c r="J77" s="295"/>
      <c r="K77" s="295"/>
      <c r="L77" s="295"/>
      <c r="M77" s="295"/>
      <c r="N77" s="295">
        <v>12</v>
      </c>
      <c r="O77" s="295"/>
      <c r="P77" s="295"/>
      <c r="Q77" s="295"/>
      <c r="R77" s="295"/>
      <c r="S77" s="295"/>
      <c r="T77" s="295"/>
      <c r="U77" s="295"/>
      <c r="V77" s="295"/>
      <c r="W77" s="295"/>
      <c r="X77" s="295"/>
      <c r="Y77" s="411">
        <f>Y76</f>
        <v>0</v>
      </c>
      <c r="Z77" s="411">
        <f t="shared" ref="Z77:AL77" si="143">Z76</f>
        <v>0</v>
      </c>
      <c r="AA77" s="411">
        <f t="shared" si="143"/>
        <v>0</v>
      </c>
      <c r="AB77" s="411">
        <f t="shared" si="143"/>
        <v>1</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ht="15.5" hidden="1"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5" hidden="1"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t="15.5" hidden="1" outlineLevel="1">
      <c r="A80" s="522">
        <v>14</v>
      </c>
      <c r="B80" s="315" t="s">
        <v>108</v>
      </c>
      <c r="C80" s="291" t="s">
        <v>25</v>
      </c>
      <c r="D80" s="295">
        <v>76713</v>
      </c>
      <c r="E80" s="295">
        <v>62341</v>
      </c>
      <c r="F80" s="295">
        <v>59617</v>
      </c>
      <c r="G80" s="295">
        <v>57258</v>
      </c>
      <c r="H80" s="295">
        <v>57258</v>
      </c>
      <c r="I80" s="295">
        <v>57258</v>
      </c>
      <c r="J80" s="295">
        <v>56565</v>
      </c>
      <c r="K80" s="295">
        <v>56565</v>
      </c>
      <c r="L80" s="295">
        <v>34835</v>
      </c>
      <c r="M80" s="295">
        <v>34835</v>
      </c>
      <c r="N80" s="295">
        <v>12</v>
      </c>
      <c r="O80" s="295">
        <v>7</v>
      </c>
      <c r="P80" s="295">
        <v>6</v>
      </c>
      <c r="Q80" s="295">
        <v>6</v>
      </c>
      <c r="R80" s="295">
        <v>6</v>
      </c>
      <c r="S80" s="295">
        <v>6</v>
      </c>
      <c r="T80" s="295">
        <v>6</v>
      </c>
      <c r="U80" s="295">
        <v>6</v>
      </c>
      <c r="V80" s="295">
        <v>6</v>
      </c>
      <c r="W80" s="295">
        <v>5</v>
      </c>
      <c r="X80" s="295">
        <v>5</v>
      </c>
      <c r="Y80" s="849">
        <v>1</v>
      </c>
      <c r="Z80" s="410"/>
      <c r="AA80" s="410"/>
      <c r="AB80" s="410"/>
      <c r="AC80" s="410"/>
      <c r="AD80" s="410"/>
      <c r="AE80" s="410"/>
      <c r="AF80" s="410"/>
      <c r="AG80" s="410"/>
      <c r="AH80" s="410"/>
      <c r="AI80" s="410"/>
      <c r="AJ80" s="410"/>
      <c r="AK80" s="410"/>
      <c r="AL80" s="410"/>
      <c r="AM80" s="296">
        <f>SUM(Y80:AL80)</f>
        <v>1</v>
      </c>
    </row>
    <row r="81" spans="1:40" ht="15.5" hidden="1" outlineLevel="1">
      <c r="B81" s="294" t="s">
        <v>267</v>
      </c>
      <c r="C81" s="291" t="s">
        <v>163</v>
      </c>
      <c r="D81" s="295"/>
      <c r="E81" s="295"/>
      <c r="F81" s="295"/>
      <c r="G81" s="295"/>
      <c r="H81" s="295"/>
      <c r="I81" s="295"/>
      <c r="J81" s="295"/>
      <c r="K81" s="295"/>
      <c r="L81" s="295"/>
      <c r="M81" s="295"/>
      <c r="N81" s="295">
        <v>12</v>
      </c>
      <c r="O81" s="295"/>
      <c r="P81" s="295"/>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ht="15.5" hidden="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5" hidden="1"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ht="15.5" hidden="1"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t="15.5" hidden="1"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ht="15.5" hidden="1"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5" hidden="1" outlineLevel="1">
      <c r="A87" s="522">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t="15.5" hidden="1"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ht="15.5" hidden="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5" hidden="1"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15.5" hidden="1"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t="15.5" hidden="1"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ht="15.5" hidden="1"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5" hidden="1" outlineLevel="1">
      <c r="A94" s="522">
        <v>18</v>
      </c>
      <c r="B94" s="520" t="s">
        <v>109</v>
      </c>
      <c r="C94" s="291" t="s">
        <v>25</v>
      </c>
      <c r="D94" s="295">
        <v>354721</v>
      </c>
      <c r="E94" s="295">
        <v>354721</v>
      </c>
      <c r="F94" s="295">
        <v>354721</v>
      </c>
      <c r="G94" s="295">
        <v>354721</v>
      </c>
      <c r="H94" s="295">
        <v>354721</v>
      </c>
      <c r="I94" s="295">
        <v>354721</v>
      </c>
      <c r="J94" s="295">
        <v>354721</v>
      </c>
      <c r="K94" s="295">
        <v>354721</v>
      </c>
      <c r="L94" s="295">
        <v>354721</v>
      </c>
      <c r="M94" s="295">
        <v>354721</v>
      </c>
      <c r="N94" s="295">
        <v>12</v>
      </c>
      <c r="O94" s="295">
        <v>20</v>
      </c>
      <c r="P94" s="295">
        <v>20</v>
      </c>
      <c r="Q94" s="295">
        <v>20</v>
      </c>
      <c r="R94" s="295">
        <v>20</v>
      </c>
      <c r="S94" s="295">
        <v>20</v>
      </c>
      <c r="T94" s="295">
        <v>20</v>
      </c>
      <c r="U94" s="295">
        <v>20</v>
      </c>
      <c r="V94" s="295">
        <v>20</v>
      </c>
      <c r="W94" s="295">
        <v>20</v>
      </c>
      <c r="X94" s="295">
        <v>20</v>
      </c>
      <c r="Y94" s="426"/>
      <c r="Z94" s="410"/>
      <c r="AA94" s="410"/>
      <c r="AB94" s="410">
        <v>1</v>
      </c>
      <c r="AC94" s="410"/>
      <c r="AD94" s="410"/>
      <c r="AE94" s="410"/>
      <c r="AF94" s="415"/>
      <c r="AG94" s="415"/>
      <c r="AH94" s="415"/>
      <c r="AI94" s="415"/>
      <c r="AJ94" s="415"/>
      <c r="AK94" s="415"/>
      <c r="AL94" s="415"/>
      <c r="AM94" s="296">
        <f>SUM(Y94:AL94)</f>
        <v>1</v>
      </c>
    </row>
    <row r="95" spans="1:40" ht="15.5" hidden="1" outlineLevel="1">
      <c r="B95" s="294" t="s">
        <v>267</v>
      </c>
      <c r="C95" s="291" t="s">
        <v>163</v>
      </c>
      <c r="D95" s="295"/>
      <c r="E95" s="295"/>
      <c r="F95" s="295"/>
      <c r="G95" s="295"/>
      <c r="H95" s="295"/>
      <c r="I95" s="295"/>
      <c r="J95" s="295"/>
      <c r="K95" s="295"/>
      <c r="L95" s="295"/>
      <c r="M95" s="295"/>
      <c r="N95" s="295">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1</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ht="15.5" hidden="1"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5" hidden="1"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t="15.5" hidden="1"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ht="15.5" hidden="1"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5" hidden="1"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5" hidden="1"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5" hidden="1"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5" hidden="1"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5" hidden="1"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5" hidden="1"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ht="15.5" hidden="1"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ht="15.5" hidden="1"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1" hidden="1"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ht="15.5" hidden="1"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ht="15.5" hidden="1"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1" hidden="1"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t="15.5" hidden="1"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ht="15.5" hidden="1"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5" hidden="1"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t="15.5" hidden="1"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ht="15.5" hidden="1"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5" hidden="1"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5" hidden="1"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t="15.5" hidden="1"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ht="15.5" hidden="1"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5" hidden="1"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848">
        <v>0.38</v>
      </c>
      <c r="AA121" s="848">
        <v>0.53</v>
      </c>
      <c r="AB121" s="415">
        <v>0.09</v>
      </c>
      <c r="AC121" s="533"/>
      <c r="AD121" s="410"/>
      <c r="AE121" s="410"/>
      <c r="AF121" s="415"/>
      <c r="AG121" s="415"/>
      <c r="AH121" s="415"/>
      <c r="AI121" s="415"/>
      <c r="AJ121" s="415"/>
      <c r="AK121" s="415"/>
      <c r="AL121" s="415"/>
      <c r="AM121" s="296">
        <f>SUM(Y121:AL121)</f>
        <v>1</v>
      </c>
    </row>
    <row r="122" spans="1:39" ht="15.5" hidden="1" outlineLevel="1">
      <c r="B122" s="294" t="s">
        <v>267</v>
      </c>
      <c r="C122" s="291" t="s">
        <v>163</v>
      </c>
      <c r="D122" s="295">
        <v>824628</v>
      </c>
      <c r="E122" s="295">
        <v>824628</v>
      </c>
      <c r="F122" s="295">
        <v>824628</v>
      </c>
      <c r="G122" s="295">
        <v>824628</v>
      </c>
      <c r="H122" s="295">
        <v>824628</v>
      </c>
      <c r="I122" s="295">
        <v>824628</v>
      </c>
      <c r="J122" s="295">
        <v>824628</v>
      </c>
      <c r="K122" s="295">
        <v>824628</v>
      </c>
      <c r="L122" s="295">
        <v>823462</v>
      </c>
      <c r="M122" s="295">
        <v>753602</v>
      </c>
      <c r="N122" s="295">
        <v>12</v>
      </c>
      <c r="O122" s="295">
        <v>53</v>
      </c>
      <c r="P122" s="295">
        <v>53</v>
      </c>
      <c r="Q122" s="295">
        <v>53</v>
      </c>
      <c r="R122" s="295">
        <v>53</v>
      </c>
      <c r="S122" s="295">
        <v>53</v>
      </c>
      <c r="T122" s="295">
        <v>53</v>
      </c>
      <c r="U122" s="295">
        <v>53</v>
      </c>
      <c r="V122" s="295">
        <v>53</v>
      </c>
      <c r="W122" s="295">
        <v>52</v>
      </c>
      <c r="X122" s="295">
        <v>39</v>
      </c>
      <c r="Y122" s="411">
        <f>Y121</f>
        <v>0</v>
      </c>
      <c r="Z122" s="411">
        <f t="shared" ref="Z122" si="241">Z121</f>
        <v>0.38</v>
      </c>
      <c r="AA122" s="411">
        <f t="shared" ref="AA122" si="242">AA121</f>
        <v>0.53</v>
      </c>
      <c r="AB122" s="411">
        <f t="shared" ref="AB122" si="243">AB121</f>
        <v>0.09</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ht="15.5" hidden="1"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1" hidden="1"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t="15.5" hidden="1"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ht="15.5" hidden="1"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1" hidden="1"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t="15.5" hidden="1"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ht="15.5" hidden="1"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1" hidden="1"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t="15.5" hidden="1"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ht="15.5" hidden="1"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1" hidden="1"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t="15.5" hidden="1"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ht="15.5" hidden="1"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1" hidden="1"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t="15.5" hidden="1"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ht="15.5" hidden="1"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hidden="1"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t="15.5" hidden="1"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ht="15.5" hidden="1"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5" hidden="1"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5" hidden="1"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t="15.5" hidden="1"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ht="15.5" hidden="1"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5" hidden="1"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t="15.5" hidden="1"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ht="15.5" hidden="1"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5" hidden="1"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t="15.5" hidden="1"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ht="15.5" hidden="1"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5" hidden="1"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6.5" hidden="1"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t="15.5" hidden="1"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ht="15.5" hidden="1"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1" hidden="1"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5.5" hidden="1"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ht="15.5" hidden="1"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5" hidden="1"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5.5" hidden="1"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ht="15.5" hidden="1"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1" hidden="1"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5.5" hidden="1"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ht="15.5" hidden="1"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1" hidden="1"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5.5" hidden="1"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ht="15.5" hidden="1"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6.5" hidden="1"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5.5" hidden="1"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ht="15.5" hidden="1"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1" hidden="1"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5.5" hidden="1"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ht="15.5" hidden="1"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5" hidden="1"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5.5" hidden="1"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ht="15.5" hidden="1"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6.5" hidden="1"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t="15.5" hidden="1"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ht="15.5" hidden="1"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1" hidden="1"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5.5" hidden="1"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ht="15.5" hidden="1"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1" hidden="1"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5.5" hidden="1"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ht="15.5" hidden="1"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1" hidden="1"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5.5" hidden="1"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ht="15.5" hidden="1"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1" hidden="1"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5.5" hidden="1"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ht="15.5" hidden="1"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1" hidden="1"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t="15.5" hidden="1"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ht="15.5" hidden="1"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5" collapsed="1">
      <c r="B195" s="327" t="s">
        <v>271</v>
      </c>
      <c r="C195" s="329"/>
      <c r="D195" s="329">
        <f>SUM(D38:D193)</f>
        <v>15609745</v>
      </c>
      <c r="E195" s="329"/>
      <c r="F195" s="329"/>
      <c r="G195" s="329"/>
      <c r="H195" s="329"/>
      <c r="I195" s="329"/>
      <c r="J195" s="329"/>
      <c r="K195" s="329"/>
      <c r="L195" s="329"/>
      <c r="M195" s="329"/>
      <c r="N195" s="329"/>
      <c r="O195" s="329">
        <f>SUM(O38:O193)</f>
        <v>1969</v>
      </c>
      <c r="P195" s="329"/>
      <c r="Q195" s="329"/>
      <c r="R195" s="329"/>
      <c r="S195" s="329"/>
      <c r="T195" s="329"/>
      <c r="U195" s="329"/>
      <c r="V195" s="329"/>
      <c r="W195" s="329"/>
      <c r="X195" s="329"/>
      <c r="Y195" s="329">
        <f>IF(Y36="kWh",SUMPRODUCT(D38:D193,Y38:Y193))</f>
        <v>3491718</v>
      </c>
      <c r="Z195" s="329">
        <f>IF(Z36="kWh",SUMPRODUCT(D38:D193,Z38:Z193))</f>
        <v>1030255.24</v>
      </c>
      <c r="AA195" s="329">
        <f>IF(AA36="kw",SUMPRODUCT(N38:N193,O38:O193,AA38:AA193),SUMPRODUCT(D38:D193,AA38:AA193))</f>
        <v>2423.16</v>
      </c>
      <c r="AB195" s="329">
        <f>IF(AB36="kw",SUMPRODUCT(N38:N193,O38:O193,AB38:AB193),SUMPRODUCT(D38:D193,AB38:AB193))</f>
        <v>9591.48</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4981199.5291091874</v>
      </c>
      <c r="Z196" s="392">
        <f>HLOOKUP(Z35,'2. LRAMVA Threshold'!$B$42:$Q$53,7,FALSE)</f>
        <v>1361536.3259612024</v>
      </c>
      <c r="AA196" s="392">
        <f>HLOOKUP(AA35,'2. LRAMVA Threshold'!$B$42:$Q$53,7,FALSE)</f>
        <v>8632.5023659816015</v>
      </c>
      <c r="AB196" s="392">
        <f>HLOOKUP(AB35,'2. LRAMVA Threshold'!$B$42:$Q$53,7,FALSE)</f>
        <v>1829.9478401877302</v>
      </c>
      <c r="AC196" s="392">
        <f>HLOOKUP(AC35,'2. LRAMVA Threshold'!$B$42:$Q$53,7,FALSE)</f>
        <v>991.59594282963769</v>
      </c>
      <c r="AD196" s="392">
        <f>HLOOKUP(AD35,'2. LRAMVA Threshold'!$B$42:$Q$53,7,FALSE)</f>
        <v>1859.4897713598079</v>
      </c>
      <c r="AE196" s="392">
        <f>HLOOKUP(AE35,'2. LRAMVA Threshold'!$B$42:$Q$53,7,FALSE)</f>
        <v>27620.028656326998</v>
      </c>
      <c r="AF196" s="392">
        <f>HLOOKUP(AF35,'2. LRAMVA Threshold'!$B$42:$Q$53,7,FALSE)</f>
        <v>1.0297238639205715</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5">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1.2E-2</v>
      </c>
      <c r="Z198" s="341">
        <f>HLOOKUP(Z$35,'3.  Distribution Rates'!$C$122:$P$133,7,FALSE)</f>
        <v>1.7000000000000001E-2</v>
      </c>
      <c r="AA198" s="341">
        <f>HLOOKUP(AA$35,'3.  Distribution Rates'!$C$122:$P$133,7,FALSE)</f>
        <v>3.7097000000000002</v>
      </c>
      <c r="AB198" s="341">
        <f>HLOOKUP(AB$35,'3.  Distribution Rates'!$C$122:$P$133,7,FALSE)</f>
        <v>2.5922999999999998</v>
      </c>
      <c r="AC198" s="341">
        <f>HLOOKUP(AC$35,'3.  Distribution Rates'!$C$122:$P$133,7,FALSE)</f>
        <v>2.0531000000000001</v>
      </c>
      <c r="AD198" s="341">
        <f>HLOOKUP(AD$35,'3.  Distribution Rates'!$C$122:$P$133,7,FALSE)</f>
        <v>18.104199999999999</v>
      </c>
      <c r="AE198" s="341">
        <f>HLOOKUP(AE$35,'3.  Distribution Rates'!$C$122:$P$133,7,FALSE)</f>
        <v>1.3599999999999999E-2</v>
      </c>
      <c r="AF198" s="341">
        <f>HLOOKUP(AF$35,'3.  Distribution Rates'!$C$122:$P$133,7,FALSE)</f>
        <v>6.2114000000000003</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ht="15.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ht="15.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ht="15.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ht="15.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41900.616000000002</v>
      </c>
      <c r="Z203" s="378">
        <f>Z195*Z198</f>
        <v>17514.339080000002</v>
      </c>
      <c r="AA203" s="378">
        <f>AA195*AA198</f>
        <v>8989.1966520000005</v>
      </c>
      <c r="AB203" s="378">
        <f t="shared" ref="AB203:AL203" si="553">AB195*AB198</f>
        <v>24863.993603999996</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93268.145335999987</v>
      </c>
    </row>
    <row r="204" spans="2:39" ht="15.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41900.616000000002</v>
      </c>
      <c r="Z204" s="346">
        <f>SUM(Z199:Z203)</f>
        <v>17514.339080000002</v>
      </c>
      <c r="AA204" s="346">
        <f t="shared" ref="AA204:AE204" si="554">SUM(AA199:AA203)</f>
        <v>8989.1966520000005</v>
      </c>
      <c r="AB204" s="346">
        <f t="shared" si="554"/>
        <v>24863.993603999996</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93268.145335999987</v>
      </c>
    </row>
    <row r="205" spans="2:39" ht="15.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59774.394349310249</v>
      </c>
      <c r="Z205" s="347">
        <f t="shared" ref="Z205:AE205" si="556">Z196*Z198</f>
        <v>23146.117541340442</v>
      </c>
      <c r="AA205" s="347">
        <f t="shared" si="556"/>
        <v>32023.99402708195</v>
      </c>
      <c r="AB205" s="347">
        <f t="shared" si="556"/>
        <v>4743.7737861186524</v>
      </c>
      <c r="AC205" s="347">
        <f t="shared" si="556"/>
        <v>2035.8456302235293</v>
      </c>
      <c r="AD205" s="347">
        <f t="shared" si="556"/>
        <v>33664.574718652235</v>
      </c>
      <c r="AE205" s="347">
        <f t="shared" si="556"/>
        <v>375.63238972604717</v>
      </c>
      <c r="AF205" s="347">
        <f>AF196*AF198</f>
        <v>6.3960268083562379</v>
      </c>
      <c r="AG205" s="347">
        <f t="shared" ref="AG205:AL205" si="557">AG196*AG198</f>
        <v>0</v>
      </c>
      <c r="AH205" s="347">
        <f t="shared" si="557"/>
        <v>0</v>
      </c>
      <c r="AI205" s="347">
        <f t="shared" si="557"/>
        <v>0</v>
      </c>
      <c r="AJ205" s="347">
        <f t="shared" si="557"/>
        <v>0</v>
      </c>
      <c r="AK205" s="347">
        <f t="shared" si="557"/>
        <v>0</v>
      </c>
      <c r="AL205" s="347">
        <f t="shared" si="557"/>
        <v>0</v>
      </c>
      <c r="AM205" s="407">
        <f>SUM(Y205:AL205)</f>
        <v>155770.72846926149</v>
      </c>
    </row>
    <row r="206" spans="2:39" ht="15.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-62502.583133261505</v>
      </c>
    </row>
    <row r="207" spans="2:39" ht="15.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3449531</v>
      </c>
      <c r="Z208" s="291">
        <f>SUMPRODUCT(E38:E193,Z38:Z193)</f>
        <v>1030255.24</v>
      </c>
      <c r="AA208" s="291">
        <f>IF(AA36="kw",SUMPRODUCT(N38:N193,P38:P193,AA38:AA193),SUMPRODUCT(E38:E193,AA38:AA193))</f>
        <v>2423.16</v>
      </c>
      <c r="AB208" s="291">
        <f>IF(AB36="kw",SUMPRODUCT(N38:N193,P38:P193,AB38:AB193),SUMPRODUCT(E38:E193,AB38:AB193))</f>
        <v>9591.48</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3446807</v>
      </c>
      <c r="Z209" s="291">
        <f>SUMPRODUCT(F38:F193,Z38:Z193)</f>
        <v>1030255.2400000001</v>
      </c>
      <c r="AA209" s="291">
        <f>IF(AA36="kw",SUMPRODUCT(N38:N193,Q38:Q193,AA38:AA193),SUMPRODUCT(F38:F193,AA38:AA193))</f>
        <v>2416.8000000000002</v>
      </c>
      <c r="AB209" s="291">
        <f>IF(AB36="kw",SUMPRODUCT(N38:N193,Q38:Q193,AB38:AB193),SUMPRODUCT(F38:F193,AB38:AB193))</f>
        <v>9590.4</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3444448</v>
      </c>
      <c r="Z210" s="291">
        <f>SUMPRODUCT(G38:G193,Z38:Z193)</f>
        <v>1025094.46</v>
      </c>
      <c r="AA210" s="291">
        <f>IF(AA36="kw",SUMPRODUCT(N38:N193,R38:R193,AA38:AA193),SUMPRODUCT(G38:G193,AA38:AA193))</f>
        <v>2391.36</v>
      </c>
      <c r="AB210" s="291">
        <f>IF(AB36="kw",SUMPRODUCT(N38:N193,R38:R193,AB38:AB193),SUMPRODUCT(G38:G193,AB38:AB193))</f>
        <v>9586.08</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3438848</v>
      </c>
      <c r="Z211" s="291">
        <f>SUMPRODUCT(H38:H193,Z38:Z193)</f>
        <v>1025094.46</v>
      </c>
      <c r="AA211" s="291">
        <f>IF(AA36="kw",SUMPRODUCT(N38:N193,S38:S193,AA38:AA193),SUMPRODUCT(H38:H193,AA38:AA193))</f>
        <v>2391.36</v>
      </c>
      <c r="AB211" s="291">
        <f>IF(AB36="kw",SUMPRODUCT(N38:N193,S38:S193,AB38:AB193),SUMPRODUCT(H38:H193,AB38:AB193))</f>
        <v>9586.08</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3434778</v>
      </c>
      <c r="Z212" s="326">
        <f>SUMPRODUCT(I38:I193,Z38:Z193)</f>
        <v>1024538.52</v>
      </c>
      <c r="AA212" s="326">
        <f>IF(AA36="kw",SUMPRODUCT(N38:N193,T38:T193,AA38:AA193),SUMPRODUCT(I38:I193,AA38:AA193))</f>
        <v>2391.36</v>
      </c>
      <c r="AB212" s="326">
        <f>IF(AB36="kw",SUMPRODUCT(N38:N193,T38:T193,AB38:AB193),SUMPRODUCT(I38:I193,AB38:AB193))</f>
        <v>9586.08</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588</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5">
      <c r="B214" s="438"/>
    </row>
    <row r="215" spans="1:39" ht="15.5">
      <c r="B215" s="438"/>
    </row>
    <row r="216" spans="1:39" ht="15.5">
      <c r="B216" s="280" t="s">
        <v>273</v>
      </c>
      <c r="C216" s="281"/>
      <c r="D216" s="590" t="s">
        <v>526</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921" t="s">
        <v>211</v>
      </c>
      <c r="C217" s="923" t="s">
        <v>33</v>
      </c>
      <c r="D217" s="284" t="s">
        <v>422</v>
      </c>
      <c r="E217" s="925" t="s">
        <v>209</v>
      </c>
      <c r="F217" s="926"/>
      <c r="G217" s="926"/>
      <c r="H217" s="926"/>
      <c r="I217" s="926"/>
      <c r="J217" s="926"/>
      <c r="K217" s="926"/>
      <c r="L217" s="926"/>
      <c r="M217" s="927"/>
      <c r="N217" s="928" t="s">
        <v>213</v>
      </c>
      <c r="O217" s="284" t="s">
        <v>423</v>
      </c>
      <c r="P217" s="925" t="s">
        <v>212</v>
      </c>
      <c r="Q217" s="926"/>
      <c r="R217" s="926"/>
      <c r="S217" s="926"/>
      <c r="T217" s="926"/>
      <c r="U217" s="926"/>
      <c r="V217" s="926"/>
      <c r="W217" s="926"/>
      <c r="X217" s="927"/>
      <c r="Y217" s="918" t="s">
        <v>243</v>
      </c>
      <c r="Z217" s="919"/>
      <c r="AA217" s="919"/>
      <c r="AB217" s="919"/>
      <c r="AC217" s="919"/>
      <c r="AD217" s="919"/>
      <c r="AE217" s="919"/>
      <c r="AF217" s="919"/>
      <c r="AG217" s="919"/>
      <c r="AH217" s="919"/>
      <c r="AI217" s="919"/>
      <c r="AJ217" s="919"/>
      <c r="AK217" s="919"/>
      <c r="AL217" s="919"/>
      <c r="AM217" s="920"/>
    </row>
    <row r="218" spans="1:39" ht="60.75" customHeight="1">
      <c r="B218" s="922"/>
      <c r="C218" s="924"/>
      <c r="D218" s="285">
        <v>2016</v>
      </c>
      <c r="E218" s="285">
        <v>2017</v>
      </c>
      <c r="F218" s="285">
        <v>2018</v>
      </c>
      <c r="G218" s="285">
        <v>2019</v>
      </c>
      <c r="H218" s="285">
        <v>2020</v>
      </c>
      <c r="I218" s="285">
        <v>2021</v>
      </c>
      <c r="J218" s="285">
        <v>2022</v>
      </c>
      <c r="K218" s="285">
        <v>2023</v>
      </c>
      <c r="L218" s="285">
        <v>2024</v>
      </c>
      <c r="M218" s="285">
        <v>2025</v>
      </c>
      <c r="N218" s="929"/>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 50 to 999 kW (I1 &amp; I4)</v>
      </c>
      <c r="AB218" s="285" t="str">
        <f>'1.  LRAMVA Summary'!G52</f>
        <v>GS 1,000 to 4,999 kW (I2)</v>
      </c>
      <c r="AC218" s="285" t="str">
        <f>'1.  LRAMVA Summary'!H52</f>
        <v>Large Use (I3)</v>
      </c>
      <c r="AD218" s="285" t="str">
        <f>'1.  LRAMVA Summary'!I52</f>
        <v>Street Lighting</v>
      </c>
      <c r="AE218" s="285" t="str">
        <f>'1.  LRAMVA Summary'!J52</f>
        <v>USL</v>
      </c>
      <c r="AF218" s="285" t="str">
        <f>'1.  LRAMVA Summary'!K52</f>
        <v>Sentinel Lights</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t="str">
        <f>'1.  LRAMVA Summary'!I53</f>
        <v>kW</v>
      </c>
      <c r="AE219" s="291" t="str">
        <f>'1.  LRAMVA Summary'!J53</f>
        <v>kWh</v>
      </c>
      <c r="AF219" s="291" t="str">
        <f>'1.  LRAMVA Summary'!K53</f>
        <v>kW</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5" hidden="1"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5" hidden="1"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t="15.5" hidden="1"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5" hidden="1"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5" hidden="1"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t="15.5" hidden="1"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5" hidden="1"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5" hidden="1"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t="15.5" hidden="1"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ht="15.5" hidden="1"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5" hidden="1" outlineLevel="1">
      <c r="A230" s="522">
        <v>4</v>
      </c>
      <c r="B230" s="520" t="s">
        <v>678</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t="15.5" hidden="1"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ht="15.5" hidden="1"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1" hidden="1"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t="15.5" hidden="1"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ht="15.5" hidden="1"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5" hidden="1"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5" hidden="1"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5" hidden="1"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ht="15.5" hidden="1"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1" hidden="1"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5" hidden="1"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ht="15.5" hidden="1"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1" hidden="1"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5" hidden="1"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ht="15.5" hidden="1"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1" hidden="1"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5" hidden="1"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ht="15.5" hidden="1"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1" hidden="1"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5" hidden="1"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ht="15.5" hidden="1"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5" hidden="1"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1" hidden="1"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5" hidden="1"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ht="15.5" hidden="1"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1" hidden="1"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5" hidden="1"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ht="15.5" hidden="1"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1" hidden="1"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5" hidden="1"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ht="15.5" hidden="1"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5" hidden="1"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5" hidden="1"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5" hidden="1"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ht="15.5" hidden="1"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5" hidden="1"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ht="15.5" hidden="1"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5" hidden="1"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ht="15.5" hidden="1"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5" hidden="1"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5" hidden="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ht="15.5" hidden="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5" hidden="1"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15.5" hidden="1"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t="15.5" hidden="1"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ht="15.5" hidden="1"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5" hidden="1"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t="15.5" hidden="1"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ht="15.5" hidden="1"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5" hidden="1"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t="15.5" hidden="1"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ht="15.5" hidden="1"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5" hidden="1"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5" hidden="1"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5" hidden="1"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5" hidden="1"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5" hidden="1"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5" hidden="1" outlineLevel="1">
      <c r="A288" s="522">
        <v>21</v>
      </c>
      <c r="B288" s="520" t="s">
        <v>113</v>
      </c>
      <c r="C288" s="291" t="s">
        <v>25</v>
      </c>
      <c r="D288" s="295">
        <v>7417669</v>
      </c>
      <c r="E288" s="295">
        <v>7417669</v>
      </c>
      <c r="F288" s="295">
        <v>7417669</v>
      </c>
      <c r="G288" s="295">
        <v>7417669</v>
      </c>
      <c r="H288" s="295">
        <v>7417669</v>
      </c>
      <c r="I288" s="295">
        <v>7417669</v>
      </c>
      <c r="J288" s="295">
        <v>7417669</v>
      </c>
      <c r="K288" s="295">
        <v>7416614</v>
      </c>
      <c r="L288" s="295">
        <v>7416614</v>
      </c>
      <c r="M288" s="295">
        <v>7385670</v>
      </c>
      <c r="N288" s="291"/>
      <c r="O288" s="295">
        <v>482</v>
      </c>
      <c r="P288" s="295">
        <v>482</v>
      </c>
      <c r="Q288" s="295">
        <v>482</v>
      </c>
      <c r="R288" s="295">
        <v>482</v>
      </c>
      <c r="S288" s="295">
        <v>482</v>
      </c>
      <c r="T288" s="295">
        <v>482</v>
      </c>
      <c r="U288" s="295">
        <v>482</v>
      </c>
      <c r="V288" s="295">
        <v>482</v>
      </c>
      <c r="W288" s="295">
        <v>482</v>
      </c>
      <c r="X288" s="295">
        <v>480</v>
      </c>
      <c r="Y288" s="410">
        <v>1</v>
      </c>
      <c r="Z288" s="410"/>
      <c r="AA288" s="410"/>
      <c r="AB288" s="410"/>
      <c r="AC288" s="410"/>
      <c r="AD288" s="410"/>
      <c r="AE288" s="410"/>
      <c r="AF288" s="410"/>
      <c r="AG288" s="410"/>
      <c r="AH288" s="410"/>
      <c r="AI288" s="410"/>
      <c r="AJ288" s="410"/>
      <c r="AK288" s="410"/>
      <c r="AL288" s="410"/>
      <c r="AM288" s="296">
        <f>SUM(Y288:AL288)</f>
        <v>1</v>
      </c>
    </row>
    <row r="289" spans="1:39" ht="15.5" hidden="1" outlineLevel="1">
      <c r="B289" s="294" t="s">
        <v>289</v>
      </c>
      <c r="C289" s="291" t="s">
        <v>163</v>
      </c>
      <c r="D289" s="295">
        <v>807124</v>
      </c>
      <c r="E289" s="295">
        <v>807124</v>
      </c>
      <c r="F289" s="295">
        <v>807124</v>
      </c>
      <c r="G289" s="295">
        <v>807124</v>
      </c>
      <c r="H289" s="295">
        <v>807124</v>
      </c>
      <c r="I289" s="295">
        <v>807124</v>
      </c>
      <c r="J289" s="295">
        <v>807124</v>
      </c>
      <c r="K289" s="295">
        <v>807056</v>
      </c>
      <c r="L289" s="295">
        <v>807056</v>
      </c>
      <c r="M289" s="295">
        <v>808265</v>
      </c>
      <c r="N289" s="291"/>
      <c r="O289" s="295">
        <v>51</v>
      </c>
      <c r="P289" s="295">
        <v>51</v>
      </c>
      <c r="Q289" s="295">
        <v>51</v>
      </c>
      <c r="R289" s="295">
        <v>51</v>
      </c>
      <c r="S289" s="295">
        <v>51</v>
      </c>
      <c r="T289" s="295">
        <v>51</v>
      </c>
      <c r="U289" s="295">
        <v>51</v>
      </c>
      <c r="V289" s="295">
        <v>51</v>
      </c>
      <c r="W289" s="295">
        <v>51</v>
      </c>
      <c r="X289" s="295">
        <v>51</v>
      </c>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ht="15.5" hidden="1"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1" hidden="1" outlineLevel="1">
      <c r="A291" s="522">
        <v>22</v>
      </c>
      <c r="B291" s="520" t="s">
        <v>114</v>
      </c>
      <c r="C291" s="291" t="s">
        <v>25</v>
      </c>
      <c r="D291" s="295">
        <v>1068465</v>
      </c>
      <c r="E291" s="295">
        <v>1068465</v>
      </c>
      <c r="F291" s="295">
        <v>1068465</v>
      </c>
      <c r="G291" s="295">
        <v>1068465</v>
      </c>
      <c r="H291" s="295">
        <v>1068465</v>
      </c>
      <c r="I291" s="295">
        <v>1068465</v>
      </c>
      <c r="J291" s="295">
        <v>1068465</v>
      </c>
      <c r="K291" s="295">
        <v>1068465</v>
      </c>
      <c r="L291" s="295">
        <v>1068465</v>
      </c>
      <c r="M291" s="295">
        <v>1068465</v>
      </c>
      <c r="N291" s="291"/>
      <c r="O291" s="295">
        <v>320</v>
      </c>
      <c r="P291" s="295">
        <v>320</v>
      </c>
      <c r="Q291" s="295">
        <v>320</v>
      </c>
      <c r="R291" s="295">
        <v>320</v>
      </c>
      <c r="S291" s="295">
        <v>320</v>
      </c>
      <c r="T291" s="295">
        <v>320</v>
      </c>
      <c r="U291" s="295">
        <v>320</v>
      </c>
      <c r="V291" s="295">
        <v>320</v>
      </c>
      <c r="W291" s="295">
        <v>320</v>
      </c>
      <c r="X291" s="295">
        <v>320</v>
      </c>
      <c r="Y291" s="410">
        <v>1</v>
      </c>
      <c r="Z291" s="410"/>
      <c r="AA291" s="410"/>
      <c r="AB291" s="410"/>
      <c r="AC291" s="410"/>
      <c r="AD291" s="410"/>
      <c r="AE291" s="410"/>
      <c r="AF291" s="410"/>
      <c r="AG291" s="410"/>
      <c r="AH291" s="410"/>
      <c r="AI291" s="410"/>
      <c r="AJ291" s="410"/>
      <c r="AK291" s="410"/>
      <c r="AL291" s="410"/>
      <c r="AM291" s="296">
        <f>SUM(Y291:AL291)</f>
        <v>1</v>
      </c>
    </row>
    <row r="292" spans="1:39" ht="15.5" hidden="1" outlineLevel="1">
      <c r="B292" s="294" t="s">
        <v>289</v>
      </c>
      <c r="C292" s="291" t="s">
        <v>163</v>
      </c>
      <c r="D292" s="295">
        <v>1020</v>
      </c>
      <c r="E292" s="295">
        <v>1020</v>
      </c>
      <c r="F292" s="295">
        <v>1020</v>
      </c>
      <c r="G292" s="295">
        <v>1020</v>
      </c>
      <c r="H292" s="295">
        <v>1020</v>
      </c>
      <c r="I292" s="295">
        <v>1020</v>
      </c>
      <c r="J292" s="295">
        <v>1020</v>
      </c>
      <c r="K292" s="295">
        <v>1020</v>
      </c>
      <c r="L292" s="295">
        <v>1020</v>
      </c>
      <c r="M292" s="295">
        <v>1020</v>
      </c>
      <c r="N292" s="291"/>
      <c r="O292" s="295">
        <v>0</v>
      </c>
      <c r="P292" s="295">
        <v>0</v>
      </c>
      <c r="Q292" s="295">
        <v>0</v>
      </c>
      <c r="R292" s="295">
        <v>0</v>
      </c>
      <c r="S292" s="295">
        <v>0</v>
      </c>
      <c r="T292" s="295">
        <v>0</v>
      </c>
      <c r="U292" s="295">
        <v>0</v>
      </c>
      <c r="V292" s="295">
        <v>0</v>
      </c>
      <c r="W292" s="295">
        <v>0</v>
      </c>
      <c r="X292" s="295">
        <v>0</v>
      </c>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ht="15.5" hidden="1"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1" hidden="1"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v>1</v>
      </c>
      <c r="Z294" s="410"/>
      <c r="AA294" s="410"/>
      <c r="AB294" s="410"/>
      <c r="AC294" s="410"/>
      <c r="AD294" s="410"/>
      <c r="AE294" s="410"/>
      <c r="AF294" s="410"/>
      <c r="AG294" s="410"/>
      <c r="AH294" s="410"/>
      <c r="AI294" s="410"/>
      <c r="AJ294" s="410"/>
      <c r="AK294" s="410"/>
      <c r="AL294" s="410"/>
      <c r="AM294" s="296">
        <f>SUM(Y294:AL294)</f>
        <v>1</v>
      </c>
    </row>
    <row r="295" spans="1:39" ht="15.5" hidden="1" outlineLevel="1">
      <c r="B295" s="294" t="s">
        <v>289</v>
      </c>
      <c r="C295" s="291" t="s">
        <v>163</v>
      </c>
      <c r="D295" s="295">
        <v>64856</v>
      </c>
      <c r="E295" s="295">
        <v>64856</v>
      </c>
      <c r="F295" s="295">
        <v>64856</v>
      </c>
      <c r="G295" s="295">
        <v>64856</v>
      </c>
      <c r="H295" s="295">
        <v>64856</v>
      </c>
      <c r="I295" s="295">
        <v>64856</v>
      </c>
      <c r="J295" s="295">
        <v>64856</v>
      </c>
      <c r="K295" s="295">
        <v>64856</v>
      </c>
      <c r="L295" s="295">
        <v>64856</v>
      </c>
      <c r="M295" s="295">
        <v>64856</v>
      </c>
      <c r="N295" s="291"/>
      <c r="O295" s="295">
        <v>19</v>
      </c>
      <c r="P295" s="295">
        <v>19</v>
      </c>
      <c r="Q295" s="295">
        <v>19</v>
      </c>
      <c r="R295" s="295">
        <v>19</v>
      </c>
      <c r="S295" s="295">
        <v>19</v>
      </c>
      <c r="T295" s="295">
        <v>19</v>
      </c>
      <c r="U295" s="295">
        <v>19</v>
      </c>
      <c r="V295" s="295">
        <v>19</v>
      </c>
      <c r="W295" s="295">
        <v>19</v>
      </c>
      <c r="X295" s="295">
        <v>19</v>
      </c>
      <c r="Y295" s="411">
        <f>Y294</f>
        <v>1</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ht="15.5" hidden="1"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5" hidden="1"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5" hidden="1"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ht="15.5" hidden="1"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5" hidden="1"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5" hidden="1"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v>1</v>
      </c>
      <c r="AC301" s="410"/>
      <c r="AD301" s="410"/>
      <c r="AE301" s="410"/>
      <c r="AF301" s="410"/>
      <c r="AG301" s="415"/>
      <c r="AH301" s="415"/>
      <c r="AI301" s="415"/>
      <c r="AJ301" s="415"/>
      <c r="AK301" s="415"/>
      <c r="AL301" s="415"/>
      <c r="AM301" s="296">
        <f>SUM(Y301:AL301)</f>
        <v>1</v>
      </c>
    </row>
    <row r="302" spans="1:39" ht="15.5" hidden="1" outlineLevel="1">
      <c r="B302" s="294" t="s">
        <v>289</v>
      </c>
      <c r="C302" s="291" t="s">
        <v>163</v>
      </c>
      <c r="D302" s="295">
        <v>65713</v>
      </c>
      <c r="E302" s="295">
        <v>65713</v>
      </c>
      <c r="F302" s="295">
        <v>65713</v>
      </c>
      <c r="G302" s="295">
        <v>65713</v>
      </c>
      <c r="H302" s="295">
        <v>65713</v>
      </c>
      <c r="I302" s="295">
        <v>65713</v>
      </c>
      <c r="J302" s="295">
        <v>65713</v>
      </c>
      <c r="K302" s="295">
        <v>65713</v>
      </c>
      <c r="L302" s="295">
        <v>65713</v>
      </c>
      <c r="M302" s="295">
        <v>65713</v>
      </c>
      <c r="N302" s="295">
        <v>12</v>
      </c>
      <c r="O302" s="295">
        <v>9</v>
      </c>
      <c r="P302" s="295">
        <v>9</v>
      </c>
      <c r="Q302" s="295">
        <v>9</v>
      </c>
      <c r="R302" s="295">
        <v>9</v>
      </c>
      <c r="S302" s="295">
        <v>9</v>
      </c>
      <c r="T302" s="295">
        <v>9</v>
      </c>
      <c r="U302" s="295">
        <v>9</v>
      </c>
      <c r="V302" s="295">
        <v>9</v>
      </c>
      <c r="W302" s="295">
        <v>9</v>
      </c>
      <c r="X302" s="295">
        <v>9</v>
      </c>
      <c r="Y302" s="411">
        <f>Y301</f>
        <v>0</v>
      </c>
      <c r="Z302" s="411">
        <f t="shared" ref="Z302" si="798">Z301</f>
        <v>0</v>
      </c>
      <c r="AA302" s="411">
        <f t="shared" ref="AA302" si="799">AA301</f>
        <v>0</v>
      </c>
      <c r="AB302" s="411">
        <f t="shared" ref="AB302" si="800">AB301</f>
        <v>1</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ht="15.5" hidden="1"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5" hidden="1" outlineLevel="1">
      <c r="A304" s="522">
        <v>26</v>
      </c>
      <c r="B304" s="520" t="s">
        <v>118</v>
      </c>
      <c r="C304" s="291" t="s">
        <v>25</v>
      </c>
      <c r="D304" s="295">
        <v>1842371</v>
      </c>
      <c r="E304" s="295">
        <v>1819642</v>
      </c>
      <c r="F304" s="295">
        <v>1819642</v>
      </c>
      <c r="G304" s="295">
        <v>1819642</v>
      </c>
      <c r="H304" s="295">
        <v>1819642</v>
      </c>
      <c r="I304" s="295">
        <v>1799644</v>
      </c>
      <c r="J304" s="295">
        <v>1799644</v>
      </c>
      <c r="K304" s="295">
        <v>1799644</v>
      </c>
      <c r="L304" s="295">
        <v>1798901</v>
      </c>
      <c r="M304" s="295">
        <v>1798901</v>
      </c>
      <c r="N304" s="295">
        <v>12</v>
      </c>
      <c r="O304" s="295">
        <v>283</v>
      </c>
      <c r="P304" s="295">
        <v>278</v>
      </c>
      <c r="Q304" s="295">
        <v>278</v>
      </c>
      <c r="R304" s="295">
        <v>278</v>
      </c>
      <c r="S304" s="295">
        <v>278</v>
      </c>
      <c r="T304" s="295">
        <v>277</v>
      </c>
      <c r="U304" s="295">
        <v>277</v>
      </c>
      <c r="V304" s="295">
        <v>277</v>
      </c>
      <c r="W304" s="295">
        <v>277</v>
      </c>
      <c r="X304" s="295">
        <v>277</v>
      </c>
      <c r="Y304" s="426"/>
      <c r="Z304" s="410">
        <v>0.39</v>
      </c>
      <c r="AA304" s="410">
        <v>0.42</v>
      </c>
      <c r="AB304" s="410">
        <v>0.19</v>
      </c>
      <c r="AC304" s="410"/>
      <c r="AD304" s="410"/>
      <c r="AE304" s="410"/>
      <c r="AF304" s="410"/>
      <c r="AG304" s="415"/>
      <c r="AH304" s="415"/>
      <c r="AI304" s="415"/>
      <c r="AJ304" s="415"/>
      <c r="AK304" s="415"/>
      <c r="AL304" s="415"/>
      <c r="AM304" s="296">
        <f>SUM(Y304:AL304)</f>
        <v>1</v>
      </c>
    </row>
    <row r="305" spans="1:39" ht="15.5" hidden="1" outlineLevel="1">
      <c r="B305" s="294" t="s">
        <v>289</v>
      </c>
      <c r="C305" s="291" t="s">
        <v>163</v>
      </c>
      <c r="D305" s="295">
        <v>1035652</v>
      </c>
      <c r="E305" s="295">
        <v>1058380</v>
      </c>
      <c r="F305" s="295">
        <v>1073529</v>
      </c>
      <c r="G305" s="295">
        <v>1073529</v>
      </c>
      <c r="H305" s="295">
        <v>1073529</v>
      </c>
      <c r="I305" s="295">
        <v>1073529</v>
      </c>
      <c r="J305" s="295">
        <v>1073529</v>
      </c>
      <c r="K305" s="295">
        <v>1073529</v>
      </c>
      <c r="L305" s="295">
        <v>1068922</v>
      </c>
      <c r="M305" s="295">
        <v>1068922</v>
      </c>
      <c r="N305" s="295">
        <v>12</v>
      </c>
      <c r="O305" s="295">
        <v>117</v>
      </c>
      <c r="P305" s="295">
        <v>121</v>
      </c>
      <c r="Q305" s="295">
        <v>124</v>
      </c>
      <c r="R305" s="295">
        <v>124</v>
      </c>
      <c r="S305" s="295">
        <v>124</v>
      </c>
      <c r="T305" s="295">
        <v>124</v>
      </c>
      <c r="U305" s="295">
        <v>124</v>
      </c>
      <c r="V305" s="295">
        <v>124</v>
      </c>
      <c r="W305" s="295">
        <v>123</v>
      </c>
      <c r="X305" s="295">
        <v>123</v>
      </c>
      <c r="Y305" s="411">
        <f>Y304</f>
        <v>0</v>
      </c>
      <c r="Z305" s="411">
        <f t="shared" ref="Z305" si="811">Z304</f>
        <v>0.39</v>
      </c>
      <c r="AA305" s="411">
        <f t="shared" ref="AA305" si="812">AA304</f>
        <v>0.42</v>
      </c>
      <c r="AB305" s="411">
        <f t="shared" ref="AB305" si="813">AB304</f>
        <v>0.19</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ht="15.5" hidden="1"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1" hidden="1" outlineLevel="1">
      <c r="A307" s="522">
        <v>27</v>
      </c>
      <c r="B307" s="520" t="s">
        <v>119</v>
      </c>
      <c r="C307" s="291" t="s">
        <v>25</v>
      </c>
      <c r="D307" s="295">
        <v>1354329</v>
      </c>
      <c r="E307" s="295">
        <v>1354329</v>
      </c>
      <c r="F307" s="295">
        <v>1343623</v>
      </c>
      <c r="G307" s="295">
        <v>1228531</v>
      </c>
      <c r="H307" s="295">
        <v>1137843</v>
      </c>
      <c r="I307" s="295">
        <v>777056</v>
      </c>
      <c r="J307" s="295">
        <v>543064</v>
      </c>
      <c r="K307" s="295">
        <v>455457</v>
      </c>
      <c r="L307" s="295">
        <v>338799</v>
      </c>
      <c r="M307" s="295">
        <v>198524</v>
      </c>
      <c r="N307" s="295">
        <v>12</v>
      </c>
      <c r="O307" s="295">
        <v>236</v>
      </c>
      <c r="P307" s="295">
        <v>236</v>
      </c>
      <c r="Q307" s="295">
        <v>236</v>
      </c>
      <c r="R307" s="295">
        <v>226</v>
      </c>
      <c r="S307" s="295">
        <v>215</v>
      </c>
      <c r="T307" s="295">
        <v>167</v>
      </c>
      <c r="U307" s="295">
        <v>135</v>
      </c>
      <c r="V307" s="295">
        <v>118</v>
      </c>
      <c r="W307" s="295">
        <v>93</v>
      </c>
      <c r="X307" s="295">
        <v>58</v>
      </c>
      <c r="Y307" s="426"/>
      <c r="Z307" s="410">
        <v>0.76</v>
      </c>
      <c r="AA307" s="410">
        <v>0.24</v>
      </c>
      <c r="AB307" s="410"/>
      <c r="AC307" s="410"/>
      <c r="AD307" s="410"/>
      <c r="AE307" s="410"/>
      <c r="AF307" s="410"/>
      <c r="AG307" s="415"/>
      <c r="AH307" s="415"/>
      <c r="AI307" s="415"/>
      <c r="AJ307" s="415"/>
      <c r="AK307" s="415"/>
      <c r="AL307" s="415"/>
      <c r="AM307" s="296">
        <f>SUM(Y307:AL307)</f>
        <v>1</v>
      </c>
    </row>
    <row r="308" spans="1:39" ht="15.5" hidden="1" outlineLevel="1">
      <c r="B308" s="294" t="s">
        <v>289</v>
      </c>
      <c r="C308" s="291" t="s">
        <v>163</v>
      </c>
      <c r="D308" s="295">
        <v>348309</v>
      </c>
      <c r="E308" s="295">
        <v>348309</v>
      </c>
      <c r="F308" s="295">
        <v>343808</v>
      </c>
      <c r="G308" s="295">
        <v>297661</v>
      </c>
      <c r="H308" s="295">
        <v>268410</v>
      </c>
      <c r="I308" s="295">
        <v>178494</v>
      </c>
      <c r="J308" s="295">
        <v>134546</v>
      </c>
      <c r="K308" s="295">
        <v>109443</v>
      </c>
      <c r="L308" s="295">
        <v>76319</v>
      </c>
      <c r="M308" s="295">
        <v>45141</v>
      </c>
      <c r="N308" s="295">
        <v>12</v>
      </c>
      <c r="O308" s="295">
        <v>60</v>
      </c>
      <c r="P308" s="295">
        <v>60</v>
      </c>
      <c r="Q308" s="295">
        <v>60</v>
      </c>
      <c r="R308" s="295">
        <v>56</v>
      </c>
      <c r="S308" s="295">
        <v>53</v>
      </c>
      <c r="T308" s="295">
        <v>40</v>
      </c>
      <c r="U308" s="295">
        <v>34</v>
      </c>
      <c r="V308" s="295">
        <v>29</v>
      </c>
      <c r="W308" s="295">
        <v>21</v>
      </c>
      <c r="X308" s="295">
        <v>14</v>
      </c>
      <c r="Y308" s="411">
        <f>Y307</f>
        <v>0</v>
      </c>
      <c r="Z308" s="411">
        <f t="shared" ref="Z308" si="824">Z307</f>
        <v>0.76</v>
      </c>
      <c r="AA308" s="411">
        <f t="shared" ref="AA308" si="825">AA307</f>
        <v>0.24</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ht="15.5" hidden="1"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1" hidden="1" outlineLevel="1">
      <c r="A310" s="522">
        <v>28</v>
      </c>
      <c r="B310" s="520" t="s">
        <v>120</v>
      </c>
      <c r="C310" s="291" t="s">
        <v>25</v>
      </c>
      <c r="D310" s="295">
        <v>5102</v>
      </c>
      <c r="E310" s="295">
        <v>5102</v>
      </c>
      <c r="F310" s="295">
        <v>5102</v>
      </c>
      <c r="G310" s="295">
        <v>5102</v>
      </c>
      <c r="H310" s="295">
        <v>5102</v>
      </c>
      <c r="I310" s="295">
        <v>5102</v>
      </c>
      <c r="J310" s="295">
        <v>5102</v>
      </c>
      <c r="K310" s="295">
        <v>5102</v>
      </c>
      <c r="L310" s="295">
        <v>5102</v>
      </c>
      <c r="M310" s="295">
        <v>5102</v>
      </c>
      <c r="N310" s="295">
        <v>12</v>
      </c>
      <c r="O310" s="295">
        <v>8</v>
      </c>
      <c r="P310" s="295">
        <v>8</v>
      </c>
      <c r="Q310" s="295">
        <v>8</v>
      </c>
      <c r="R310" s="295">
        <v>8</v>
      </c>
      <c r="S310" s="295">
        <v>8</v>
      </c>
      <c r="T310" s="295">
        <v>8</v>
      </c>
      <c r="U310" s="295">
        <v>8</v>
      </c>
      <c r="V310" s="295">
        <v>8</v>
      </c>
      <c r="W310" s="295">
        <v>8</v>
      </c>
      <c r="X310" s="295">
        <v>8</v>
      </c>
      <c r="Y310" s="426"/>
      <c r="Z310" s="410">
        <v>1</v>
      </c>
      <c r="AA310" s="410"/>
      <c r="AB310" s="410"/>
      <c r="AC310" s="410"/>
      <c r="AD310" s="410"/>
      <c r="AE310" s="410"/>
      <c r="AF310" s="410"/>
      <c r="AG310" s="415"/>
      <c r="AH310" s="415"/>
      <c r="AI310" s="415"/>
      <c r="AJ310" s="415"/>
      <c r="AK310" s="415"/>
      <c r="AL310" s="415"/>
      <c r="AM310" s="296">
        <f>SUM(Y310:AL310)</f>
        <v>1</v>
      </c>
    </row>
    <row r="311" spans="1:39" ht="15.5" hidden="1" outlineLevel="1">
      <c r="B311" s="294" t="s">
        <v>289</v>
      </c>
      <c r="C311" s="291" t="s">
        <v>163</v>
      </c>
      <c r="D311" s="295"/>
      <c r="E311" s="295"/>
      <c r="F311" s="295"/>
      <c r="G311" s="295"/>
      <c r="H311" s="295"/>
      <c r="I311" s="295"/>
      <c r="J311" s="295"/>
      <c r="K311" s="295"/>
      <c r="L311" s="295"/>
      <c r="M311" s="295"/>
      <c r="N311" s="295">
        <v>12</v>
      </c>
      <c r="O311" s="295"/>
      <c r="P311" s="295"/>
      <c r="Q311" s="295"/>
      <c r="R311" s="295"/>
      <c r="S311" s="295"/>
      <c r="T311" s="295"/>
      <c r="U311" s="295"/>
      <c r="V311" s="295"/>
      <c r="W311" s="295"/>
      <c r="X311" s="295"/>
      <c r="Y311" s="411">
        <f>Y310</f>
        <v>0</v>
      </c>
      <c r="Z311" s="411">
        <f t="shared" ref="Z311" si="837">Z310</f>
        <v>1</v>
      </c>
      <c r="AA311" s="411">
        <f t="shared" ref="AA311" si="838">AA310</f>
        <v>0</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ht="15.5" hidden="1"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1" hidden="1"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t="15.5" hidden="1"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ht="15.5" hidden="1"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1" hidden="1"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t="15.5" hidden="1"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ht="15.5" hidden="1"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1" hidden="1"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t="15.5" hidden="1"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ht="15.5" hidden="1"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5" hidden="1"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v>1</v>
      </c>
      <c r="AC322" s="410"/>
      <c r="AD322" s="410"/>
      <c r="AE322" s="410"/>
      <c r="AF322" s="410"/>
      <c r="AG322" s="415"/>
      <c r="AH322" s="415"/>
      <c r="AI322" s="415"/>
      <c r="AJ322" s="415"/>
      <c r="AK322" s="415"/>
      <c r="AL322" s="415"/>
      <c r="AM322" s="296">
        <f>SUM(Y322:AL322)</f>
        <v>1</v>
      </c>
    </row>
    <row r="323" spans="1:39" ht="15.5" hidden="1" outlineLevel="1">
      <c r="B323" s="294" t="s">
        <v>289</v>
      </c>
      <c r="C323" s="291" t="s">
        <v>163</v>
      </c>
      <c r="D323" s="295">
        <v>835</v>
      </c>
      <c r="E323" s="295">
        <v>835</v>
      </c>
      <c r="F323" s="295">
        <v>835</v>
      </c>
      <c r="G323" s="295">
        <v>835</v>
      </c>
      <c r="H323" s="295">
        <v>835</v>
      </c>
      <c r="I323" s="295">
        <v>835</v>
      </c>
      <c r="J323" s="295">
        <v>835</v>
      </c>
      <c r="K323" s="295">
        <v>835</v>
      </c>
      <c r="L323" s="295">
        <v>835</v>
      </c>
      <c r="M323" s="295">
        <v>835</v>
      </c>
      <c r="N323" s="295">
        <v>12</v>
      </c>
      <c r="O323" s="295">
        <v>0</v>
      </c>
      <c r="P323" s="295">
        <v>0</v>
      </c>
      <c r="Q323" s="295">
        <v>0</v>
      </c>
      <c r="R323" s="295">
        <v>0</v>
      </c>
      <c r="S323" s="295">
        <v>0</v>
      </c>
      <c r="T323" s="295">
        <v>0</v>
      </c>
      <c r="U323" s="295">
        <v>0</v>
      </c>
      <c r="V323" s="295">
        <v>0</v>
      </c>
      <c r="W323" s="295">
        <v>0</v>
      </c>
      <c r="X323" s="295">
        <v>0</v>
      </c>
      <c r="Y323" s="411">
        <f>Y322</f>
        <v>0</v>
      </c>
      <c r="Z323" s="411">
        <f t="shared" ref="Z323" si="889">Z322</f>
        <v>0</v>
      </c>
      <c r="AA323" s="411">
        <f t="shared" ref="AA323" si="890">AA322</f>
        <v>0</v>
      </c>
      <c r="AB323" s="411">
        <f t="shared" ref="AB323" si="891">AB322</f>
        <v>1</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ht="15.5" hidden="1"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5" hidden="1"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31" hidden="1" outlineLevel="1">
      <c r="A326" s="522">
        <v>33</v>
      </c>
      <c r="B326" s="850" t="s">
        <v>787</v>
      </c>
      <c r="C326" s="291" t="s">
        <v>25</v>
      </c>
      <c r="D326" s="295">
        <v>813</v>
      </c>
      <c r="E326" s="295">
        <v>813</v>
      </c>
      <c r="F326" s="295">
        <v>813</v>
      </c>
      <c r="G326" s="295">
        <v>813</v>
      </c>
      <c r="H326" s="295">
        <v>813</v>
      </c>
      <c r="I326" s="295">
        <v>813</v>
      </c>
      <c r="J326" s="295">
        <v>813</v>
      </c>
      <c r="K326" s="295">
        <v>813</v>
      </c>
      <c r="L326" s="295">
        <v>813</v>
      </c>
      <c r="M326" s="295">
        <v>813</v>
      </c>
      <c r="N326" s="295">
        <v>0</v>
      </c>
      <c r="O326" s="295">
        <v>0</v>
      </c>
      <c r="P326" s="295">
        <v>0</v>
      </c>
      <c r="Q326" s="295">
        <v>0</v>
      </c>
      <c r="R326" s="295">
        <v>0</v>
      </c>
      <c r="S326" s="295">
        <v>0</v>
      </c>
      <c r="T326" s="295">
        <v>0</v>
      </c>
      <c r="U326" s="295">
        <v>0</v>
      </c>
      <c r="V326" s="295">
        <v>0</v>
      </c>
      <c r="W326" s="295">
        <v>0</v>
      </c>
      <c r="X326" s="295">
        <v>0</v>
      </c>
      <c r="Y326" s="426">
        <v>1</v>
      </c>
      <c r="Z326" s="410"/>
      <c r="AA326" s="410"/>
      <c r="AB326" s="410"/>
      <c r="AC326" s="410"/>
      <c r="AD326" s="410"/>
      <c r="AE326" s="410"/>
      <c r="AF326" s="410"/>
      <c r="AG326" s="415"/>
      <c r="AH326" s="415"/>
      <c r="AI326" s="415"/>
      <c r="AJ326" s="415"/>
      <c r="AK326" s="415"/>
      <c r="AL326" s="415"/>
      <c r="AM326" s="296">
        <f>SUM(Y326:AL326)</f>
        <v>1</v>
      </c>
    </row>
    <row r="327" spans="1:39" ht="15.5" hidden="1"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1</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ht="15.5" hidden="1"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5" hidden="1"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t="15.5" hidden="1"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ht="15.5" hidden="1"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5" hidden="1"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t="15.5" hidden="1"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ht="15.5" hidden="1"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5" hidden="1"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6.5" hidden="1"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t="15.5" hidden="1"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ht="15.5" hidden="1"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1" hidden="1"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5" hidden="1"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ht="15.5" hidden="1"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5" hidden="1"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5" hidden="1"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ht="15.5" hidden="1"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1" hidden="1"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5" hidden="1"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ht="15.5" hidden="1"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1" hidden="1"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5" hidden="1"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ht="15.5" hidden="1"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6.5" hidden="1"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5" hidden="1"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ht="15.5" hidden="1"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1" hidden="1"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5" hidden="1"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ht="15.5" hidden="1"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5" hidden="1"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5" hidden="1"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ht="15.5" hidden="1"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6.5" hidden="1"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5" hidden="1"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ht="15.5" hidden="1"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1" hidden="1"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5" hidden="1"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ht="15.5" hidden="1"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1" hidden="1"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5" hidden="1"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ht="15.5" hidden="1"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1" hidden="1"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5" hidden="1"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ht="15.5" hidden="1"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1" hidden="1"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5" hidden="1"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ht="15.5" hidden="1"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15.5" hidden="1" outlineLevel="1">
      <c r="A375" s="522">
        <v>49</v>
      </c>
      <c r="B375" s="850" t="s">
        <v>819</v>
      </c>
      <c r="C375" s="291" t="s">
        <v>25</v>
      </c>
      <c r="D375" s="295"/>
      <c r="E375" s="295"/>
      <c r="F375" s="295"/>
      <c r="G375" s="295"/>
      <c r="H375" s="295"/>
      <c r="I375" s="295"/>
      <c r="J375" s="295"/>
      <c r="K375" s="295"/>
      <c r="L375" s="295"/>
      <c r="M375" s="295"/>
      <c r="N375" s="295">
        <v>1</v>
      </c>
      <c r="O375" s="295">
        <v>973.82</v>
      </c>
      <c r="P375" s="295">
        <v>973.82</v>
      </c>
      <c r="Q375" s="295">
        <v>973.82</v>
      </c>
      <c r="R375" s="295">
        <v>973.82</v>
      </c>
      <c r="S375" s="295">
        <v>973.82</v>
      </c>
      <c r="T375" s="295">
        <v>973.82</v>
      </c>
      <c r="U375" s="295">
        <v>973.82</v>
      </c>
      <c r="V375" s="295">
        <v>973.82</v>
      </c>
      <c r="W375" s="295">
        <v>973.82</v>
      </c>
      <c r="X375" s="295">
        <v>973.82</v>
      </c>
      <c r="Y375" s="426"/>
      <c r="Z375" s="410"/>
      <c r="AA375" s="410"/>
      <c r="AB375" s="410"/>
      <c r="AC375" s="410"/>
      <c r="AD375" s="410">
        <v>1</v>
      </c>
      <c r="AE375" s="410"/>
      <c r="AF375" s="410"/>
      <c r="AG375" s="415"/>
      <c r="AH375" s="415"/>
      <c r="AI375" s="415"/>
      <c r="AJ375" s="415"/>
      <c r="AK375" s="415"/>
      <c r="AL375" s="415"/>
      <c r="AM375" s="296">
        <f>SUM(Y375:AL375)</f>
        <v>1</v>
      </c>
    </row>
    <row r="376" spans="1:42" ht="15.5" hidden="1" outlineLevel="1">
      <c r="B376" s="294" t="s">
        <v>289</v>
      </c>
      <c r="C376" s="291" t="s">
        <v>163</v>
      </c>
      <c r="D376" s="295"/>
      <c r="E376" s="295"/>
      <c r="F376" s="295"/>
      <c r="G376" s="295"/>
      <c r="H376" s="295"/>
      <c r="I376" s="295"/>
      <c r="J376" s="295"/>
      <c r="K376" s="295"/>
      <c r="L376" s="295"/>
      <c r="M376" s="295"/>
      <c r="N376" s="295">
        <f>N375</f>
        <v>1</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1</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ht="15.5" hidden="1"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5" collapsed="1">
      <c r="B378" s="327" t="s">
        <v>274</v>
      </c>
      <c r="C378" s="329"/>
      <c r="D378" s="329">
        <f>SUM(D221:D376)</f>
        <v>14012258</v>
      </c>
      <c r="E378" s="329"/>
      <c r="F378" s="329"/>
      <c r="G378" s="329"/>
      <c r="H378" s="329"/>
      <c r="I378" s="329"/>
      <c r="J378" s="329"/>
      <c r="K378" s="329"/>
      <c r="L378" s="329"/>
      <c r="M378" s="329"/>
      <c r="N378" s="329"/>
      <c r="O378" s="329">
        <f>SUM(O221:O376)</f>
        <v>2558.8200000000002</v>
      </c>
      <c r="P378" s="329"/>
      <c r="Q378" s="329"/>
      <c r="R378" s="329"/>
      <c r="S378" s="329"/>
      <c r="T378" s="329"/>
      <c r="U378" s="329"/>
      <c r="V378" s="329"/>
      <c r="W378" s="329"/>
      <c r="X378" s="329"/>
      <c r="Y378" s="329">
        <f>IF(Y219="kWh",SUMPRODUCT(D221:D376,Y221:Y376))</f>
        <v>9359947</v>
      </c>
      <c r="Z378" s="329">
        <f>IF(Z219="kWh",SUMPRODUCT(D221:D376,Z221:Z376))</f>
        <v>2421535.85</v>
      </c>
      <c r="AA378" s="329">
        <f>IF(AA219="kw",SUMPRODUCT(N221:N376,O221:O376,AA221:AA376),SUMPRODUCT(D221:D376,AA221:AA376))</f>
        <v>2868.48</v>
      </c>
      <c r="AB378" s="329">
        <f>IF(AB219="kw",SUMPRODUCT(N221:N376,O221:O376,AB221:AB376),SUMPRODUCT(D221:D376,AB221:AB376))</f>
        <v>1020</v>
      </c>
      <c r="AC378" s="329">
        <f>IF(AC219="kw",SUMPRODUCT(N221:N376,O221:O376,AC221:AC376),SUMPRODUCT(D221:D376,AC221:AC376))</f>
        <v>0</v>
      </c>
      <c r="AD378" s="329">
        <f>IF(AD219="kw",SUMPRODUCT(N221:N376,O221:O376,AD221:AD376),SUMPRODUCT(D221:D376,AD221:AD376))</f>
        <v>973.82</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9064408.1084951535</v>
      </c>
      <c r="Z379" s="392">
        <f>HLOOKUP(Z218,'2. LRAMVA Threshold'!$B$42:$Q$53,8,FALSE)</f>
        <v>2458649.0843207836</v>
      </c>
      <c r="AA379" s="392">
        <f>HLOOKUP(AA218,'2. LRAMVA Threshold'!$B$42:$Q$53,8,FALSE)</f>
        <v>15555.490152897743</v>
      </c>
      <c r="AB379" s="392">
        <f>HLOOKUP(AB218,'2. LRAMVA Threshold'!$B$42:$Q$53,8,FALSE)</f>
        <v>3302.8721306563293</v>
      </c>
      <c r="AC379" s="392">
        <f>HLOOKUP(AC218,'2. LRAMVA Threshold'!$B$42:$Q$53,8,FALSE)</f>
        <v>1805.5545551481873</v>
      </c>
      <c r="AD379" s="392">
        <f>HLOOKUP(AD218,'2. LRAMVA Threshold'!$B$42:$Q$53,8,FALSE)</f>
        <v>11427.954271961493</v>
      </c>
      <c r="AE379" s="392">
        <f>HLOOKUP(AE218,'2. LRAMVA Threshold'!$B$42:$Q$53,8,FALSE)</f>
        <v>49905.406281959135</v>
      </c>
      <c r="AF379" s="392">
        <f>HLOOKUP(AF218,'2. LRAMVA Threshold'!$B$42:$Q$53,8,FALSE)</f>
        <v>1.7982324913956069</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5">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1.4200000000000001E-2</v>
      </c>
      <c r="Z381" s="341">
        <f>HLOOKUP(Z$35,'3.  Distribution Rates'!$C$122:$P$133,8,FALSE)</f>
        <v>1.5699999999999999E-2</v>
      </c>
      <c r="AA381" s="341">
        <f>HLOOKUP(AA$35,'3.  Distribution Rates'!$C$122:$P$133,8,FALSE)</f>
        <v>4.4740000000000002</v>
      </c>
      <c r="AB381" s="341">
        <f>HLOOKUP(AB$35,'3.  Distribution Rates'!$C$122:$P$133,8,FALSE)</f>
        <v>2.3852000000000002</v>
      </c>
      <c r="AC381" s="341">
        <f>HLOOKUP(AC$35,'3.  Distribution Rates'!$C$122:$P$133,8,FALSE)</f>
        <v>2.0666000000000002</v>
      </c>
      <c r="AD381" s="341">
        <f>HLOOKUP(AD$35,'3.  Distribution Rates'!$C$122:$P$133,8,FALSE)</f>
        <v>28.259</v>
      </c>
      <c r="AE381" s="341">
        <f>HLOOKUP(AE$35,'3.  Distribution Rates'!$C$122:$P$133,8,FALSE)</f>
        <v>1.78E-2</v>
      </c>
      <c r="AF381" s="341">
        <f>HLOOKUP(AF$35,'3.  Distribution Rates'!$C$122:$P$133,8,FALSE)</f>
        <v>7.5087999999999999</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5">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ht="15.5">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ht="15.5">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ht="15.5">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123">SUM(Y385:AL385)</f>
        <v>0</v>
      </c>
    </row>
    <row r="386" spans="2:39" ht="15.5">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48983.340200000006</v>
      </c>
      <c r="Z386" s="378">
        <f t="shared" si="1124"/>
        <v>16175.007267999999</v>
      </c>
      <c r="AA386" s="378">
        <f t="shared" si="1124"/>
        <v>10841.217839999999</v>
      </c>
      <c r="AB386" s="378">
        <f t="shared" si="1124"/>
        <v>22877.598096000002</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9">
        <f t="shared" si="1123"/>
        <v>98877.163404000006</v>
      </c>
    </row>
    <row r="387" spans="2:39" ht="15.5">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132911.24740000002</v>
      </c>
      <c r="Z387" s="378">
        <f t="shared" ref="Z387:AL387" si="1125">Z378*Z381</f>
        <v>38018.112844999996</v>
      </c>
      <c r="AA387" s="378">
        <f t="shared" si="1125"/>
        <v>12833.579520000001</v>
      </c>
      <c r="AB387" s="378">
        <f t="shared" si="1125"/>
        <v>2432.904</v>
      </c>
      <c r="AC387" s="378">
        <f t="shared" si="1125"/>
        <v>0</v>
      </c>
      <c r="AD387" s="378">
        <f t="shared" si="1125"/>
        <v>27519.179380000001</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9">
        <f t="shared" si="1123"/>
        <v>213715.02314500004</v>
      </c>
    </row>
    <row r="388" spans="2:39" ht="15.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181894.58760000003</v>
      </c>
      <c r="Z388" s="346">
        <f t="shared" ref="Z388:AE388" si="1126">SUM(Z382:Z387)</f>
        <v>54193.120112999997</v>
      </c>
      <c r="AA388" s="346">
        <f t="shared" si="1126"/>
        <v>23674.79736</v>
      </c>
      <c r="AB388" s="346">
        <f t="shared" si="1126"/>
        <v>25310.502096</v>
      </c>
      <c r="AC388" s="346">
        <f t="shared" si="1126"/>
        <v>0</v>
      </c>
      <c r="AD388" s="346">
        <f t="shared" si="1126"/>
        <v>27519.179380000001</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312592.18654900003</v>
      </c>
    </row>
    <row r="389" spans="2:39" ht="15.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128714.59514063118</v>
      </c>
      <c r="Z389" s="347">
        <f t="shared" ref="Z389:AE389" si="1128">Z379*Z381</f>
        <v>38600.790623836299</v>
      </c>
      <c r="AA389" s="347">
        <f t="shared" si="1128"/>
        <v>69595.262944064496</v>
      </c>
      <c r="AB389" s="347">
        <f t="shared" si="1128"/>
        <v>7878.0106060414773</v>
      </c>
      <c r="AC389" s="347">
        <f t="shared" si="1128"/>
        <v>3731.3590436692443</v>
      </c>
      <c r="AD389" s="347">
        <f t="shared" si="1128"/>
        <v>322942.55977135984</v>
      </c>
      <c r="AE389" s="347">
        <f t="shared" si="1128"/>
        <v>888.31623181887255</v>
      </c>
      <c r="AF389" s="347">
        <f>AF379*AF381</f>
        <v>13.502568131391333</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572364.3969295529</v>
      </c>
    </row>
    <row r="390" spans="2:39" ht="15.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-259772.21038055286</v>
      </c>
    </row>
    <row r="391" spans="2:39" ht="15.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5">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9359947</v>
      </c>
      <c r="Z392" s="291">
        <f>SUMPRODUCT(E221:E376,Z221:Z376)</f>
        <v>2421535.46</v>
      </c>
      <c r="AA392" s="291">
        <f t="shared" ref="AA392:AL392" si="1130">IF(AA219="kw",SUMPRODUCT($N$221:$N$376,$P$221:$P$376,AA221:AA376),SUMPRODUCT($E$221:$E$376,AA221:AA376))</f>
        <v>2863.44</v>
      </c>
      <c r="AB392" s="291">
        <f t="shared" si="1130"/>
        <v>1017.72</v>
      </c>
      <c r="AC392" s="291">
        <f t="shared" si="1130"/>
        <v>0</v>
      </c>
      <c r="AD392" s="291">
        <f t="shared" si="1130"/>
        <v>973.82</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ht="15.5">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9359947</v>
      </c>
      <c r="Z393" s="291">
        <f>SUMPRODUCT(F221:F376,Z221:Z376)</f>
        <v>2415886.25</v>
      </c>
      <c r="AA393" s="291">
        <f t="shared" ref="AA393:AL393" si="1131">IF(AA219="kw",SUMPRODUCT($N$221:$N$376,$Q$221:$Q$376,AA221:AA376),SUMPRODUCT($F$221:$F$376,AA221:AA376))</f>
        <v>2878.56</v>
      </c>
      <c r="AB393" s="291">
        <f t="shared" si="1131"/>
        <v>1024.56</v>
      </c>
      <c r="AC393" s="291">
        <f t="shared" si="1131"/>
        <v>0</v>
      </c>
      <c r="AD393" s="291">
        <f t="shared" si="1131"/>
        <v>973.82</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ht="15.5">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9359947</v>
      </c>
      <c r="Z394" s="291">
        <f>SUMPRODUCT(G221:G376,Z221:Z376)</f>
        <v>2293344.61</v>
      </c>
      <c r="AA394" s="291">
        <f t="shared" ref="AA394:AL394" si="1132">IF(AA219="kw",SUMPRODUCT($N$221:$N$376,$R$221:$R$376,AA221:AA376),SUMPRODUCT($G$221:$G$376,AA221:AA376))</f>
        <v>2838.2400000000002</v>
      </c>
      <c r="AB394" s="291">
        <f t="shared" si="1132"/>
        <v>1024.56</v>
      </c>
      <c r="AC394" s="291">
        <f t="shared" si="1132"/>
        <v>0</v>
      </c>
      <c r="AD394" s="291">
        <f t="shared" si="1132"/>
        <v>973.82</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ht="15.5">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9359947</v>
      </c>
      <c r="Z395" s="326">
        <f>SUMPRODUCT(H221:H376,Z221:Z376)</f>
        <v>2202190.9700000002</v>
      </c>
      <c r="AA395" s="326">
        <f t="shared" ref="AA395:AL395" si="1133">IF(AA219="kw",SUMPRODUCT($N$221:$N$376,$S$221:$S$376,AA221:AA376),SUMPRODUCT($H$221:$H$376,AA221:AA376))</f>
        <v>2797.9199999999996</v>
      </c>
      <c r="AB395" s="326">
        <f t="shared" si="1133"/>
        <v>1024.56</v>
      </c>
      <c r="AC395" s="326">
        <f t="shared" si="1133"/>
        <v>0</v>
      </c>
      <c r="AD395" s="326">
        <f t="shared" si="1133"/>
        <v>973.82</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588</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5">
      <c r="B399" s="280" t="s">
        <v>291</v>
      </c>
      <c r="C399" s="281"/>
      <c r="D399" s="590" t="s">
        <v>526</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921" t="s">
        <v>211</v>
      </c>
      <c r="C400" s="923" t="s">
        <v>33</v>
      </c>
      <c r="D400" s="284" t="s">
        <v>422</v>
      </c>
      <c r="E400" s="925" t="s">
        <v>209</v>
      </c>
      <c r="F400" s="926"/>
      <c r="G400" s="926"/>
      <c r="H400" s="926"/>
      <c r="I400" s="926"/>
      <c r="J400" s="926"/>
      <c r="K400" s="926"/>
      <c r="L400" s="926"/>
      <c r="M400" s="927"/>
      <c r="N400" s="928" t="s">
        <v>213</v>
      </c>
      <c r="O400" s="284" t="s">
        <v>423</v>
      </c>
      <c r="P400" s="925" t="s">
        <v>212</v>
      </c>
      <c r="Q400" s="926"/>
      <c r="R400" s="926"/>
      <c r="S400" s="926"/>
      <c r="T400" s="926"/>
      <c r="U400" s="926"/>
      <c r="V400" s="926"/>
      <c r="W400" s="926"/>
      <c r="X400" s="927"/>
      <c r="Y400" s="918" t="s">
        <v>243</v>
      </c>
      <c r="Z400" s="919"/>
      <c r="AA400" s="919"/>
      <c r="AB400" s="919"/>
      <c r="AC400" s="919"/>
      <c r="AD400" s="919"/>
      <c r="AE400" s="919"/>
      <c r="AF400" s="919"/>
      <c r="AG400" s="919"/>
      <c r="AH400" s="919"/>
      <c r="AI400" s="919"/>
      <c r="AJ400" s="919"/>
      <c r="AK400" s="919"/>
      <c r="AL400" s="919"/>
      <c r="AM400" s="920"/>
    </row>
    <row r="401" spans="1:39" ht="61.5" customHeight="1">
      <c r="B401" s="922"/>
      <c r="C401" s="924"/>
      <c r="D401" s="285">
        <v>2017</v>
      </c>
      <c r="E401" s="285">
        <v>2018</v>
      </c>
      <c r="F401" s="285">
        <v>2019</v>
      </c>
      <c r="G401" s="285">
        <v>2020</v>
      </c>
      <c r="H401" s="285">
        <v>2021</v>
      </c>
      <c r="I401" s="285">
        <v>2022</v>
      </c>
      <c r="J401" s="285">
        <v>2023</v>
      </c>
      <c r="K401" s="285">
        <v>2024</v>
      </c>
      <c r="L401" s="285">
        <v>2025</v>
      </c>
      <c r="M401" s="285">
        <v>2026</v>
      </c>
      <c r="N401" s="929"/>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 50 to 999 kW (I1 &amp; I4)</v>
      </c>
      <c r="AB401" s="285" t="str">
        <f>'1.  LRAMVA Summary'!G52</f>
        <v>GS 1,000 to 4,999 kW (I2)</v>
      </c>
      <c r="AC401" s="285" t="str">
        <f>'1.  LRAMVA Summary'!H52</f>
        <v>Large Use (I3)</v>
      </c>
      <c r="AD401" s="285" t="str">
        <f>'1.  LRAMVA Summary'!I52</f>
        <v>Street Lighting</v>
      </c>
      <c r="AE401" s="285" t="str">
        <f>'1.  LRAMVA Summary'!J52</f>
        <v>USL</v>
      </c>
      <c r="AF401" s="285" t="str">
        <f>'1.  LRAMVA Summary'!K52</f>
        <v>Sentinel Lights</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v>
      </c>
      <c r="AD402" s="291" t="str">
        <f>'1.  LRAMVA Summary'!I53</f>
        <v>kW</v>
      </c>
      <c r="AE402" s="291" t="str">
        <f>'1.  LRAMVA Summary'!J53</f>
        <v>kWh</v>
      </c>
      <c r="AF402" s="291" t="str">
        <f>'1.  LRAMVA Summary'!K53</f>
        <v>kW</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5" hidden="1"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5" hidden="1"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t="15.5" hidden="1"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5" hidden="1"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5" hidden="1"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5.5" hidden="1"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5" hidden="1"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5" hidden="1"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5" hidden="1"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ht="15.5" hidden="1"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5" hidden="1" outlineLevel="1">
      <c r="A413" s="532">
        <v>4</v>
      </c>
      <c r="B413" s="520" t="s">
        <v>678</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5" hidden="1"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ht="15.5" hidden="1"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1" hidden="1"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5" hidden="1"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ht="15.5" hidden="1"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5" hidden="1"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5" hidden="1"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t="15.5" hidden="1"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ht="15.5" hidden="1"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1" hidden="1"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5.5" hidden="1"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ht="15.5" hidden="1"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1" hidden="1"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5" hidden="1"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ht="15.5" hidden="1"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1" hidden="1"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5" hidden="1"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ht="15.5" hidden="1"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1" hidden="1"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t="15.5" hidden="1"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ht="15.5" hidden="1"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5" hidden="1"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1" hidden="1"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t="15.5" hidden="1"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ht="15.5" hidden="1"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1" hidden="1"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t="15.5" hidden="1"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ht="15.5" hidden="1"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1" hidden="1"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t="15.5" hidden="1"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ht="15.5" hidden="1"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5" hidden="1"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5" hidden="1"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t="15.5" hidden="1"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ht="15.5" hidden="1"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5" hidden="1"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t="15.5" hidden="1"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t="15.5" hidden="1"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ht="15.5" hidden="1"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5" hidden="1"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t="15.5" hidden="1"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ht="15.5" hidden="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5" hidden="1"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5" hidden="1"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t="15.5" hidden="1"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ht="15.5" hidden="1"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5" hidden="1"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5.5" hidden="1"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ht="15.5" hidden="1"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5" hidden="1"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5" hidden="1"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ht="15.5" hidden="1"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5" hidden="1"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5.5" hidden="1"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5" hidden="1"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5" hidden="1"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5" hidden="1"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5" hidden="1" outlineLevel="1">
      <c r="A471" s="532">
        <v>21</v>
      </c>
      <c r="B471" s="428" t="s">
        <v>113</v>
      </c>
      <c r="C471" s="291" t="s">
        <v>25</v>
      </c>
      <c r="D471" s="295">
        <v>9110804</v>
      </c>
      <c r="E471" s="295">
        <v>7342121</v>
      </c>
      <c r="F471" s="295">
        <v>7342121</v>
      </c>
      <c r="G471" s="295">
        <v>7342121</v>
      </c>
      <c r="H471" s="295">
        <v>7342121</v>
      </c>
      <c r="I471" s="295">
        <v>7342121</v>
      </c>
      <c r="J471" s="295">
        <v>7342121</v>
      </c>
      <c r="K471" s="295">
        <v>7342063</v>
      </c>
      <c r="L471" s="295">
        <v>7342063</v>
      </c>
      <c r="M471" s="295">
        <v>7328142</v>
      </c>
      <c r="N471" s="291"/>
      <c r="O471" s="295">
        <v>627</v>
      </c>
      <c r="P471" s="295">
        <v>508</v>
      </c>
      <c r="Q471" s="295">
        <v>508</v>
      </c>
      <c r="R471" s="295">
        <v>508</v>
      </c>
      <c r="S471" s="295">
        <v>508</v>
      </c>
      <c r="T471" s="295">
        <v>508</v>
      </c>
      <c r="U471" s="295">
        <v>508</v>
      </c>
      <c r="V471" s="295">
        <v>508</v>
      </c>
      <c r="W471" s="295">
        <v>508</v>
      </c>
      <c r="X471" s="295">
        <v>507</v>
      </c>
      <c r="Y471" s="410">
        <v>1</v>
      </c>
      <c r="Z471" s="410"/>
      <c r="AA471" s="410"/>
      <c r="AB471" s="410"/>
      <c r="AC471" s="410"/>
      <c r="AD471" s="410"/>
      <c r="AE471" s="410"/>
      <c r="AF471" s="410"/>
      <c r="AG471" s="410"/>
      <c r="AH471" s="410"/>
      <c r="AI471" s="410"/>
      <c r="AJ471" s="410"/>
      <c r="AK471" s="410"/>
      <c r="AL471" s="410"/>
      <c r="AM471" s="296">
        <f>SUM(Y471:AL471)</f>
        <v>1</v>
      </c>
    </row>
    <row r="472" spans="1:39" ht="15.5" hidden="1" outlineLevel="1">
      <c r="A472" s="532"/>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ht="15.5" hidden="1"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1" hidden="1" outlineLevel="1">
      <c r="A474" s="532">
        <v>22</v>
      </c>
      <c r="B474" s="428" t="s">
        <v>114</v>
      </c>
      <c r="C474" s="291" t="s">
        <v>25</v>
      </c>
      <c r="D474" s="295">
        <v>898827</v>
      </c>
      <c r="E474" s="295">
        <v>898827</v>
      </c>
      <c r="F474" s="295">
        <v>898827</v>
      </c>
      <c r="G474" s="295">
        <v>898827</v>
      </c>
      <c r="H474" s="295">
        <v>898827</v>
      </c>
      <c r="I474" s="295">
        <v>898827</v>
      </c>
      <c r="J474" s="295">
        <v>898827</v>
      </c>
      <c r="K474" s="295">
        <v>898827</v>
      </c>
      <c r="L474" s="295">
        <v>898827</v>
      </c>
      <c r="M474" s="295">
        <v>898827</v>
      </c>
      <c r="N474" s="291"/>
      <c r="O474" s="295">
        <v>256</v>
      </c>
      <c r="P474" s="295">
        <v>256</v>
      </c>
      <c r="Q474" s="295">
        <v>256</v>
      </c>
      <c r="R474" s="295">
        <v>256</v>
      </c>
      <c r="S474" s="295">
        <v>256</v>
      </c>
      <c r="T474" s="295">
        <v>256</v>
      </c>
      <c r="U474" s="295">
        <v>256</v>
      </c>
      <c r="V474" s="295">
        <v>256</v>
      </c>
      <c r="W474" s="295">
        <v>256</v>
      </c>
      <c r="X474" s="295">
        <v>256</v>
      </c>
      <c r="Y474" s="410">
        <v>1</v>
      </c>
      <c r="Z474" s="410"/>
      <c r="AA474" s="410"/>
      <c r="AB474" s="410"/>
      <c r="AC474" s="410"/>
      <c r="AD474" s="410"/>
      <c r="AE474" s="410"/>
      <c r="AF474" s="410"/>
      <c r="AG474" s="410"/>
      <c r="AH474" s="410"/>
      <c r="AI474" s="410"/>
      <c r="AJ474" s="410"/>
      <c r="AK474" s="410"/>
      <c r="AL474" s="410"/>
      <c r="AM474" s="296">
        <f>SUM(Y474:AL474)</f>
        <v>1</v>
      </c>
    </row>
    <row r="475" spans="1:39" ht="15.5" hidden="1"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ht="15.5" hidden="1"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1" hidden="1" outlineLevel="1">
      <c r="A477" s="532">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ht="15.5" hidden="1"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ht="15.5" hidden="1"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15.5" hidden="1" outlineLevel="1">
      <c r="A480" s="532">
        <v>24</v>
      </c>
      <c r="B480" s="428" t="s">
        <v>116</v>
      </c>
      <c r="C480" s="291" t="s">
        <v>25</v>
      </c>
      <c r="D480" s="295">
        <v>78940</v>
      </c>
      <c r="E480" s="295">
        <v>78940</v>
      </c>
      <c r="F480" s="295">
        <v>78940</v>
      </c>
      <c r="G480" s="295">
        <v>78940</v>
      </c>
      <c r="H480" s="295">
        <v>78940</v>
      </c>
      <c r="I480" s="295">
        <v>78940</v>
      </c>
      <c r="J480" s="295">
        <v>78940</v>
      </c>
      <c r="K480" s="295">
        <v>78940</v>
      </c>
      <c r="L480" s="295">
        <v>78940</v>
      </c>
      <c r="M480" s="295">
        <v>78370</v>
      </c>
      <c r="N480" s="291"/>
      <c r="O480" s="295">
        <v>16</v>
      </c>
      <c r="P480" s="295">
        <v>16</v>
      </c>
      <c r="Q480" s="295">
        <v>16</v>
      </c>
      <c r="R480" s="295">
        <v>16</v>
      </c>
      <c r="S480" s="295">
        <v>16</v>
      </c>
      <c r="T480" s="295">
        <v>16</v>
      </c>
      <c r="U480" s="295">
        <v>16</v>
      </c>
      <c r="V480" s="295">
        <v>16</v>
      </c>
      <c r="W480" s="295">
        <v>16</v>
      </c>
      <c r="X480" s="295">
        <v>16</v>
      </c>
      <c r="Y480" s="410">
        <v>1</v>
      </c>
      <c r="Z480" s="410"/>
      <c r="AA480" s="410"/>
      <c r="AB480" s="410"/>
      <c r="AC480" s="410"/>
      <c r="AD480" s="410"/>
      <c r="AE480" s="410"/>
      <c r="AF480" s="410"/>
      <c r="AG480" s="410"/>
      <c r="AH480" s="410"/>
      <c r="AI480" s="410"/>
      <c r="AJ480" s="410"/>
      <c r="AK480" s="410"/>
      <c r="AL480" s="410"/>
      <c r="AM480" s="296">
        <f>SUM(Y480:AL480)</f>
        <v>1</v>
      </c>
    </row>
    <row r="481" spans="1:39" ht="15.5" hidden="1"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ht="15.5" hidden="1"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5" hidden="1" outlineLevel="1">
      <c r="A483" s="532"/>
      <c r="B483" s="504"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t="15.5" hidden="1"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ht="15.5" hidden="1" outlineLevel="1">
      <c r="A485" s="532"/>
      <c r="B485" s="431" t="s">
        <v>308</v>
      </c>
      <c r="C485" s="291" t="s">
        <v>163</v>
      </c>
      <c r="D485" s="295"/>
      <c r="E485" s="295"/>
      <c r="F485" s="295"/>
      <c r="G485" s="295"/>
      <c r="H485" s="295"/>
      <c r="I485" s="295"/>
      <c r="J485" s="295"/>
      <c r="K485" s="295"/>
      <c r="L485" s="295"/>
      <c r="M485" s="295"/>
      <c r="N485" s="295">
        <v>12</v>
      </c>
      <c r="O485" s="295"/>
      <c r="P485" s="295"/>
      <c r="Q485" s="295"/>
      <c r="R485" s="295"/>
      <c r="S485" s="295"/>
      <c r="T485" s="295"/>
      <c r="U485" s="295"/>
      <c r="V485" s="295"/>
      <c r="W485" s="295"/>
      <c r="X485" s="295"/>
      <c r="Y485" s="411">
        <f>Y484</f>
        <v>0</v>
      </c>
      <c r="Z485" s="411">
        <f t="shared" ref="Z485" si="1374">Z484</f>
        <v>0</v>
      </c>
      <c r="AA485" s="411">
        <f t="shared" ref="AA485" si="1375">AA484</f>
        <v>0</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ht="15.5" hidden="1"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5" hidden="1" outlineLevel="1">
      <c r="A487" s="532">
        <v>26</v>
      </c>
      <c r="B487" s="428" t="s">
        <v>118</v>
      </c>
      <c r="C487" s="291" t="s">
        <v>25</v>
      </c>
      <c r="D487" s="295">
        <v>2909869</v>
      </c>
      <c r="E487" s="295">
        <v>2914802</v>
      </c>
      <c r="F487" s="295">
        <v>2914802</v>
      </c>
      <c r="G487" s="295">
        <v>2914802</v>
      </c>
      <c r="H487" s="295">
        <v>2914802</v>
      </c>
      <c r="I487" s="295">
        <v>2662754</v>
      </c>
      <c r="J487" s="295">
        <v>2662754</v>
      </c>
      <c r="K487" s="295">
        <v>2662754</v>
      </c>
      <c r="L487" s="295">
        <v>2659835</v>
      </c>
      <c r="M487" s="295">
        <v>2659835</v>
      </c>
      <c r="N487" s="295">
        <v>12</v>
      </c>
      <c r="O487" s="295">
        <v>661</v>
      </c>
      <c r="P487" s="295">
        <v>662</v>
      </c>
      <c r="Q487" s="295">
        <v>662</v>
      </c>
      <c r="R487" s="295">
        <v>662</v>
      </c>
      <c r="S487" s="295">
        <v>662</v>
      </c>
      <c r="T487" s="295">
        <v>611</v>
      </c>
      <c r="U487" s="295">
        <v>611</v>
      </c>
      <c r="V487" s="295">
        <v>611</v>
      </c>
      <c r="W487" s="295">
        <v>611</v>
      </c>
      <c r="X487" s="295">
        <v>611</v>
      </c>
      <c r="Y487" s="426"/>
      <c r="Z487" s="410">
        <v>0.35</v>
      </c>
      <c r="AA487" s="410">
        <v>0.6</v>
      </c>
      <c r="AB487" s="410"/>
      <c r="AC487" s="410">
        <v>0.05</v>
      </c>
      <c r="AD487" s="410"/>
      <c r="AE487" s="410"/>
      <c r="AF487" s="415"/>
      <c r="AG487" s="415"/>
      <c r="AH487" s="415"/>
      <c r="AI487" s="415"/>
      <c r="AJ487" s="415"/>
      <c r="AK487" s="415"/>
      <c r="AL487" s="415"/>
      <c r="AM487" s="296">
        <f>SUM(Y487:AL487)</f>
        <v>1</v>
      </c>
    </row>
    <row r="488" spans="1:39" ht="15.5" hidden="1" outlineLevel="1">
      <c r="A488" s="532"/>
      <c r="B488" s="431" t="s">
        <v>308</v>
      </c>
      <c r="C488" s="291" t="s">
        <v>163</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11">
        <f>Y487</f>
        <v>0</v>
      </c>
      <c r="Z488" s="411">
        <f t="shared" ref="Z488" si="1387">Z487</f>
        <v>0.35</v>
      </c>
      <c r="AA488" s="411">
        <f t="shared" ref="AA488" si="1388">AA487</f>
        <v>0.6</v>
      </c>
      <c r="AB488" s="411">
        <f t="shared" ref="AB488" si="1389">AB487</f>
        <v>0</v>
      </c>
      <c r="AC488" s="411">
        <f t="shared" ref="AC488" si="1390">AC487</f>
        <v>0.05</v>
      </c>
      <c r="AD488" s="411">
        <f t="shared" ref="AD488" si="1391">AD487</f>
        <v>0</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ht="15.5" hidden="1"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1" hidden="1" outlineLevel="1">
      <c r="A490" s="532">
        <v>27</v>
      </c>
      <c r="B490" s="428" t="s">
        <v>119</v>
      </c>
      <c r="C490" s="291" t="s">
        <v>25</v>
      </c>
      <c r="D490" s="295">
        <v>740956</v>
      </c>
      <c r="E490" s="295">
        <v>740956</v>
      </c>
      <c r="F490" s="295">
        <v>734673</v>
      </c>
      <c r="G490" s="295">
        <v>695741</v>
      </c>
      <c r="H490" s="295">
        <v>649974</v>
      </c>
      <c r="I490" s="295">
        <v>516856</v>
      </c>
      <c r="J490" s="295">
        <v>301939</v>
      </c>
      <c r="K490" s="295">
        <v>284356</v>
      </c>
      <c r="L490" s="295">
        <v>236406</v>
      </c>
      <c r="M490" s="295">
        <v>177740</v>
      </c>
      <c r="N490" s="295">
        <v>12</v>
      </c>
      <c r="O490" s="295">
        <v>149</v>
      </c>
      <c r="P490" s="295">
        <v>149</v>
      </c>
      <c r="Q490" s="295">
        <v>149</v>
      </c>
      <c r="R490" s="295">
        <v>145</v>
      </c>
      <c r="S490" s="295">
        <v>139</v>
      </c>
      <c r="T490" s="295">
        <v>120</v>
      </c>
      <c r="U490" s="295">
        <v>90</v>
      </c>
      <c r="V490" s="295">
        <v>87</v>
      </c>
      <c r="W490" s="295">
        <v>76</v>
      </c>
      <c r="X490" s="295">
        <v>59</v>
      </c>
      <c r="Y490" s="426"/>
      <c r="Z490" s="410">
        <v>0.76</v>
      </c>
      <c r="AA490" s="410">
        <v>0.24</v>
      </c>
      <c r="AB490" s="410"/>
      <c r="AC490" s="410"/>
      <c r="AD490" s="410"/>
      <c r="AE490" s="410"/>
      <c r="AF490" s="415"/>
      <c r="AG490" s="415"/>
      <c r="AH490" s="415"/>
      <c r="AI490" s="415"/>
      <c r="AJ490" s="415"/>
      <c r="AK490" s="415"/>
      <c r="AL490" s="415"/>
      <c r="AM490" s="296">
        <f>SUM(Y490:AL490)</f>
        <v>1</v>
      </c>
    </row>
    <row r="491" spans="1:39" ht="15.5" hidden="1" outlineLevel="1">
      <c r="A491" s="532"/>
      <c r="B491" s="431" t="s">
        <v>308</v>
      </c>
      <c r="C491" s="291" t="s">
        <v>163</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11">
        <f>Y490</f>
        <v>0</v>
      </c>
      <c r="Z491" s="411">
        <f t="shared" ref="Z491" si="1400">Z490</f>
        <v>0.76</v>
      </c>
      <c r="AA491" s="411">
        <f t="shared" ref="AA491" si="1401">AA490</f>
        <v>0.24</v>
      </c>
      <c r="AB491" s="411">
        <f t="shared" ref="AB491" si="1402">AB490</f>
        <v>0</v>
      </c>
      <c r="AC491" s="411">
        <f t="shared" ref="AC491" si="1403">AC490</f>
        <v>0</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ht="15.5" hidden="1"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1" hidden="1"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ht="15.5" hidden="1"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3">Z493</f>
        <v>0</v>
      </c>
      <c r="AA494" s="411">
        <f t="shared" ref="AA494" si="1414">AA493</f>
        <v>0</v>
      </c>
      <c r="AB494" s="411">
        <f t="shared" ref="AB494" si="1415">AB493</f>
        <v>0</v>
      </c>
      <c r="AC494" s="411">
        <f t="shared" ref="AC494" si="1416">AC493</f>
        <v>0</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ht="15.5" hidden="1"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1" hidden="1"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t="15.5" hidden="1"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ht="15.5" hidden="1"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1" hidden="1"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t="15.5" hidden="1"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ht="15.5" hidden="1"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1" hidden="1"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t="15.5" hidden="1"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ht="15.5" hidden="1"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15.5" hidden="1"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ht="15.5" hidden="1"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5">Z505</f>
        <v>0</v>
      </c>
      <c r="AA506" s="411">
        <f t="shared" ref="AA506" si="1466">AA505</f>
        <v>0</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ht="15.5" hidden="1"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5" hidden="1" outlineLevel="1">
      <c r="A508" s="532"/>
      <c r="B508" s="504"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15.5" hidden="1"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ht="15.5" hidden="1"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8">Z509</f>
        <v>0</v>
      </c>
      <c r="AA510" s="411">
        <f t="shared" ref="AA510" si="1479">AA509</f>
        <v>0</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ht="15.5" hidden="1"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5" hidden="1" outlineLevel="1">
      <c r="A512" s="532">
        <v>34</v>
      </c>
      <c r="B512" s="851" t="s">
        <v>785</v>
      </c>
      <c r="C512" s="291" t="s">
        <v>25</v>
      </c>
      <c r="D512" s="295">
        <v>6573748</v>
      </c>
      <c r="E512" s="295">
        <v>4760633</v>
      </c>
      <c r="F512" s="295">
        <v>4760633</v>
      </c>
      <c r="G512" s="295">
        <v>4760633</v>
      </c>
      <c r="H512" s="295">
        <v>4760633</v>
      </c>
      <c r="I512" s="295">
        <v>4760633</v>
      </c>
      <c r="J512" s="295">
        <v>4760633</v>
      </c>
      <c r="K512" s="295">
        <v>4760541</v>
      </c>
      <c r="L512" s="295">
        <v>4760541</v>
      </c>
      <c r="M512" s="295">
        <v>4760541</v>
      </c>
      <c r="N512" s="295">
        <v>0</v>
      </c>
      <c r="O512" s="295">
        <v>451</v>
      </c>
      <c r="P512" s="295">
        <v>329</v>
      </c>
      <c r="Q512" s="295">
        <v>329</v>
      </c>
      <c r="R512" s="295">
        <v>329</v>
      </c>
      <c r="S512" s="295">
        <v>329</v>
      </c>
      <c r="T512" s="295">
        <v>329</v>
      </c>
      <c r="U512" s="295">
        <v>329</v>
      </c>
      <c r="V512" s="295">
        <v>329</v>
      </c>
      <c r="W512" s="295">
        <v>329</v>
      </c>
      <c r="X512" s="295">
        <v>329</v>
      </c>
      <c r="Y512" s="426">
        <v>1</v>
      </c>
      <c r="Z512" s="410"/>
      <c r="AA512" s="410"/>
      <c r="AB512" s="410"/>
      <c r="AC512" s="410"/>
      <c r="AD512" s="410"/>
      <c r="AE512" s="410"/>
      <c r="AF512" s="415"/>
      <c r="AG512" s="415"/>
      <c r="AH512" s="415"/>
      <c r="AI512" s="415"/>
      <c r="AJ512" s="415"/>
      <c r="AK512" s="415"/>
      <c r="AL512" s="415"/>
      <c r="AM512" s="296">
        <f>SUM(Y512:AL512)</f>
        <v>1</v>
      </c>
    </row>
    <row r="513" spans="1:39" ht="15.5" hidden="1" outlineLevel="1">
      <c r="A513" s="532"/>
      <c r="B513" s="431" t="s">
        <v>308</v>
      </c>
      <c r="C513" s="291" t="s">
        <v>163</v>
      </c>
      <c r="D513" s="295"/>
      <c r="E513" s="295"/>
      <c r="F513" s="295"/>
      <c r="G513" s="295"/>
      <c r="H513" s="295"/>
      <c r="I513" s="295"/>
      <c r="J513" s="295"/>
      <c r="K513" s="295"/>
      <c r="L513" s="295"/>
      <c r="M513" s="295"/>
      <c r="N513" s="295">
        <v>0</v>
      </c>
      <c r="O513" s="295"/>
      <c r="P513" s="295"/>
      <c r="Q513" s="295"/>
      <c r="R513" s="295"/>
      <c r="S513" s="295"/>
      <c r="T513" s="295"/>
      <c r="U513" s="295"/>
      <c r="V513" s="295"/>
      <c r="W513" s="295"/>
      <c r="X513" s="295"/>
      <c r="Y513" s="411">
        <f>Y512</f>
        <v>1</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ht="15.5" hidden="1"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5" hidden="1" outlineLevel="1">
      <c r="A515" s="532">
        <v>35</v>
      </c>
      <c r="B515" s="851" t="s">
        <v>786</v>
      </c>
      <c r="C515" s="291" t="s">
        <v>25</v>
      </c>
      <c r="D515" s="295">
        <v>60121</v>
      </c>
      <c r="E515" s="295">
        <v>60121</v>
      </c>
      <c r="F515" s="295">
        <v>60121</v>
      </c>
      <c r="G515" s="295">
        <v>60121</v>
      </c>
      <c r="H515" s="295">
        <v>59840</v>
      </c>
      <c r="I515" s="295">
        <v>59178</v>
      </c>
      <c r="J515" s="295">
        <v>59178</v>
      </c>
      <c r="K515" s="295">
        <v>59178</v>
      </c>
      <c r="L515" s="295">
        <v>59178</v>
      </c>
      <c r="M515" s="295">
        <v>59178</v>
      </c>
      <c r="N515" s="295">
        <v>0</v>
      </c>
      <c r="O515" s="295">
        <v>6</v>
      </c>
      <c r="P515" s="295">
        <v>6</v>
      </c>
      <c r="Q515" s="295">
        <v>6</v>
      </c>
      <c r="R515" s="295">
        <v>6</v>
      </c>
      <c r="S515" s="295">
        <v>6</v>
      </c>
      <c r="T515" s="295">
        <v>6</v>
      </c>
      <c r="U515" s="295">
        <v>6</v>
      </c>
      <c r="V515" s="295">
        <v>6</v>
      </c>
      <c r="W515" s="295">
        <v>6</v>
      </c>
      <c r="X515" s="295">
        <v>6</v>
      </c>
      <c r="Y515" s="426">
        <v>1</v>
      </c>
      <c r="Z515" s="410"/>
      <c r="AA515" s="410"/>
      <c r="AB515" s="410"/>
      <c r="AC515" s="410"/>
      <c r="AD515" s="410"/>
      <c r="AE515" s="410"/>
      <c r="AF515" s="415"/>
      <c r="AG515" s="415"/>
      <c r="AH515" s="415"/>
      <c r="AI515" s="415"/>
      <c r="AJ515" s="415"/>
      <c r="AK515" s="415"/>
      <c r="AL515" s="415"/>
      <c r="AM515" s="296">
        <f>SUM(Y515:AL515)</f>
        <v>1</v>
      </c>
    </row>
    <row r="516" spans="1:39" ht="15.5" hidden="1" outlineLevel="1">
      <c r="A516" s="532"/>
      <c r="B516" s="431" t="s">
        <v>308</v>
      </c>
      <c r="C516" s="291" t="s">
        <v>163</v>
      </c>
      <c r="D516" s="295"/>
      <c r="E516" s="295"/>
      <c r="F516" s="295"/>
      <c r="G516" s="295"/>
      <c r="H516" s="295"/>
      <c r="I516" s="295"/>
      <c r="J516" s="295"/>
      <c r="K516" s="295"/>
      <c r="L516" s="295"/>
      <c r="M516" s="295"/>
      <c r="N516" s="295">
        <v>0</v>
      </c>
      <c r="O516" s="295"/>
      <c r="P516" s="295"/>
      <c r="Q516" s="295"/>
      <c r="R516" s="295"/>
      <c r="S516" s="295"/>
      <c r="T516" s="295"/>
      <c r="U516" s="295"/>
      <c r="V516" s="295"/>
      <c r="W516" s="295"/>
      <c r="X516" s="295"/>
      <c r="Y516" s="411">
        <f>Y515</f>
        <v>1</v>
      </c>
      <c r="Z516" s="411">
        <f t="shared" ref="Z516" si="1504">Z515</f>
        <v>0</v>
      </c>
      <c r="AA516" s="411">
        <f t="shared" ref="AA516" si="1505">AA515</f>
        <v>0</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ht="15.5" hidden="1"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5" hidden="1" outlineLevel="1">
      <c r="A518" s="532"/>
      <c r="B518" s="504"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6.5" hidden="1"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ht="15.5" hidden="1"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ht="15.5" hidden="1"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1" hidden="1"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t="15.5" hidden="1"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ht="15.5" hidden="1"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15.5" hidden="1"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t="15.5" hidden="1"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ht="15.5" hidden="1"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1" hidden="1"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5" hidden="1"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ht="15.5" hidden="1"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1" hidden="1"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5" hidden="1"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ht="15.5" hidden="1"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6.5" hidden="1"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t="15.5" hidden="1"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ht="15.5" hidden="1"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1" hidden="1"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5.5" hidden="1"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ht="15.5" hidden="1"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15.5" hidden="1"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5" hidden="1"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ht="15.5" hidden="1"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6.5" hidden="1"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5" hidden="1"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ht="15.5" hidden="1"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1" hidden="1"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5" hidden="1"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ht="15.5" hidden="1"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1" hidden="1"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5.5" hidden="1"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ht="15.5" hidden="1"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1" hidden="1"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5" hidden="1"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ht="15.5" hidden="1"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1" hidden="1"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5" hidden="1"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ht="15.5" hidden="1"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15.5" hidden="1" outlineLevel="1">
      <c r="A558" s="532">
        <v>49</v>
      </c>
      <c r="B558" s="851" t="s">
        <v>819</v>
      </c>
      <c r="C558" s="291" t="s">
        <v>25</v>
      </c>
      <c r="D558" s="295"/>
      <c r="E558" s="295"/>
      <c r="F558" s="295"/>
      <c r="G558" s="295"/>
      <c r="H558" s="295"/>
      <c r="I558" s="295"/>
      <c r="J558" s="295"/>
      <c r="K558" s="295"/>
      <c r="L558" s="295"/>
      <c r="M558" s="295"/>
      <c r="N558" s="295">
        <v>1</v>
      </c>
      <c r="O558" s="295">
        <v>15258.74</v>
      </c>
      <c r="P558" s="295">
        <v>15258.74</v>
      </c>
      <c r="Q558" s="295">
        <v>15258.74</v>
      </c>
      <c r="R558" s="295">
        <v>15258.74</v>
      </c>
      <c r="S558" s="295">
        <v>15258.74</v>
      </c>
      <c r="T558" s="295">
        <v>15258.74</v>
      </c>
      <c r="U558" s="295">
        <v>15258.74</v>
      </c>
      <c r="V558" s="295">
        <v>15258.74</v>
      </c>
      <c r="W558" s="295">
        <v>15258.74</v>
      </c>
      <c r="X558" s="295">
        <v>15258.74</v>
      </c>
      <c r="Y558" s="426"/>
      <c r="Z558" s="410"/>
      <c r="AA558" s="410"/>
      <c r="AB558" s="410"/>
      <c r="AC558" s="410"/>
      <c r="AD558" s="410">
        <v>1</v>
      </c>
      <c r="AE558" s="410"/>
      <c r="AF558" s="415"/>
      <c r="AG558" s="415"/>
      <c r="AH558" s="415"/>
      <c r="AI558" s="415"/>
      <c r="AJ558" s="415"/>
      <c r="AK558" s="415"/>
      <c r="AL558" s="415"/>
      <c r="AM558" s="296">
        <f>SUM(Y558:AL558)</f>
        <v>1</v>
      </c>
    </row>
    <row r="559" spans="1:39" ht="15.5" hidden="1" outlineLevel="1">
      <c r="A559" s="532"/>
      <c r="B559" s="431" t="s">
        <v>308</v>
      </c>
      <c r="C559" s="291" t="s">
        <v>163</v>
      </c>
      <c r="D559" s="295"/>
      <c r="E559" s="295"/>
      <c r="F559" s="295"/>
      <c r="G559" s="295"/>
      <c r="H559" s="295"/>
      <c r="I559" s="295"/>
      <c r="J559" s="295"/>
      <c r="K559" s="295"/>
      <c r="L559" s="295"/>
      <c r="M559" s="295"/>
      <c r="N559" s="295">
        <f>N558</f>
        <v>1</v>
      </c>
      <c r="O559" s="295"/>
      <c r="P559" s="295"/>
      <c r="Q559" s="295"/>
      <c r="R559" s="295"/>
      <c r="S559" s="295"/>
      <c r="T559" s="295"/>
      <c r="U559" s="295"/>
      <c r="V559" s="295"/>
      <c r="W559" s="295"/>
      <c r="X559" s="295"/>
      <c r="Y559" s="411">
        <f>Y558</f>
        <v>0</v>
      </c>
      <c r="Z559" s="411">
        <f t="shared" ref="Z559" si="1686">Z558</f>
        <v>0</v>
      </c>
      <c r="AA559" s="411">
        <f t="shared" ref="AA559" si="1687">AA558</f>
        <v>0</v>
      </c>
      <c r="AB559" s="411">
        <f t="shared" ref="AB559" si="1688">AB558</f>
        <v>0</v>
      </c>
      <c r="AC559" s="411">
        <f t="shared" ref="AC559" si="1689">AC558</f>
        <v>0</v>
      </c>
      <c r="AD559" s="411">
        <f t="shared" ref="AD559" si="1690">AD558</f>
        <v>1</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ht="15.5" hidden="1"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5" collapsed="1">
      <c r="B561" s="327" t="s">
        <v>292</v>
      </c>
      <c r="C561" s="329"/>
      <c r="D561" s="329">
        <f>SUM(D404:D559)</f>
        <v>20373265</v>
      </c>
      <c r="E561" s="329"/>
      <c r="F561" s="329"/>
      <c r="G561" s="329"/>
      <c r="H561" s="329"/>
      <c r="I561" s="329"/>
      <c r="J561" s="329"/>
      <c r="K561" s="329"/>
      <c r="L561" s="329"/>
      <c r="M561" s="329"/>
      <c r="N561" s="329"/>
      <c r="O561" s="329">
        <f>SUM(O404:O559)</f>
        <v>17424.739999999998</v>
      </c>
      <c r="P561" s="329"/>
      <c r="Q561" s="329"/>
      <c r="R561" s="329"/>
      <c r="S561" s="329"/>
      <c r="T561" s="329"/>
      <c r="U561" s="329"/>
      <c r="V561" s="329"/>
      <c r="W561" s="329"/>
      <c r="X561" s="329"/>
      <c r="Y561" s="329">
        <f>IF(Y402="kWh",SUMPRODUCT(D404:D559,Y404:Y559))</f>
        <v>16722440</v>
      </c>
      <c r="Z561" s="329">
        <f>IF(Z402="kWh",SUMPRODUCT(D404:D559,Z404:Z559))</f>
        <v>1581580.71</v>
      </c>
      <c r="AA561" s="329">
        <f>IF(AA402="kw",SUMPRODUCT(N404:N559,O404:O559,AA404:AA559),SUMPRODUCT(D404:D559,AA404:AA559))</f>
        <v>5188.32</v>
      </c>
      <c r="AB561" s="329">
        <f>IF(AB402="kw",SUMPRODUCT(N404:N559,O404:O559,AB404:AB559),SUMPRODUCT(D404:D559,AB404:AB559))</f>
        <v>0</v>
      </c>
      <c r="AC561" s="329">
        <f>IF(AC402="kw",SUMPRODUCT(N404:N559,O404:O559,AC404:AC559),SUMPRODUCT(D404:D559,AC404:AC559))</f>
        <v>396.6</v>
      </c>
      <c r="AD561" s="329">
        <f>IF(AD402="kw",SUMPRODUCT(N404:N559,O404:O559,AD404:AD559),SUMPRODUCT(D404:D559,AD404:AD559))</f>
        <v>15258.74</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12376486.664670894</v>
      </c>
      <c r="Z562" s="392">
        <f>HLOOKUP(Z218,'2. LRAMVA Threshold'!$B$42:$Q$53,9,FALSE)</f>
        <v>3331319.4289040104</v>
      </c>
      <c r="AA562" s="392">
        <f>HLOOKUP(AA218,'2. LRAMVA Threshold'!$B$42:$Q$53,9,FALSE)</f>
        <v>21032.122849833977</v>
      </c>
      <c r="AB562" s="392">
        <f>HLOOKUP(AB218,'2. LRAMVA Threshold'!$B$42:$Q$53,9,FALSE)</f>
        <v>4472.982770541802</v>
      </c>
      <c r="AC562" s="392">
        <f>HLOOKUP(AC218,'2. LRAMVA Threshold'!$B$42:$Q$53,9,FALSE)</f>
        <v>2466.8282011508268</v>
      </c>
      <c r="AD562" s="392">
        <f>HLOOKUP(AD218,'2. LRAMVA Threshold'!$B$42:$Q$53,9,FALSE)</f>
        <v>12760</v>
      </c>
      <c r="AE562" s="392">
        <f>HLOOKUP(AE218,'2. LRAMVA Threshold'!$B$42:$Q$53,9,FALSE)</f>
        <v>67658.673932357386</v>
      </c>
      <c r="AF562" s="392">
        <f>HLOOKUP(AF218,'2. LRAMVA Threshold'!$B$42:$Q$53,9,FALSE)</f>
        <v>2.3562605855112158</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ht="15.5">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ht="15.5">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1.09E-2</v>
      </c>
      <c r="Z564" s="341">
        <f>HLOOKUP(Z$35,'3.  Distribution Rates'!$C$122:$P$133,9,FALSE)</f>
        <v>1.61E-2</v>
      </c>
      <c r="AA564" s="341">
        <f>HLOOKUP(AA$35,'3.  Distribution Rates'!$C$122:$P$133,9,FALSE)</f>
        <v>4.5690999999999997</v>
      </c>
      <c r="AB564" s="341">
        <f>HLOOKUP(AB$35,'3.  Distribution Rates'!$C$122:$P$133,9,FALSE)</f>
        <v>2.4245999999999999</v>
      </c>
      <c r="AC564" s="341">
        <f>HLOOKUP(AC$35,'3.  Distribution Rates'!$C$122:$P$133,9,FALSE)</f>
        <v>2.0983000000000001</v>
      </c>
      <c r="AD564" s="341">
        <f>HLOOKUP(AD$35,'3.  Distribution Rates'!$C$122:$P$133,9,FALSE)</f>
        <v>29.666399999999999</v>
      </c>
      <c r="AE564" s="341">
        <f>HLOOKUP(AE$35,'3.  Distribution Rates'!$C$122:$P$133,9,FALSE)</f>
        <v>1.8200000000000001E-2</v>
      </c>
      <c r="AF564" s="341">
        <f>HLOOKUP(AF$35,'3.  Distribution Rates'!$C$122:$P$133,9,FALSE)</f>
        <v>7.6711999999999998</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ht="15.5">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699">SUM(Y565:AL565)</f>
        <v>0</v>
      </c>
    </row>
    <row r="566" spans="2:39" ht="15.5">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699"/>
        <v>0</v>
      </c>
    </row>
    <row r="567" spans="2:39" ht="15.5">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699"/>
        <v>0</v>
      </c>
    </row>
    <row r="568" spans="2:39" ht="15.5">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699"/>
        <v>0</v>
      </c>
    </row>
    <row r="569" spans="2:39" ht="15.5">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37570.196300000003</v>
      </c>
      <c r="Z569" s="378">
        <f t="shared" si="1700"/>
        <v>16587.109364</v>
      </c>
      <c r="AA569" s="378">
        <f t="shared" si="1700"/>
        <v>11042.60088</v>
      </c>
      <c r="AB569" s="378">
        <f>AB209*AB564</f>
        <v>23252.883839999999</v>
      </c>
      <c r="AC569" s="378">
        <f t="shared" si="1700"/>
        <v>0</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9">
        <f t="shared" si="1699"/>
        <v>88452.790383999993</v>
      </c>
    </row>
    <row r="570" spans="2:39" ht="15.5">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102023.42230000001</v>
      </c>
      <c r="Z570" s="378">
        <f>Z392*Z564</f>
        <v>38986.720906000002</v>
      </c>
      <c r="AA570" s="378">
        <f t="shared" ref="AA570:AL570" si="1701">AA392*AA564</f>
        <v>13083.343703999999</v>
      </c>
      <c r="AB570" s="378">
        <f>AB392*AB564</f>
        <v>2467.5639120000001</v>
      </c>
      <c r="AC570" s="378">
        <f t="shared" si="1701"/>
        <v>0</v>
      </c>
      <c r="AD570" s="378">
        <f t="shared" si="1701"/>
        <v>28889.733648000001</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9">
        <f t="shared" si="1699"/>
        <v>185450.78447000001</v>
      </c>
    </row>
    <row r="571" spans="2:39" ht="15.5">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182274.59599999999</v>
      </c>
      <c r="Z571" s="378">
        <f t="shared" ref="Z571:AL571" si="1702">Z561*Z564</f>
        <v>25463.449430999997</v>
      </c>
      <c r="AA571" s="378">
        <f t="shared" si="1702"/>
        <v>23705.952911999997</v>
      </c>
      <c r="AB571" s="378">
        <f t="shared" si="1702"/>
        <v>0</v>
      </c>
      <c r="AC571" s="378">
        <f t="shared" si="1702"/>
        <v>832.18578000000002</v>
      </c>
      <c r="AD571" s="378">
        <f t="shared" si="1702"/>
        <v>452671.88433599996</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9">
        <f t="shared" si="1699"/>
        <v>684948.06845899997</v>
      </c>
    </row>
    <row r="572" spans="2:39" ht="15.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321868.21460000001</v>
      </c>
      <c r="Z572" s="346">
        <f>SUM(Z565:Z571)</f>
        <v>81037.279701000007</v>
      </c>
      <c r="AA572" s="346">
        <f t="shared" ref="AA572:AE572" si="1703">SUM(AA565:AA571)</f>
        <v>47831.89749599999</v>
      </c>
      <c r="AB572" s="346">
        <f t="shared" si="1703"/>
        <v>25720.447752</v>
      </c>
      <c r="AC572" s="346">
        <f t="shared" si="1703"/>
        <v>832.18578000000002</v>
      </c>
      <c r="AD572" s="346">
        <f>SUM(AD565:AD571)</f>
        <v>481561.61798399995</v>
      </c>
      <c r="AE572" s="346">
        <f t="shared" si="1703"/>
        <v>0</v>
      </c>
      <c r="AF572" s="346">
        <f>SUM(AF565:AF571)</f>
        <v>0</v>
      </c>
      <c r="AG572" s="346">
        <f>SUM(AG565:AG571)</f>
        <v>0</v>
      </c>
      <c r="AH572" s="346">
        <f t="shared" ref="AH572:AL572" si="1704">SUM(AH565:AH571)</f>
        <v>0</v>
      </c>
      <c r="AI572" s="346">
        <f t="shared" si="1704"/>
        <v>0</v>
      </c>
      <c r="AJ572" s="346">
        <f>SUM(AJ565:AJ571)</f>
        <v>0</v>
      </c>
      <c r="AK572" s="346">
        <f t="shared" si="1704"/>
        <v>0</v>
      </c>
      <c r="AL572" s="346">
        <f t="shared" si="1704"/>
        <v>0</v>
      </c>
      <c r="AM572" s="407">
        <f>SUM(AM565:AM571)</f>
        <v>958851.64331299998</v>
      </c>
    </row>
    <row r="573" spans="2:39" ht="15.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134903.70464491274</v>
      </c>
      <c r="Z573" s="347">
        <f t="shared" ref="Z573:AE573" si="1705">Z562*Z564</f>
        <v>53634.242805354566</v>
      </c>
      <c r="AA573" s="347">
        <f t="shared" si="1705"/>
        <v>96097.872513176422</v>
      </c>
      <c r="AB573" s="347">
        <f t="shared" si="1705"/>
        <v>10845.194025455652</v>
      </c>
      <c r="AC573" s="347">
        <f t="shared" si="1705"/>
        <v>5176.1456144747799</v>
      </c>
      <c r="AD573" s="347">
        <f>AD562*AD564</f>
        <v>378543.26399999997</v>
      </c>
      <c r="AE573" s="347">
        <f t="shared" si="1705"/>
        <v>1231.3878655689045</v>
      </c>
      <c r="AF573" s="347">
        <f>AF562*AF564</f>
        <v>18.075346203573638</v>
      </c>
      <c r="AG573" s="347">
        <f t="shared" ref="AG573:AL573" si="1706">AG562*AG564</f>
        <v>0</v>
      </c>
      <c r="AH573" s="347">
        <f t="shared" si="1706"/>
        <v>0</v>
      </c>
      <c r="AI573" s="347">
        <f t="shared" si="1706"/>
        <v>0</v>
      </c>
      <c r="AJ573" s="347">
        <f>AJ562*AJ564</f>
        <v>0</v>
      </c>
      <c r="AK573" s="347">
        <f>AK562*AK564</f>
        <v>0</v>
      </c>
      <c r="AL573" s="347">
        <f t="shared" si="1706"/>
        <v>0</v>
      </c>
      <c r="AM573" s="407">
        <f>SUM(Y573:AL573)</f>
        <v>680449.88681514643</v>
      </c>
    </row>
    <row r="574" spans="2:39" ht="15.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278401.75649785355</v>
      </c>
    </row>
    <row r="575" spans="2:39" ht="15.5">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ht="15.5">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13140642</v>
      </c>
      <c r="Z576" s="291">
        <f>SUMPRODUCT(E404:E559,Z404:Z559)</f>
        <v>1583307.26</v>
      </c>
      <c r="AA576" s="291">
        <f>IF(AA402="kw",SUMPRODUCT($N$404:$N$559,$P$404:$P$559,AA404:AA559),SUMPRODUCT($E$404:$E$559,AA404:AA559))</f>
        <v>5195.5199999999995</v>
      </c>
      <c r="AB576" s="291">
        <f>IF(AB402="kw",SUMPRODUCT($N$404:$N$559,$P$404:$P$559,AB404:AB559),SUMPRODUCT($E$404:$E$559,AB404:AB559))</f>
        <v>0</v>
      </c>
      <c r="AC576" s="291">
        <f>IF(AC402="kw",SUMPRODUCT($N$404:$N$559,$P$404:$P$559,AC404:AC559),SUMPRODUCT($E$404:$E$559,AC404:AC559))</f>
        <v>397.20000000000005</v>
      </c>
      <c r="AD576" s="291">
        <f t="shared" ref="AD576:AL576" si="1707">IF(AD402="kw",SUMPRODUCT($N$404:$N$559,$P$404:$P$559,AD404:AD559),SUMPRODUCT($E$404:$E$559,AD404:AD559))</f>
        <v>15258.74</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ht="15.5">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13140642</v>
      </c>
      <c r="Z577" s="291">
        <f>SUMPRODUCT(F404:F559,Z404:Z559)</f>
        <v>1578532.18</v>
      </c>
      <c r="AA577" s="291">
        <f t="shared" ref="AA577:AL577" si="1708">IF(AA402="kw",SUMPRODUCT($N$404:$N$559,$Q$404:$Q$559,AA404:AA559),SUMPRODUCT($F$404:$F$559,AA404:AA559))</f>
        <v>5195.5199999999995</v>
      </c>
      <c r="AB577" s="291">
        <f t="shared" si="1708"/>
        <v>0</v>
      </c>
      <c r="AC577" s="291">
        <f>IF(AC402="kw",SUMPRODUCT($N$404:$N$559,$Q$404:$Q$559,AC404:AC559),SUMPRODUCT($F$404:$F$559,AC404:AC559))</f>
        <v>397.20000000000005</v>
      </c>
      <c r="AD577" s="291">
        <f t="shared" si="1708"/>
        <v>15258.74</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ht="15.5">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13140642</v>
      </c>
      <c r="Z578" s="326">
        <f>SUMPRODUCT(G404:G559,Z404:Z559)</f>
        <v>1548943.8599999999</v>
      </c>
      <c r="AA578" s="326">
        <f t="shared" ref="AA578:AL578" si="1709">IF(AA402="kw",SUMPRODUCT($N$404:$N$559,$R$404:$R$559,AA404:AA559),SUMPRODUCT($G$404:$G$559,AA404:AA559))</f>
        <v>5184</v>
      </c>
      <c r="AB578" s="326">
        <f t="shared" si="1709"/>
        <v>0</v>
      </c>
      <c r="AC578" s="326">
        <f>IF(AC402="kw",SUMPRODUCT($N$404:$N$559,$R$404:$R$559,AC404:AC559),SUMPRODUCT($G$404:$G$559,AC404:AC559))</f>
        <v>397.20000000000005</v>
      </c>
      <c r="AD578" s="326">
        <f t="shared" si="1709"/>
        <v>15258.74</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588</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5">
      <c r="B582" s="280" t="s">
        <v>309</v>
      </c>
      <c r="C582" s="281"/>
      <c r="D582" s="590" t="s">
        <v>526</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921" t="s">
        <v>211</v>
      </c>
      <c r="C583" s="923" t="s">
        <v>33</v>
      </c>
      <c r="D583" s="284" t="s">
        <v>422</v>
      </c>
      <c r="E583" s="925" t="s">
        <v>209</v>
      </c>
      <c r="F583" s="926"/>
      <c r="G583" s="926"/>
      <c r="H583" s="926"/>
      <c r="I583" s="926"/>
      <c r="J583" s="926"/>
      <c r="K583" s="926"/>
      <c r="L583" s="926"/>
      <c r="M583" s="927"/>
      <c r="N583" s="928" t="s">
        <v>213</v>
      </c>
      <c r="O583" s="284" t="s">
        <v>423</v>
      </c>
      <c r="P583" s="925" t="s">
        <v>212</v>
      </c>
      <c r="Q583" s="926"/>
      <c r="R583" s="926"/>
      <c r="S583" s="926"/>
      <c r="T583" s="926"/>
      <c r="U583" s="926"/>
      <c r="V583" s="926"/>
      <c r="W583" s="926"/>
      <c r="X583" s="927"/>
      <c r="Y583" s="918" t="s">
        <v>243</v>
      </c>
      <c r="Z583" s="919"/>
      <c r="AA583" s="919"/>
      <c r="AB583" s="919"/>
      <c r="AC583" s="919"/>
      <c r="AD583" s="919"/>
      <c r="AE583" s="919"/>
      <c r="AF583" s="919"/>
      <c r="AG583" s="919"/>
      <c r="AH583" s="919"/>
      <c r="AI583" s="919"/>
      <c r="AJ583" s="919"/>
      <c r="AK583" s="919"/>
      <c r="AL583" s="919"/>
      <c r="AM583" s="920"/>
    </row>
    <row r="584" spans="1:39" ht="68.25" customHeight="1">
      <c r="B584" s="922"/>
      <c r="C584" s="924"/>
      <c r="D584" s="285">
        <v>2018</v>
      </c>
      <c r="E584" s="285">
        <v>2019</v>
      </c>
      <c r="F584" s="285">
        <v>2020</v>
      </c>
      <c r="G584" s="285">
        <v>2021</v>
      </c>
      <c r="H584" s="285">
        <v>2022</v>
      </c>
      <c r="I584" s="285">
        <v>2023</v>
      </c>
      <c r="J584" s="285">
        <v>2024</v>
      </c>
      <c r="K584" s="285">
        <v>2025</v>
      </c>
      <c r="L584" s="285">
        <v>2026</v>
      </c>
      <c r="M584" s="285">
        <v>2027</v>
      </c>
      <c r="N584" s="929"/>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 50 to 999 kW (I1 &amp; I4)</v>
      </c>
      <c r="AB584" s="285" t="str">
        <f>'1.  LRAMVA Summary'!G52</f>
        <v>GS 1,000 to 4,999 kW (I2)</v>
      </c>
      <c r="AC584" s="285" t="str">
        <f>'1.  LRAMVA Summary'!H52</f>
        <v>Large Use (I3)</v>
      </c>
      <c r="AD584" s="285" t="str">
        <f>'1.  LRAMVA Summary'!I52</f>
        <v>Street Lighting</v>
      </c>
      <c r="AE584" s="285" t="str">
        <f>'1.  LRAMVA Summary'!J52</f>
        <v>USL</v>
      </c>
      <c r="AF584" s="285" t="str">
        <f>'1.  LRAMVA Summary'!K52</f>
        <v>Sentinel Lights</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v>
      </c>
      <c r="AD585" s="291" t="str">
        <f>'1.  LRAMVA Summary'!I53</f>
        <v>kW</v>
      </c>
      <c r="AE585" s="291" t="str">
        <f>'1.  LRAMVA Summary'!J53</f>
        <v>kWh</v>
      </c>
      <c r="AF585" s="291" t="str">
        <f>'1.  LRAMVA Summary'!K53</f>
        <v>kW</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5" hidden="1"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t="15.5" hidden="1"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t="15.5" hidden="1"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5" hidden="1"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t="15.5" hidden="1"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5" hidden="1"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5" hidden="1"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t="15.5" hidden="1"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5" hidden="1"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ht="15.5" hidden="1"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t="15.5" hidden="1" outlineLevel="1">
      <c r="A596" s="532">
        <v>4</v>
      </c>
      <c r="B596" s="520" t="s">
        <v>678</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5" hidden="1"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ht="15.5" hidden="1"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5" hidden="1"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ht="15.5" hidden="1"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5" hidden="1"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t="15.5" hidden="1"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t="15.5" hidden="1"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ht="15.5" hidden="1"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1" hidden="1"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5" hidden="1"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ht="15.5" hidden="1"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1" hidden="1"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5" hidden="1"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ht="15.5" hidden="1"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1" hidden="1"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5" hidden="1"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ht="15.5" hidden="1"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1" hidden="1"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5" hidden="1"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ht="15.5" hidden="1"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5" hidden="1"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1" hidden="1"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t="15.5" hidden="1"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ht="15.5" hidden="1"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31" hidden="1"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t="15.5" hidden="1"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ht="15.5" hidden="1"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1" hidden="1"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t="15.5" hidden="1"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ht="15.5" hidden="1"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5" hidden="1"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t="15.5" hidden="1"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t="15.5" hidden="1"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6"/>
      <c r="AN630" s="630"/>
    </row>
    <row r="631" spans="1:40" ht="15.5" hidden="1"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5" hidden="1"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t="15.5" hidden="1"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t="15.5" hidden="1"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ht="15.5" hidden="1"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t="15.5" hidden="1"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t="15.5" hidden="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ht="15.5" hidden="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5" hidden="1"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t="15.5" hidden="1"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t="15.5" hidden="1"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ht="15.5" hidden="1"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t="15.5" hidden="1"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5" hidden="1"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ht="15.5" hidden="1"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t="15.5" hidden="1"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5" hidden="1"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ht="15.5" hidden="1"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t="15.5" hidden="1"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5" hidden="1"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5" hidden="1"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5" collapsed="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5">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t="15.5">
      <c r="A654" s="532">
        <v>21</v>
      </c>
      <c r="B654" s="851" t="s">
        <v>820</v>
      </c>
      <c r="C654" s="291" t="s">
        <v>25</v>
      </c>
      <c r="D654" s="295">
        <f>'7.  Persistence Report'!AX69</f>
        <v>3211983.7120835511</v>
      </c>
      <c r="E654" s="295">
        <f>'7.  Persistence Report'!AY69</f>
        <v>3188821</v>
      </c>
      <c r="F654" s="295">
        <f>'7.  Persistence Report'!AZ69</f>
        <v>3188821</v>
      </c>
      <c r="G654" s="295">
        <f>'7.  Persistence Report'!BA69</f>
        <v>3188821</v>
      </c>
      <c r="H654" s="295">
        <f>'7.  Persistence Report'!BB69</f>
        <v>3188821</v>
      </c>
      <c r="I654" s="295">
        <f>'7.  Persistence Report'!BC69</f>
        <v>3188821</v>
      </c>
      <c r="J654" s="295">
        <f>'7.  Persistence Report'!BD69</f>
        <v>3188821</v>
      </c>
      <c r="K654" s="295">
        <f>'7.  Persistence Report'!BE69</f>
        <v>3188821</v>
      </c>
      <c r="L654" s="295">
        <f>'7.  Persistence Report'!BF69</f>
        <v>3188821</v>
      </c>
      <c r="M654" s="295">
        <f>'7.  Persistence Report'!BG69</f>
        <v>3188821</v>
      </c>
      <c r="N654" s="291"/>
      <c r="O654" s="295">
        <f>'7.  Persistence Report'!S69</f>
        <v>222.23656157920087</v>
      </c>
      <c r="P654" s="295">
        <f>'7.  Persistence Report'!T69</f>
        <v>220.63393779535912</v>
      </c>
      <c r="Q654" s="295">
        <f>'7.  Persistence Report'!U69</f>
        <v>220.63393779535912</v>
      </c>
      <c r="R654" s="295">
        <f>'7.  Persistence Report'!V69</f>
        <v>220.63393779535912</v>
      </c>
      <c r="S654" s="295">
        <f>'7.  Persistence Report'!W69</f>
        <v>220.63393779535912</v>
      </c>
      <c r="T654" s="295">
        <f>'7.  Persistence Report'!X69</f>
        <v>220.63393779535912</v>
      </c>
      <c r="U654" s="295">
        <f>'7.  Persistence Report'!Y69</f>
        <v>220.63393779535912</v>
      </c>
      <c r="V654" s="295">
        <f>'7.  Persistence Report'!Z69</f>
        <v>220.63393779535912</v>
      </c>
      <c r="W654" s="295">
        <f>'7.  Persistence Report'!AA69</f>
        <v>220.63393779535912</v>
      </c>
      <c r="X654" s="295">
        <f>'7.  Persistence Report'!AB69</f>
        <v>220.63393779535912</v>
      </c>
      <c r="Y654" s="410">
        <v>1</v>
      </c>
      <c r="Z654" s="410"/>
      <c r="AA654" s="410"/>
      <c r="AB654" s="410"/>
      <c r="AC654" s="410"/>
      <c r="AD654" s="410"/>
      <c r="AE654" s="410"/>
      <c r="AF654" s="410"/>
      <c r="AG654" s="410"/>
      <c r="AH654" s="410"/>
      <c r="AI654" s="410"/>
      <c r="AJ654" s="410"/>
      <c r="AK654" s="410"/>
      <c r="AL654" s="410"/>
      <c r="AM654" s="296">
        <f>SUM(Y654:AL654)</f>
        <v>1</v>
      </c>
    </row>
    <row r="655" spans="1:39" ht="15.5">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1</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ht="15.5">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1" hidden="1" outlineLevel="1">
      <c r="A657" s="532">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t="15.5" hidden="1"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1">Z657</f>
        <v>0</v>
      </c>
      <c r="AA658" s="411">
        <f t="shared" ref="AA658" si="1912">AA657</f>
        <v>0</v>
      </c>
      <c r="AB658" s="411">
        <f t="shared" ref="AB658" si="1913">AB657</f>
        <v>0</v>
      </c>
      <c r="AC658" s="411">
        <f t="shared" ref="AC658" si="1914">AC657</f>
        <v>0</v>
      </c>
      <c r="AD658" s="411">
        <f t="shared" ref="AD658" si="1915">AD657</f>
        <v>0</v>
      </c>
      <c r="AE658" s="411">
        <f t="shared" ref="AE658" si="1916">AE657</f>
        <v>0</v>
      </c>
      <c r="AF658" s="411">
        <f t="shared" ref="AF658" si="1917">AF657</f>
        <v>0</v>
      </c>
      <c r="AG658" s="411">
        <f t="shared" ref="AG658" si="1918">AG657</f>
        <v>0</v>
      </c>
      <c r="AH658" s="411">
        <f t="shared" ref="AH658" si="1919">AH657</f>
        <v>0</v>
      </c>
      <c r="AI658" s="411">
        <f t="shared" ref="AI658" si="1920">AI657</f>
        <v>0</v>
      </c>
      <c r="AJ658" s="411">
        <f t="shared" ref="AJ658" si="1921">AJ657</f>
        <v>0</v>
      </c>
      <c r="AK658" s="411">
        <f t="shared" ref="AK658" si="1922">AK657</f>
        <v>0</v>
      </c>
      <c r="AL658" s="411">
        <f t="shared" ref="AL658" si="1923">AL657</f>
        <v>0</v>
      </c>
      <c r="AM658" s="306"/>
    </row>
    <row r="659" spans="1:39" ht="15.5" hidden="1"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1" hidden="1"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t="15.5" hidden="1"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4">Z660</f>
        <v>0</v>
      </c>
      <c r="AA661" s="411">
        <f t="shared" ref="AA661" si="1925">AA660</f>
        <v>0</v>
      </c>
      <c r="AB661" s="411">
        <f t="shared" ref="AB661" si="1926">AB660</f>
        <v>0</v>
      </c>
      <c r="AC661" s="411">
        <f t="shared" ref="AC661" si="1927">AC660</f>
        <v>0</v>
      </c>
      <c r="AD661" s="411">
        <f t="shared" ref="AD661" si="1928">AD660</f>
        <v>0</v>
      </c>
      <c r="AE661" s="411">
        <f t="shared" ref="AE661" si="1929">AE660</f>
        <v>0</v>
      </c>
      <c r="AF661" s="411">
        <f t="shared" ref="AF661" si="1930">AF660</f>
        <v>0</v>
      </c>
      <c r="AG661" s="411">
        <f t="shared" ref="AG661" si="1931">AG660</f>
        <v>0</v>
      </c>
      <c r="AH661" s="411">
        <f t="shared" ref="AH661" si="1932">AH660</f>
        <v>0</v>
      </c>
      <c r="AI661" s="411">
        <f t="shared" ref="AI661" si="1933">AI660</f>
        <v>0</v>
      </c>
      <c r="AJ661" s="411">
        <f t="shared" ref="AJ661" si="1934">AJ660</f>
        <v>0</v>
      </c>
      <c r="AK661" s="411">
        <f t="shared" ref="AK661" si="1935">AK660</f>
        <v>0</v>
      </c>
      <c r="AL661" s="411">
        <f t="shared" ref="AL661" si="1936">AL660</f>
        <v>0</v>
      </c>
      <c r="AM661" s="306"/>
    </row>
    <row r="662" spans="1:39" ht="15.5" hidden="1"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15.5" hidden="1"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t="15.5" hidden="1"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37">Z663</f>
        <v>0</v>
      </c>
      <c r="AA664" s="411">
        <f t="shared" ref="AA664" si="1938">AA663</f>
        <v>0</v>
      </c>
      <c r="AB664" s="411">
        <f t="shared" ref="AB664" si="1939">AB663</f>
        <v>0</v>
      </c>
      <c r="AC664" s="411">
        <f t="shared" ref="AC664" si="1940">AC663</f>
        <v>0</v>
      </c>
      <c r="AD664" s="411">
        <f t="shared" ref="AD664" si="1941">AD663</f>
        <v>0</v>
      </c>
      <c r="AE664" s="411">
        <f t="shared" ref="AE664" si="1942">AE663</f>
        <v>0</v>
      </c>
      <c r="AF664" s="411">
        <f t="shared" ref="AF664" si="1943">AF663</f>
        <v>0</v>
      </c>
      <c r="AG664" s="411">
        <f t="shared" ref="AG664" si="1944">AG663</f>
        <v>0</v>
      </c>
      <c r="AH664" s="411">
        <f t="shared" ref="AH664" si="1945">AH663</f>
        <v>0</v>
      </c>
      <c r="AI664" s="411">
        <f t="shared" ref="AI664" si="1946">AI663</f>
        <v>0</v>
      </c>
      <c r="AJ664" s="411">
        <f t="shared" ref="AJ664" si="1947">AJ663</f>
        <v>0</v>
      </c>
      <c r="AK664" s="411">
        <f t="shared" ref="AK664" si="1948">AK663</f>
        <v>0</v>
      </c>
      <c r="AL664" s="411">
        <f t="shared" ref="AL664" si="1949">AL663</f>
        <v>0</v>
      </c>
      <c r="AM664" s="306"/>
    </row>
    <row r="665" spans="1:39" ht="15.5" hidden="1"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5" collapsed="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t="15.5" hidden="1"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t="15.5" hidden="1"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0">Z667</f>
        <v>0</v>
      </c>
      <c r="AA668" s="411">
        <f t="shared" ref="AA668" si="1951">AA667</f>
        <v>0</v>
      </c>
      <c r="AB668" s="411">
        <f t="shared" ref="AB668" si="1952">AB667</f>
        <v>0</v>
      </c>
      <c r="AC668" s="411">
        <f t="shared" ref="AC668" si="1953">AC667</f>
        <v>0</v>
      </c>
      <c r="AD668" s="411">
        <f t="shared" ref="AD668" si="1954">AD667</f>
        <v>0</v>
      </c>
      <c r="AE668" s="411">
        <f t="shared" ref="AE668" si="1955">AE667</f>
        <v>0</v>
      </c>
      <c r="AF668" s="411">
        <f t="shared" ref="AF668" si="1956">AF667</f>
        <v>0</v>
      </c>
      <c r="AG668" s="411">
        <f t="shared" ref="AG668" si="1957">AG667</f>
        <v>0</v>
      </c>
      <c r="AH668" s="411">
        <f t="shared" ref="AH668" si="1958">AH667</f>
        <v>0</v>
      </c>
      <c r="AI668" s="411">
        <f t="shared" ref="AI668" si="1959">AI667</f>
        <v>0</v>
      </c>
      <c r="AJ668" s="411">
        <f t="shared" ref="AJ668" si="1960">AJ667</f>
        <v>0</v>
      </c>
      <c r="AK668" s="411">
        <f t="shared" ref="AK668" si="1961">AK667</f>
        <v>0</v>
      </c>
      <c r="AL668" s="411">
        <f t="shared" ref="AL668" si="1962">AL667</f>
        <v>0</v>
      </c>
      <c r="AM668" s="306"/>
    </row>
    <row r="669" spans="1:39" ht="15.5" hidden="1"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5" collapsed="1">
      <c r="A670" s="532">
        <v>26</v>
      </c>
      <c r="B670" s="851" t="s">
        <v>118</v>
      </c>
      <c r="C670" s="291" t="s">
        <v>25</v>
      </c>
      <c r="D670" s="295">
        <f>'7.  Persistence Report'!AX70</f>
        <v>1890432.4375981016</v>
      </c>
      <c r="E670" s="295">
        <f>'7.  Persistence Report'!AY70</f>
        <v>1881084</v>
      </c>
      <c r="F670" s="295">
        <f>'7.  Persistence Report'!AZ70</f>
        <v>1881084</v>
      </c>
      <c r="G670" s="295">
        <f>'7.  Persistence Report'!BA70</f>
        <v>1881084</v>
      </c>
      <c r="H670" s="295">
        <f>'7.  Persistence Report'!BB70</f>
        <v>1881084</v>
      </c>
      <c r="I670" s="295">
        <f>'7.  Persistence Report'!BC70</f>
        <v>1881084</v>
      </c>
      <c r="J670" s="295">
        <f>'7.  Persistence Report'!BD70</f>
        <v>1881084</v>
      </c>
      <c r="K670" s="295">
        <f>'7.  Persistence Report'!BE70</f>
        <v>1881084</v>
      </c>
      <c r="L670" s="295">
        <f>'7.  Persistence Report'!BF70</f>
        <v>1881084</v>
      </c>
      <c r="M670" s="295">
        <f>'7.  Persistence Report'!BG70</f>
        <v>1881084</v>
      </c>
      <c r="N670" s="295">
        <v>12</v>
      </c>
      <c r="O670" s="295">
        <f>'7.  Persistence Report'!S70</f>
        <v>429.34863969832026</v>
      </c>
      <c r="P670" s="295">
        <f>'7.  Persistence Report'!T70</f>
        <v>427.22545407887054</v>
      </c>
      <c r="Q670" s="295">
        <f>'7.  Persistence Report'!U70</f>
        <v>427.22545407887054</v>
      </c>
      <c r="R670" s="295">
        <f>'7.  Persistence Report'!V70</f>
        <v>427.22545407887054</v>
      </c>
      <c r="S670" s="295">
        <f>'7.  Persistence Report'!W70</f>
        <v>427.22545407887054</v>
      </c>
      <c r="T670" s="295">
        <f>'7.  Persistence Report'!X70</f>
        <v>427.22545407887054</v>
      </c>
      <c r="U670" s="295">
        <f>'7.  Persistence Report'!Y70</f>
        <v>427.22545407887054</v>
      </c>
      <c r="V670" s="295">
        <f>'7.  Persistence Report'!Z70</f>
        <v>427.22545407887054</v>
      </c>
      <c r="W670" s="295">
        <f>'7.  Persistence Report'!AA70</f>
        <v>427.22545407887054</v>
      </c>
      <c r="X670" s="295">
        <f>'7.  Persistence Report'!AB70</f>
        <v>427.22545407887054</v>
      </c>
      <c r="Y670" s="426"/>
      <c r="Z670" s="410">
        <v>0.35</v>
      </c>
      <c r="AA670" s="410">
        <v>0.65</v>
      </c>
      <c r="AB670" s="410"/>
      <c r="AC670" s="410"/>
      <c r="AD670" s="410"/>
      <c r="AE670" s="410"/>
      <c r="AF670" s="415"/>
      <c r="AG670" s="415"/>
      <c r="AH670" s="415"/>
      <c r="AI670" s="415"/>
      <c r="AJ670" s="415"/>
      <c r="AK670" s="415"/>
      <c r="AL670" s="415"/>
      <c r="AM670" s="296">
        <f>SUM(Y670:AL670)</f>
        <v>1</v>
      </c>
    </row>
    <row r="671" spans="1:39" ht="15.5">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3">Z670</f>
        <v>0.35</v>
      </c>
      <c r="AA671" s="411">
        <f t="shared" ref="AA671" si="1964">AA670</f>
        <v>0.65</v>
      </c>
      <c r="AB671" s="411">
        <f t="shared" ref="AB671" si="1965">AB670</f>
        <v>0</v>
      </c>
      <c r="AC671" s="411">
        <f t="shared" ref="AC671" si="1966">AC670</f>
        <v>0</v>
      </c>
      <c r="AD671" s="411">
        <f t="shared" ref="AD671" si="1967">AD670</f>
        <v>0</v>
      </c>
      <c r="AE671" s="411">
        <f t="shared" ref="AE671" si="1968">AE670</f>
        <v>0</v>
      </c>
      <c r="AF671" s="411">
        <f t="shared" ref="AF671" si="1969">AF670</f>
        <v>0</v>
      </c>
      <c r="AG671" s="411">
        <f t="shared" ref="AG671" si="1970">AG670</f>
        <v>0</v>
      </c>
      <c r="AH671" s="411">
        <f t="shared" ref="AH671" si="1971">AH670</f>
        <v>0</v>
      </c>
      <c r="AI671" s="411">
        <f t="shared" ref="AI671" si="1972">AI670</f>
        <v>0</v>
      </c>
      <c r="AJ671" s="411">
        <f t="shared" ref="AJ671" si="1973">AJ670</f>
        <v>0</v>
      </c>
      <c r="AK671" s="411">
        <f t="shared" ref="AK671" si="1974">AK670</f>
        <v>0</v>
      </c>
      <c r="AL671" s="411">
        <f t="shared" ref="AL671" si="1975">AL670</f>
        <v>0</v>
      </c>
      <c r="AM671" s="306"/>
    </row>
    <row r="672" spans="1:39" ht="15.5">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1">
      <c r="A673" s="532">
        <v>27</v>
      </c>
      <c r="B673" s="851" t="s">
        <v>119</v>
      </c>
      <c r="C673" s="291" t="s">
        <v>25</v>
      </c>
      <c r="D673" s="295">
        <f>'7.  Persistence Report'!AX71</f>
        <v>286645.42353347212</v>
      </c>
      <c r="E673" s="295">
        <f>'7.  Persistence Report'!AY71</f>
        <v>184310</v>
      </c>
      <c r="F673" s="295">
        <f>'7.  Persistence Report'!AZ71</f>
        <v>184310</v>
      </c>
      <c r="G673" s="295">
        <f>'7.  Persistence Report'!BA71</f>
        <v>184310</v>
      </c>
      <c r="H673" s="295">
        <f>'7.  Persistence Report'!BB71</f>
        <v>184310</v>
      </c>
      <c r="I673" s="295">
        <f>'7.  Persistence Report'!BC71</f>
        <v>184310</v>
      </c>
      <c r="J673" s="295">
        <f>'7.  Persistence Report'!BD71</f>
        <v>184310</v>
      </c>
      <c r="K673" s="295">
        <f>'7.  Persistence Report'!BE71</f>
        <v>184310</v>
      </c>
      <c r="L673" s="295">
        <f>'7.  Persistence Report'!BF71</f>
        <v>184310</v>
      </c>
      <c r="M673" s="295">
        <f>'7.  Persistence Report'!BG71</f>
        <v>184310</v>
      </c>
      <c r="N673" s="295">
        <v>12</v>
      </c>
      <c r="O673" s="295">
        <f>'7.  Persistence Report'!S71</f>
        <v>65.10194187432235</v>
      </c>
      <c r="P673" s="295">
        <f>'7.  Persistence Report'!T71</f>
        <v>41.859865610082608</v>
      </c>
      <c r="Q673" s="295">
        <f>'7.  Persistence Report'!U71</f>
        <v>41.859865610082608</v>
      </c>
      <c r="R673" s="295">
        <f>'7.  Persistence Report'!V71</f>
        <v>41.859865610082608</v>
      </c>
      <c r="S673" s="295">
        <f>'7.  Persistence Report'!W71</f>
        <v>41.859865610082608</v>
      </c>
      <c r="T673" s="295">
        <f>'7.  Persistence Report'!X71</f>
        <v>41.859865610082608</v>
      </c>
      <c r="U673" s="295">
        <f>'7.  Persistence Report'!Y71</f>
        <v>41.859865610082608</v>
      </c>
      <c r="V673" s="295">
        <f>'7.  Persistence Report'!Z71</f>
        <v>41.859865610082608</v>
      </c>
      <c r="W673" s="295">
        <f>'7.  Persistence Report'!AA71</f>
        <v>41.859865610082608</v>
      </c>
      <c r="X673" s="295">
        <f>'7.  Persistence Report'!AB71</f>
        <v>41.859865610082608</v>
      </c>
      <c r="Y673" s="426"/>
      <c r="Z673" s="410">
        <v>0.76</v>
      </c>
      <c r="AA673" s="410">
        <v>0.24</v>
      </c>
      <c r="AB673" s="410"/>
      <c r="AC673" s="410"/>
      <c r="AD673" s="410"/>
      <c r="AE673" s="410"/>
      <c r="AF673" s="415"/>
      <c r="AG673" s="415"/>
      <c r="AH673" s="415"/>
      <c r="AI673" s="415"/>
      <c r="AJ673" s="415"/>
      <c r="AK673" s="415"/>
      <c r="AL673" s="415"/>
      <c r="AM673" s="296">
        <f>SUM(Y673:AL673)</f>
        <v>1</v>
      </c>
    </row>
    <row r="674" spans="1:39" ht="15.5">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6">Z673</f>
        <v>0.76</v>
      </c>
      <c r="AA674" s="411">
        <f t="shared" ref="AA674" si="1977">AA673</f>
        <v>0.24</v>
      </c>
      <c r="AB674" s="411">
        <f t="shared" ref="AB674" si="1978">AB673</f>
        <v>0</v>
      </c>
      <c r="AC674" s="411">
        <f t="shared" ref="AC674" si="1979">AC673</f>
        <v>0</v>
      </c>
      <c r="AD674" s="411">
        <f t="shared" ref="AD674" si="1980">AD673</f>
        <v>0</v>
      </c>
      <c r="AE674" s="411">
        <f t="shared" ref="AE674" si="1981">AE673</f>
        <v>0</v>
      </c>
      <c r="AF674" s="411">
        <f t="shared" ref="AF674" si="1982">AF673</f>
        <v>0</v>
      </c>
      <c r="AG674" s="411">
        <f t="shared" ref="AG674" si="1983">AG673</f>
        <v>0</v>
      </c>
      <c r="AH674" s="411">
        <f t="shared" ref="AH674" si="1984">AH673</f>
        <v>0</v>
      </c>
      <c r="AI674" s="411">
        <f t="shared" ref="AI674" si="1985">AI673</f>
        <v>0</v>
      </c>
      <c r="AJ674" s="411">
        <f t="shared" ref="AJ674" si="1986">AJ673</f>
        <v>0</v>
      </c>
      <c r="AK674" s="411">
        <f t="shared" ref="AK674" si="1987">AK673</f>
        <v>0</v>
      </c>
      <c r="AL674" s="411">
        <f t="shared" ref="AL674" si="1988">AL673</f>
        <v>0</v>
      </c>
      <c r="AM674" s="306"/>
    </row>
    <row r="675" spans="1:39" ht="15.5">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1" hidden="1"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t="15.5" hidden="1"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89">Z676</f>
        <v>0</v>
      </c>
      <c r="AA677" s="411">
        <f t="shared" ref="AA677" si="1990">AA676</f>
        <v>0</v>
      </c>
      <c r="AB677" s="411">
        <f t="shared" ref="AB677" si="1991">AB676</f>
        <v>0</v>
      </c>
      <c r="AC677" s="411">
        <f t="shared" ref="AC677" si="1992">AC676</f>
        <v>0</v>
      </c>
      <c r="AD677" s="411">
        <f t="shared" ref="AD677" si="1993">AD676</f>
        <v>0</v>
      </c>
      <c r="AE677" s="411">
        <f t="shared" ref="AE677" si="1994">AE676</f>
        <v>0</v>
      </c>
      <c r="AF677" s="411">
        <f t="shared" ref="AF677" si="1995">AF676</f>
        <v>0</v>
      </c>
      <c r="AG677" s="411">
        <f t="shared" ref="AG677" si="1996">AG676</f>
        <v>0</v>
      </c>
      <c r="AH677" s="411">
        <f t="shared" ref="AH677" si="1997">AH676</f>
        <v>0</v>
      </c>
      <c r="AI677" s="411">
        <f t="shared" ref="AI677" si="1998">AI676</f>
        <v>0</v>
      </c>
      <c r="AJ677" s="411">
        <f t="shared" ref="AJ677" si="1999">AJ676</f>
        <v>0</v>
      </c>
      <c r="AK677" s="411">
        <f t="shared" ref="AK677" si="2000">AK676</f>
        <v>0</v>
      </c>
      <c r="AL677" s="411">
        <f t="shared" ref="AL677" si="2001">AL676</f>
        <v>0</v>
      </c>
      <c r="AM677" s="306"/>
    </row>
    <row r="678" spans="1:39" ht="15.5" hidden="1"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1" hidden="1"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t="15.5" hidden="1"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2">Z679</f>
        <v>0</v>
      </c>
      <c r="AA680" s="411">
        <f t="shared" ref="AA680" si="2003">AA679</f>
        <v>0</v>
      </c>
      <c r="AB680" s="411">
        <f t="shared" ref="AB680" si="2004">AB679</f>
        <v>0</v>
      </c>
      <c r="AC680" s="411">
        <f t="shared" ref="AC680" si="2005">AC679</f>
        <v>0</v>
      </c>
      <c r="AD680" s="411">
        <f t="shared" ref="AD680" si="2006">AD679</f>
        <v>0</v>
      </c>
      <c r="AE680" s="411">
        <f t="shared" ref="AE680" si="2007">AE679</f>
        <v>0</v>
      </c>
      <c r="AF680" s="411">
        <f t="shared" ref="AF680" si="2008">AF679</f>
        <v>0</v>
      </c>
      <c r="AG680" s="411">
        <f t="shared" ref="AG680" si="2009">AG679</f>
        <v>0</v>
      </c>
      <c r="AH680" s="411">
        <f t="shared" ref="AH680" si="2010">AH679</f>
        <v>0</v>
      </c>
      <c r="AI680" s="411">
        <f t="shared" ref="AI680" si="2011">AI679</f>
        <v>0</v>
      </c>
      <c r="AJ680" s="411">
        <f t="shared" ref="AJ680" si="2012">AJ679</f>
        <v>0</v>
      </c>
      <c r="AK680" s="411">
        <f t="shared" ref="AK680" si="2013">AK679</f>
        <v>0</v>
      </c>
      <c r="AL680" s="411">
        <f t="shared" ref="AL680" si="2014">AL679</f>
        <v>0</v>
      </c>
      <c r="AM680" s="306"/>
    </row>
    <row r="681" spans="1:39" ht="15.5" hidden="1"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1" hidden="1"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5.5" hidden="1"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5">Z682</f>
        <v>0</v>
      </c>
      <c r="AA683" s="411">
        <f t="shared" ref="AA683" si="2016">AA682</f>
        <v>0</v>
      </c>
      <c r="AB683" s="411">
        <f t="shared" ref="AB683" si="2017">AB682</f>
        <v>0</v>
      </c>
      <c r="AC683" s="411">
        <f t="shared" ref="AC683" si="2018">AC682</f>
        <v>0</v>
      </c>
      <c r="AD683" s="411">
        <f t="shared" ref="AD683" si="2019">AD682</f>
        <v>0</v>
      </c>
      <c r="AE683" s="411">
        <f t="shared" ref="AE683" si="2020">AE682</f>
        <v>0</v>
      </c>
      <c r="AF683" s="411">
        <f t="shared" ref="AF683" si="2021">AF682</f>
        <v>0</v>
      </c>
      <c r="AG683" s="411">
        <f t="shared" ref="AG683" si="2022">AG682</f>
        <v>0</v>
      </c>
      <c r="AH683" s="411">
        <f t="shared" ref="AH683" si="2023">AH682</f>
        <v>0</v>
      </c>
      <c r="AI683" s="411">
        <f t="shared" ref="AI683" si="2024">AI682</f>
        <v>0</v>
      </c>
      <c r="AJ683" s="411">
        <f t="shared" ref="AJ683" si="2025">AJ682</f>
        <v>0</v>
      </c>
      <c r="AK683" s="411">
        <f t="shared" ref="AK683" si="2026">AK682</f>
        <v>0</v>
      </c>
      <c r="AL683" s="411">
        <f t="shared" ref="AL683" si="2027">AL682</f>
        <v>0</v>
      </c>
      <c r="AM683" s="306"/>
    </row>
    <row r="684" spans="1:39" ht="15.5" hidden="1"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1" hidden="1"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t="15.5" hidden="1"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28">Z685</f>
        <v>0</v>
      </c>
      <c r="AA686" s="411">
        <f t="shared" ref="AA686" si="2029">AA685</f>
        <v>0</v>
      </c>
      <c r="AB686" s="411">
        <f t="shared" ref="AB686" si="2030">AB685</f>
        <v>0</v>
      </c>
      <c r="AC686" s="411">
        <f t="shared" ref="AC686" si="2031">AC685</f>
        <v>0</v>
      </c>
      <c r="AD686" s="411">
        <f t="shared" ref="AD686" si="2032">AD685</f>
        <v>0</v>
      </c>
      <c r="AE686" s="411">
        <f t="shared" ref="AE686" si="2033">AE685</f>
        <v>0</v>
      </c>
      <c r="AF686" s="411">
        <f t="shared" ref="AF686" si="2034">AF685</f>
        <v>0</v>
      </c>
      <c r="AG686" s="411">
        <f t="shared" ref="AG686" si="2035">AG685</f>
        <v>0</v>
      </c>
      <c r="AH686" s="411">
        <f t="shared" ref="AH686" si="2036">AH685</f>
        <v>0</v>
      </c>
      <c r="AI686" s="411">
        <f t="shared" ref="AI686" si="2037">AI685</f>
        <v>0</v>
      </c>
      <c r="AJ686" s="411">
        <f t="shared" ref="AJ686" si="2038">AJ685</f>
        <v>0</v>
      </c>
      <c r="AK686" s="411">
        <f t="shared" ref="AK686" si="2039">AK685</f>
        <v>0</v>
      </c>
      <c r="AL686" s="411">
        <f t="shared" ref="AL686" si="2040">AL685</f>
        <v>0</v>
      </c>
      <c r="AM686" s="306"/>
    </row>
    <row r="687" spans="1:39" ht="15.5" hidden="1"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15.5" hidden="1"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t="15.5" hidden="1"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1">Z688</f>
        <v>0</v>
      </c>
      <c r="AA689" s="411">
        <f t="shared" ref="AA689" si="2042">AA688</f>
        <v>0</v>
      </c>
      <c r="AB689" s="411">
        <f t="shared" ref="AB689" si="2043">AB688</f>
        <v>0</v>
      </c>
      <c r="AC689" s="411">
        <f t="shared" ref="AC689" si="2044">AC688</f>
        <v>0</v>
      </c>
      <c r="AD689" s="411">
        <f t="shared" ref="AD689" si="2045">AD688</f>
        <v>0</v>
      </c>
      <c r="AE689" s="411">
        <f t="shared" ref="AE689" si="2046">AE688</f>
        <v>0</v>
      </c>
      <c r="AF689" s="411">
        <f t="shared" ref="AF689" si="2047">AF688</f>
        <v>0</v>
      </c>
      <c r="AG689" s="411">
        <f t="shared" ref="AG689" si="2048">AG688</f>
        <v>0</v>
      </c>
      <c r="AH689" s="411">
        <f t="shared" ref="AH689" si="2049">AH688</f>
        <v>0</v>
      </c>
      <c r="AI689" s="411">
        <f t="shared" ref="AI689" si="2050">AI688</f>
        <v>0</v>
      </c>
      <c r="AJ689" s="411">
        <f t="shared" ref="AJ689" si="2051">AJ688</f>
        <v>0</v>
      </c>
      <c r="AK689" s="411">
        <f t="shared" ref="AK689" si="2052">AK688</f>
        <v>0</v>
      </c>
      <c r="AL689" s="411">
        <f t="shared" ref="AL689" si="2053">AL688</f>
        <v>0</v>
      </c>
      <c r="AM689" s="306"/>
    </row>
    <row r="690" spans="1:39" ht="15.5" hidden="1"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5" hidden="1"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15.5" hidden="1"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t="15.5" hidden="1"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4">Z692</f>
        <v>0</v>
      </c>
      <c r="AA693" s="411">
        <f t="shared" ref="AA693" si="2055">AA692</f>
        <v>0</v>
      </c>
      <c r="AB693" s="411">
        <f t="shared" ref="AB693" si="2056">AB692</f>
        <v>0</v>
      </c>
      <c r="AC693" s="411">
        <f t="shared" ref="AC693" si="2057">AC692</f>
        <v>0</v>
      </c>
      <c r="AD693" s="411">
        <f t="shared" ref="AD693" si="2058">AD692</f>
        <v>0</v>
      </c>
      <c r="AE693" s="411">
        <f t="shared" ref="AE693" si="2059">AE692</f>
        <v>0</v>
      </c>
      <c r="AF693" s="411">
        <f t="shared" ref="AF693" si="2060">AF692</f>
        <v>0</v>
      </c>
      <c r="AG693" s="411">
        <f t="shared" ref="AG693" si="2061">AG692</f>
        <v>0</v>
      </c>
      <c r="AH693" s="411">
        <f t="shared" ref="AH693" si="2062">AH692</f>
        <v>0</v>
      </c>
      <c r="AI693" s="411">
        <f t="shared" ref="AI693" si="2063">AI692</f>
        <v>0</v>
      </c>
      <c r="AJ693" s="411">
        <f t="shared" ref="AJ693" si="2064">AJ692</f>
        <v>0</v>
      </c>
      <c r="AK693" s="411">
        <f t="shared" ref="AK693" si="2065">AK692</f>
        <v>0</v>
      </c>
      <c r="AL693" s="411">
        <f t="shared" ref="AL693" si="2066">AL692</f>
        <v>0</v>
      </c>
      <c r="AM693" s="306"/>
    </row>
    <row r="694" spans="1:39" ht="15.5" hidden="1"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5" hidden="1"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t="15.5" hidden="1"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7">Z695</f>
        <v>0</v>
      </c>
      <c r="AA696" s="411">
        <f t="shared" ref="AA696" si="2068">AA695</f>
        <v>0</v>
      </c>
      <c r="AB696" s="411">
        <f t="shared" ref="AB696" si="2069">AB695</f>
        <v>0</v>
      </c>
      <c r="AC696" s="411">
        <f t="shared" ref="AC696" si="2070">AC695</f>
        <v>0</v>
      </c>
      <c r="AD696" s="411">
        <f t="shared" ref="AD696" si="2071">AD695</f>
        <v>0</v>
      </c>
      <c r="AE696" s="411">
        <f t="shared" ref="AE696" si="2072">AE695</f>
        <v>0</v>
      </c>
      <c r="AF696" s="411">
        <f t="shared" ref="AF696" si="2073">AF695</f>
        <v>0</v>
      </c>
      <c r="AG696" s="411">
        <f t="shared" ref="AG696" si="2074">AG695</f>
        <v>0</v>
      </c>
      <c r="AH696" s="411">
        <f t="shared" ref="AH696" si="2075">AH695</f>
        <v>0</v>
      </c>
      <c r="AI696" s="411">
        <f t="shared" ref="AI696" si="2076">AI695</f>
        <v>0</v>
      </c>
      <c r="AJ696" s="411">
        <f t="shared" ref="AJ696" si="2077">AJ695</f>
        <v>0</v>
      </c>
      <c r="AK696" s="411">
        <f t="shared" ref="AK696" si="2078">AK695</f>
        <v>0</v>
      </c>
      <c r="AL696" s="411">
        <f t="shared" ref="AL696" si="2079">AL695</f>
        <v>0</v>
      </c>
      <c r="AM696" s="306"/>
    </row>
    <row r="697" spans="1:39" ht="15.5" hidden="1"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5" hidden="1"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t="15.5" hidden="1"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0">Z698</f>
        <v>0</v>
      </c>
      <c r="AA699" s="411">
        <f t="shared" ref="AA699" si="2081">AA698</f>
        <v>0</v>
      </c>
      <c r="AB699" s="411">
        <f t="shared" ref="AB699" si="2082">AB698</f>
        <v>0</v>
      </c>
      <c r="AC699" s="411">
        <f t="shared" ref="AC699" si="2083">AC698</f>
        <v>0</v>
      </c>
      <c r="AD699" s="411">
        <f t="shared" ref="AD699" si="2084">AD698</f>
        <v>0</v>
      </c>
      <c r="AE699" s="411">
        <f t="shared" ref="AE699" si="2085">AE698</f>
        <v>0</v>
      </c>
      <c r="AF699" s="411">
        <f t="shared" ref="AF699" si="2086">AF698</f>
        <v>0</v>
      </c>
      <c r="AG699" s="411">
        <f t="shared" ref="AG699" si="2087">AG698</f>
        <v>0</v>
      </c>
      <c r="AH699" s="411">
        <f t="shared" ref="AH699" si="2088">AH698</f>
        <v>0</v>
      </c>
      <c r="AI699" s="411">
        <f t="shared" ref="AI699" si="2089">AI698</f>
        <v>0</v>
      </c>
      <c r="AJ699" s="411">
        <f t="shared" ref="AJ699" si="2090">AJ698</f>
        <v>0</v>
      </c>
      <c r="AK699" s="411">
        <f t="shared" ref="AK699" si="2091">AK698</f>
        <v>0</v>
      </c>
      <c r="AL699" s="411">
        <f t="shared" ref="AL699" si="2092">AL698</f>
        <v>0</v>
      </c>
      <c r="AM699" s="306"/>
    </row>
    <row r="700" spans="1:39" ht="15.5" hidden="1"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5" hidden="1"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6.5" hidden="1"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t="15.5" hidden="1"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3">Z702</f>
        <v>0</v>
      </c>
      <c r="AA703" s="411">
        <f t="shared" ref="AA703" si="2094">AA702</f>
        <v>0</v>
      </c>
      <c r="AB703" s="411">
        <f t="shared" ref="AB703" si="2095">AB702</f>
        <v>0</v>
      </c>
      <c r="AC703" s="411">
        <f t="shared" ref="AC703" si="2096">AC702</f>
        <v>0</v>
      </c>
      <c r="AD703" s="411">
        <f t="shared" ref="AD703" si="2097">AD702</f>
        <v>0</v>
      </c>
      <c r="AE703" s="411">
        <f t="shared" ref="AE703" si="2098">AE702</f>
        <v>0</v>
      </c>
      <c r="AF703" s="411">
        <f t="shared" ref="AF703" si="2099">AF702</f>
        <v>0</v>
      </c>
      <c r="AG703" s="411">
        <f t="shared" ref="AG703" si="2100">AG702</f>
        <v>0</v>
      </c>
      <c r="AH703" s="411">
        <f t="shared" ref="AH703" si="2101">AH702</f>
        <v>0</v>
      </c>
      <c r="AI703" s="411">
        <f t="shared" ref="AI703" si="2102">AI702</f>
        <v>0</v>
      </c>
      <c r="AJ703" s="411">
        <f t="shared" ref="AJ703" si="2103">AJ702</f>
        <v>0</v>
      </c>
      <c r="AK703" s="411">
        <f t="shared" ref="AK703" si="2104">AK702</f>
        <v>0</v>
      </c>
      <c r="AL703" s="411">
        <f t="shared" ref="AL703" si="2105">AL702</f>
        <v>0</v>
      </c>
      <c r="AM703" s="306"/>
    </row>
    <row r="704" spans="1:39" ht="15.5" hidden="1"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1" hidden="1"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5" hidden="1"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6">Z705</f>
        <v>0</v>
      </c>
      <c r="AA706" s="411">
        <f t="shared" ref="AA706" si="2107">AA705</f>
        <v>0</v>
      </c>
      <c r="AB706" s="411">
        <f t="shared" ref="AB706" si="2108">AB705</f>
        <v>0</v>
      </c>
      <c r="AC706" s="411">
        <f t="shared" ref="AC706" si="2109">AC705</f>
        <v>0</v>
      </c>
      <c r="AD706" s="411">
        <f t="shared" ref="AD706" si="2110">AD705</f>
        <v>0</v>
      </c>
      <c r="AE706" s="411">
        <f t="shared" ref="AE706" si="2111">AE705</f>
        <v>0</v>
      </c>
      <c r="AF706" s="411">
        <f t="shared" ref="AF706" si="2112">AF705</f>
        <v>0</v>
      </c>
      <c r="AG706" s="411">
        <f t="shared" ref="AG706" si="2113">AG705</f>
        <v>0</v>
      </c>
      <c r="AH706" s="411">
        <f t="shared" ref="AH706" si="2114">AH705</f>
        <v>0</v>
      </c>
      <c r="AI706" s="411">
        <f t="shared" ref="AI706" si="2115">AI705</f>
        <v>0</v>
      </c>
      <c r="AJ706" s="411">
        <f t="shared" ref="AJ706" si="2116">AJ705</f>
        <v>0</v>
      </c>
      <c r="AK706" s="411">
        <f t="shared" ref="AK706" si="2117">AK705</f>
        <v>0</v>
      </c>
      <c r="AL706" s="411">
        <f t="shared" ref="AL706" si="2118">AL705</f>
        <v>0</v>
      </c>
      <c r="AM706" s="306"/>
    </row>
    <row r="707" spans="1:39" ht="15.5" hidden="1"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15.5" hidden="1"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5.5" hidden="1"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19">Z708</f>
        <v>0</v>
      </c>
      <c r="AA709" s="411">
        <f t="shared" ref="AA709" si="2120">AA708</f>
        <v>0</v>
      </c>
      <c r="AB709" s="411">
        <f t="shared" ref="AB709" si="2121">AB708</f>
        <v>0</v>
      </c>
      <c r="AC709" s="411">
        <f t="shared" ref="AC709" si="2122">AC708</f>
        <v>0</v>
      </c>
      <c r="AD709" s="411">
        <f t="shared" ref="AD709" si="2123">AD708</f>
        <v>0</v>
      </c>
      <c r="AE709" s="411">
        <f t="shared" ref="AE709" si="2124">AE708</f>
        <v>0</v>
      </c>
      <c r="AF709" s="411">
        <f t="shared" ref="AF709" si="2125">AF708</f>
        <v>0</v>
      </c>
      <c r="AG709" s="411">
        <f t="shared" ref="AG709" si="2126">AG708</f>
        <v>0</v>
      </c>
      <c r="AH709" s="411">
        <f t="shared" ref="AH709" si="2127">AH708</f>
        <v>0</v>
      </c>
      <c r="AI709" s="411">
        <f t="shared" ref="AI709" si="2128">AI708</f>
        <v>0</v>
      </c>
      <c r="AJ709" s="411">
        <f t="shared" ref="AJ709" si="2129">AJ708</f>
        <v>0</v>
      </c>
      <c r="AK709" s="411">
        <f t="shared" ref="AK709" si="2130">AK708</f>
        <v>0</v>
      </c>
      <c r="AL709" s="411">
        <f t="shared" ref="AL709" si="2131">AL708</f>
        <v>0</v>
      </c>
      <c r="AM709" s="306"/>
    </row>
    <row r="710" spans="1:39" ht="15.5" hidden="1"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1" hidden="1"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5" hidden="1"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2">Z711</f>
        <v>0</v>
      </c>
      <c r="AA712" s="411">
        <f t="shared" ref="AA712" si="2133">AA711</f>
        <v>0</v>
      </c>
      <c r="AB712" s="411">
        <f t="shared" ref="AB712" si="2134">AB711</f>
        <v>0</v>
      </c>
      <c r="AC712" s="411">
        <f t="shared" ref="AC712" si="2135">AC711</f>
        <v>0</v>
      </c>
      <c r="AD712" s="411">
        <f t="shared" ref="AD712" si="2136">AD711</f>
        <v>0</v>
      </c>
      <c r="AE712" s="411">
        <f t="shared" ref="AE712" si="2137">AE711</f>
        <v>0</v>
      </c>
      <c r="AF712" s="411">
        <f t="shared" ref="AF712" si="2138">AF711</f>
        <v>0</v>
      </c>
      <c r="AG712" s="411">
        <f t="shared" ref="AG712" si="2139">AG711</f>
        <v>0</v>
      </c>
      <c r="AH712" s="411">
        <f t="shared" ref="AH712" si="2140">AH711</f>
        <v>0</v>
      </c>
      <c r="AI712" s="411">
        <f t="shared" ref="AI712" si="2141">AI711</f>
        <v>0</v>
      </c>
      <c r="AJ712" s="411">
        <f t="shared" ref="AJ712" si="2142">AJ711</f>
        <v>0</v>
      </c>
      <c r="AK712" s="411">
        <f t="shared" ref="AK712" si="2143">AK711</f>
        <v>0</v>
      </c>
      <c r="AL712" s="411">
        <f t="shared" ref="AL712" si="2144">AL711</f>
        <v>0</v>
      </c>
      <c r="AM712" s="306"/>
    </row>
    <row r="713" spans="1:39" ht="15.5" hidden="1"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1" hidden="1"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5" hidden="1"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5">Z714</f>
        <v>0</v>
      </c>
      <c r="AA715" s="411">
        <f t="shared" ref="AA715" si="2146">AA714</f>
        <v>0</v>
      </c>
      <c r="AB715" s="411">
        <f t="shared" ref="AB715" si="2147">AB714</f>
        <v>0</v>
      </c>
      <c r="AC715" s="411">
        <f t="shared" ref="AC715" si="2148">AC714</f>
        <v>0</v>
      </c>
      <c r="AD715" s="411">
        <f t="shared" ref="AD715" si="2149">AD714</f>
        <v>0</v>
      </c>
      <c r="AE715" s="411">
        <f t="shared" ref="AE715" si="2150">AE714</f>
        <v>0</v>
      </c>
      <c r="AF715" s="411">
        <f t="shared" ref="AF715" si="2151">AF714</f>
        <v>0</v>
      </c>
      <c r="AG715" s="411">
        <f t="shared" ref="AG715" si="2152">AG714</f>
        <v>0</v>
      </c>
      <c r="AH715" s="411">
        <f t="shared" ref="AH715" si="2153">AH714</f>
        <v>0</v>
      </c>
      <c r="AI715" s="411">
        <f t="shared" ref="AI715" si="2154">AI714</f>
        <v>0</v>
      </c>
      <c r="AJ715" s="411">
        <f t="shared" ref="AJ715" si="2155">AJ714</f>
        <v>0</v>
      </c>
      <c r="AK715" s="411">
        <f t="shared" ref="AK715" si="2156">AK714</f>
        <v>0</v>
      </c>
      <c r="AL715" s="411">
        <f t="shared" ref="AL715" si="2157">AL714</f>
        <v>0</v>
      </c>
      <c r="AM715" s="306"/>
    </row>
    <row r="716" spans="1:39" ht="15.5" hidden="1"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6.5" hidden="1"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5" hidden="1"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58">Z717</f>
        <v>0</v>
      </c>
      <c r="AA718" s="411">
        <f t="shared" ref="AA718" si="2159">AA717</f>
        <v>0</v>
      </c>
      <c r="AB718" s="411">
        <f t="shared" ref="AB718" si="2160">AB717</f>
        <v>0</v>
      </c>
      <c r="AC718" s="411">
        <f t="shared" ref="AC718" si="2161">AC717</f>
        <v>0</v>
      </c>
      <c r="AD718" s="411">
        <f t="shared" ref="AD718" si="2162">AD717</f>
        <v>0</v>
      </c>
      <c r="AE718" s="411">
        <f t="shared" ref="AE718" si="2163">AE717</f>
        <v>0</v>
      </c>
      <c r="AF718" s="411">
        <f t="shared" ref="AF718" si="2164">AF717</f>
        <v>0</v>
      </c>
      <c r="AG718" s="411">
        <f t="shared" ref="AG718" si="2165">AG717</f>
        <v>0</v>
      </c>
      <c r="AH718" s="411">
        <f t="shared" ref="AH718" si="2166">AH717</f>
        <v>0</v>
      </c>
      <c r="AI718" s="411">
        <f t="shared" ref="AI718" si="2167">AI717</f>
        <v>0</v>
      </c>
      <c r="AJ718" s="411">
        <f t="shared" ref="AJ718" si="2168">AJ717</f>
        <v>0</v>
      </c>
      <c r="AK718" s="411">
        <f t="shared" ref="AK718" si="2169">AK717</f>
        <v>0</v>
      </c>
      <c r="AL718" s="411">
        <f t="shared" ref="AL718" si="2170">AL717</f>
        <v>0</v>
      </c>
      <c r="AM718" s="306"/>
    </row>
    <row r="719" spans="1:39" ht="15.5" hidden="1"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31" hidden="1"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5" hidden="1"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1">Z720</f>
        <v>0</v>
      </c>
      <c r="AA721" s="411">
        <f t="shared" ref="AA721" si="2172">AA720</f>
        <v>0</v>
      </c>
      <c r="AB721" s="411">
        <f t="shared" ref="AB721" si="2173">AB720</f>
        <v>0</v>
      </c>
      <c r="AC721" s="411">
        <f t="shared" ref="AC721" si="2174">AC720</f>
        <v>0</v>
      </c>
      <c r="AD721" s="411">
        <f t="shared" ref="AD721" si="2175">AD720</f>
        <v>0</v>
      </c>
      <c r="AE721" s="411">
        <f t="shared" ref="AE721" si="2176">AE720</f>
        <v>0</v>
      </c>
      <c r="AF721" s="411">
        <f t="shared" ref="AF721" si="2177">AF720</f>
        <v>0</v>
      </c>
      <c r="AG721" s="411">
        <f t="shared" ref="AG721" si="2178">AG720</f>
        <v>0</v>
      </c>
      <c r="AH721" s="411">
        <f t="shared" ref="AH721" si="2179">AH720</f>
        <v>0</v>
      </c>
      <c r="AI721" s="411">
        <f t="shared" ref="AI721" si="2180">AI720</f>
        <v>0</v>
      </c>
      <c r="AJ721" s="411">
        <f t="shared" ref="AJ721" si="2181">AJ720</f>
        <v>0</v>
      </c>
      <c r="AK721" s="411">
        <f t="shared" ref="AK721" si="2182">AK720</f>
        <v>0</v>
      </c>
      <c r="AL721" s="411">
        <f t="shared" ref="AL721" si="2183">AL720</f>
        <v>0</v>
      </c>
      <c r="AM721" s="306"/>
    </row>
    <row r="722" spans="1:39" ht="15.5" hidden="1"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15.5" hidden="1"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5" hidden="1"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4">Z723</f>
        <v>0</v>
      </c>
      <c r="AA724" s="411">
        <f t="shared" ref="AA724" si="2185">AA723</f>
        <v>0</v>
      </c>
      <c r="AB724" s="411">
        <f t="shared" ref="AB724" si="2186">AB723</f>
        <v>0</v>
      </c>
      <c r="AC724" s="411">
        <f t="shared" ref="AC724" si="2187">AC723</f>
        <v>0</v>
      </c>
      <c r="AD724" s="411">
        <f t="shared" ref="AD724" si="2188">AD723</f>
        <v>0</v>
      </c>
      <c r="AE724" s="411">
        <f t="shared" ref="AE724" si="2189">AE723</f>
        <v>0</v>
      </c>
      <c r="AF724" s="411">
        <f t="shared" ref="AF724" si="2190">AF723</f>
        <v>0</v>
      </c>
      <c r="AG724" s="411">
        <f t="shared" ref="AG724" si="2191">AG723</f>
        <v>0</v>
      </c>
      <c r="AH724" s="411">
        <f t="shared" ref="AH724" si="2192">AH723</f>
        <v>0</v>
      </c>
      <c r="AI724" s="411">
        <f t="shared" ref="AI724" si="2193">AI723</f>
        <v>0</v>
      </c>
      <c r="AJ724" s="411">
        <f t="shared" ref="AJ724" si="2194">AJ723</f>
        <v>0</v>
      </c>
      <c r="AK724" s="411">
        <f t="shared" ref="AK724" si="2195">AK723</f>
        <v>0</v>
      </c>
      <c r="AL724" s="411">
        <f t="shared" ref="AL724" si="2196">AL723</f>
        <v>0</v>
      </c>
      <c r="AM724" s="306"/>
    </row>
    <row r="725" spans="1:39" ht="15.5" hidden="1"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6.5" hidden="1"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5" hidden="1"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7">Z726</f>
        <v>0</v>
      </c>
      <c r="AA727" s="411">
        <f t="shared" ref="AA727" si="2198">AA726</f>
        <v>0</v>
      </c>
      <c r="AB727" s="411">
        <f t="shared" ref="AB727" si="2199">AB726</f>
        <v>0</v>
      </c>
      <c r="AC727" s="411">
        <f t="shared" ref="AC727" si="2200">AC726</f>
        <v>0</v>
      </c>
      <c r="AD727" s="411">
        <f t="shared" ref="AD727" si="2201">AD726</f>
        <v>0</v>
      </c>
      <c r="AE727" s="411">
        <f t="shared" ref="AE727" si="2202">AE726</f>
        <v>0</v>
      </c>
      <c r="AF727" s="411">
        <f t="shared" ref="AF727" si="2203">AF726</f>
        <v>0</v>
      </c>
      <c r="AG727" s="411">
        <f t="shared" ref="AG727" si="2204">AG726</f>
        <v>0</v>
      </c>
      <c r="AH727" s="411">
        <f t="shared" ref="AH727" si="2205">AH726</f>
        <v>0</v>
      </c>
      <c r="AI727" s="411">
        <f t="shared" ref="AI727" si="2206">AI726</f>
        <v>0</v>
      </c>
      <c r="AJ727" s="411">
        <f t="shared" ref="AJ727" si="2207">AJ726</f>
        <v>0</v>
      </c>
      <c r="AK727" s="411">
        <f t="shared" ref="AK727" si="2208">AK726</f>
        <v>0</v>
      </c>
      <c r="AL727" s="411">
        <f t="shared" ref="AL727" si="2209">AL726</f>
        <v>0</v>
      </c>
      <c r="AM727" s="306"/>
    </row>
    <row r="728" spans="1:39" ht="15.5" hidden="1"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1" hidden="1"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t="15.5" hidden="1"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0">Z729</f>
        <v>0</v>
      </c>
      <c r="AA730" s="411">
        <f t="shared" ref="AA730" si="2211">AA729</f>
        <v>0</v>
      </c>
      <c r="AB730" s="411">
        <f t="shared" ref="AB730" si="2212">AB729</f>
        <v>0</v>
      </c>
      <c r="AC730" s="411">
        <f t="shared" ref="AC730" si="2213">AC729</f>
        <v>0</v>
      </c>
      <c r="AD730" s="411">
        <f t="shared" ref="AD730" si="2214">AD729</f>
        <v>0</v>
      </c>
      <c r="AE730" s="411">
        <f t="shared" ref="AE730" si="2215">AE729</f>
        <v>0</v>
      </c>
      <c r="AF730" s="411">
        <f t="shared" ref="AF730" si="2216">AF729</f>
        <v>0</v>
      </c>
      <c r="AG730" s="411">
        <f t="shared" ref="AG730" si="2217">AG729</f>
        <v>0</v>
      </c>
      <c r="AH730" s="411">
        <f t="shared" ref="AH730" si="2218">AH729</f>
        <v>0</v>
      </c>
      <c r="AI730" s="411">
        <f t="shared" ref="AI730" si="2219">AI729</f>
        <v>0</v>
      </c>
      <c r="AJ730" s="411">
        <f t="shared" ref="AJ730" si="2220">AJ729</f>
        <v>0</v>
      </c>
      <c r="AK730" s="411">
        <f t="shared" ref="AK730" si="2221">AK729</f>
        <v>0</v>
      </c>
      <c r="AL730" s="411">
        <f t="shared" ref="AL730" si="2222">AL729</f>
        <v>0</v>
      </c>
      <c r="AM730" s="306"/>
    </row>
    <row r="731" spans="1:39" ht="15.5" hidden="1"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1" hidden="1"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t="15.5" hidden="1"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3">Z732</f>
        <v>0</v>
      </c>
      <c r="AA733" s="411">
        <f t="shared" ref="AA733" si="2224">AA732</f>
        <v>0</v>
      </c>
      <c r="AB733" s="411">
        <f t="shared" ref="AB733" si="2225">AB732</f>
        <v>0</v>
      </c>
      <c r="AC733" s="411">
        <f t="shared" ref="AC733" si="2226">AC732</f>
        <v>0</v>
      </c>
      <c r="AD733" s="411">
        <f t="shared" ref="AD733" si="2227">AD732</f>
        <v>0</v>
      </c>
      <c r="AE733" s="411">
        <f t="shared" ref="AE733" si="2228">AE732</f>
        <v>0</v>
      </c>
      <c r="AF733" s="411">
        <f t="shared" ref="AF733" si="2229">AF732</f>
        <v>0</v>
      </c>
      <c r="AG733" s="411">
        <f t="shared" ref="AG733" si="2230">AG732</f>
        <v>0</v>
      </c>
      <c r="AH733" s="411">
        <f t="shared" ref="AH733" si="2231">AH732</f>
        <v>0</v>
      </c>
      <c r="AI733" s="411">
        <f t="shared" ref="AI733" si="2232">AI732</f>
        <v>0</v>
      </c>
      <c r="AJ733" s="411">
        <f t="shared" ref="AJ733" si="2233">AJ732</f>
        <v>0</v>
      </c>
      <c r="AK733" s="411">
        <f t="shared" ref="AK733" si="2234">AK732</f>
        <v>0</v>
      </c>
      <c r="AL733" s="411">
        <f t="shared" ref="AL733" si="2235">AL732</f>
        <v>0</v>
      </c>
      <c r="AM733" s="306"/>
    </row>
    <row r="734" spans="1:39" ht="15.5" hidden="1"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1" hidden="1"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5" hidden="1"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6">Z735</f>
        <v>0</v>
      </c>
      <c r="AA736" s="411">
        <f t="shared" ref="AA736" si="2237">AA735</f>
        <v>0</v>
      </c>
      <c r="AB736" s="411">
        <f t="shared" ref="AB736" si="2238">AB735</f>
        <v>0</v>
      </c>
      <c r="AC736" s="411">
        <f t="shared" ref="AC736" si="2239">AC735</f>
        <v>0</v>
      </c>
      <c r="AD736" s="411">
        <f t="shared" ref="AD736" si="2240">AD735</f>
        <v>0</v>
      </c>
      <c r="AE736" s="411">
        <f t="shared" ref="AE736" si="2241">AE735</f>
        <v>0</v>
      </c>
      <c r="AF736" s="411">
        <f t="shared" ref="AF736" si="2242">AF735</f>
        <v>0</v>
      </c>
      <c r="AG736" s="411">
        <f t="shared" ref="AG736" si="2243">AG735</f>
        <v>0</v>
      </c>
      <c r="AH736" s="411">
        <f t="shared" ref="AH736" si="2244">AH735</f>
        <v>0</v>
      </c>
      <c r="AI736" s="411">
        <f t="shared" ref="AI736" si="2245">AI735</f>
        <v>0</v>
      </c>
      <c r="AJ736" s="411">
        <f t="shared" ref="AJ736" si="2246">AJ735</f>
        <v>0</v>
      </c>
      <c r="AK736" s="411">
        <f t="shared" ref="AK736" si="2247">AK735</f>
        <v>0</v>
      </c>
      <c r="AL736" s="411">
        <f t="shared" ref="AL736" si="2248">AL735</f>
        <v>0</v>
      </c>
      <c r="AM736" s="306"/>
    </row>
    <row r="737" spans="1:40" ht="15.5" hidden="1"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1" hidden="1"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5" hidden="1"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49">Z738</f>
        <v>0</v>
      </c>
      <c r="AA739" s="411">
        <f t="shared" ref="AA739" si="2250">AA738</f>
        <v>0</v>
      </c>
      <c r="AB739" s="411">
        <f t="shared" ref="AB739" si="2251">AB738</f>
        <v>0</v>
      </c>
      <c r="AC739" s="411">
        <f t="shared" ref="AC739" si="2252">AC738</f>
        <v>0</v>
      </c>
      <c r="AD739" s="411">
        <f t="shared" ref="AD739" si="2253">AD738</f>
        <v>0</v>
      </c>
      <c r="AE739" s="411">
        <f t="shared" ref="AE739" si="2254">AE738</f>
        <v>0</v>
      </c>
      <c r="AF739" s="411">
        <f t="shared" ref="AF739" si="2255">AF738</f>
        <v>0</v>
      </c>
      <c r="AG739" s="411">
        <f t="shared" ref="AG739" si="2256">AG738</f>
        <v>0</v>
      </c>
      <c r="AH739" s="411">
        <f t="shared" ref="AH739" si="2257">AH738</f>
        <v>0</v>
      </c>
      <c r="AI739" s="411">
        <f t="shared" ref="AI739" si="2258">AI738</f>
        <v>0</v>
      </c>
      <c r="AJ739" s="411">
        <f t="shared" ref="AJ739" si="2259">AJ738</f>
        <v>0</v>
      </c>
      <c r="AK739" s="411">
        <f t="shared" ref="AK739" si="2260">AK738</f>
        <v>0</v>
      </c>
      <c r="AL739" s="411">
        <f t="shared" ref="AL739" si="2261">AL738</f>
        <v>0</v>
      </c>
      <c r="AM739" s="306"/>
    </row>
    <row r="740" spans="1:40" ht="15.5" hidden="1"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1" hidden="1"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5" hidden="1"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2">Z741</f>
        <v>0</v>
      </c>
      <c r="AA742" s="411">
        <f t="shared" ref="AA742" si="2263">AA741</f>
        <v>0</v>
      </c>
      <c r="AB742" s="411">
        <f t="shared" ref="AB742" si="2264">AB741</f>
        <v>0</v>
      </c>
      <c r="AC742" s="411">
        <f t="shared" ref="AC742" si="2265">AC741</f>
        <v>0</v>
      </c>
      <c r="AD742" s="411">
        <f t="shared" ref="AD742" si="2266">AD741</f>
        <v>0</v>
      </c>
      <c r="AE742" s="411">
        <f t="shared" ref="AE742" si="2267">AE741</f>
        <v>0</v>
      </c>
      <c r="AF742" s="411">
        <f t="shared" ref="AF742" si="2268">AF741</f>
        <v>0</v>
      </c>
      <c r="AG742" s="411">
        <f t="shared" ref="AG742" si="2269">AG741</f>
        <v>0</v>
      </c>
      <c r="AH742" s="411">
        <f t="shared" ref="AH742" si="2270">AH741</f>
        <v>0</v>
      </c>
      <c r="AI742" s="411">
        <f t="shared" ref="AI742" si="2271">AI741</f>
        <v>0</v>
      </c>
      <c r="AJ742" s="411">
        <f t="shared" ref="AJ742" si="2272">AJ741</f>
        <v>0</v>
      </c>
      <c r="AK742" s="411">
        <f t="shared" ref="AK742" si="2273">AK741</f>
        <v>0</v>
      </c>
      <c r="AL742" s="411">
        <f t="shared" ref="AL742" si="2274">AL741</f>
        <v>0</v>
      </c>
      <c r="AM742" s="306"/>
    </row>
    <row r="743" spans="1:40" ht="15.5" hidden="1"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5" collapsed="1">
      <c r="B744" s="327" t="s">
        <v>311</v>
      </c>
      <c r="C744" s="329"/>
      <c r="D744" s="329">
        <f>SUM(D587:D742)</f>
        <v>5389061.5732151251</v>
      </c>
      <c r="E744" s="329"/>
      <c r="F744" s="329"/>
      <c r="G744" s="329"/>
      <c r="H744" s="329"/>
      <c r="I744" s="329"/>
      <c r="J744" s="329"/>
      <c r="K744" s="329"/>
      <c r="L744" s="329"/>
      <c r="M744" s="329"/>
      <c r="N744" s="329"/>
      <c r="O744" s="329">
        <f>SUM(O587:O742)</f>
        <v>716.68714315184354</v>
      </c>
      <c r="P744" s="329"/>
      <c r="Q744" s="329"/>
      <c r="R744" s="329"/>
      <c r="S744" s="329"/>
      <c r="T744" s="329"/>
      <c r="U744" s="329"/>
      <c r="V744" s="329"/>
      <c r="W744" s="329"/>
      <c r="X744" s="329"/>
      <c r="Y744" s="329">
        <f>IF(Y585="kWh",SUMPRODUCT(D587:D742,Y587:Y742))</f>
        <v>3211983.7120835511</v>
      </c>
      <c r="Z744" s="329">
        <f>IF(Z585="kWh",SUMPRODUCT(D587:D742,Z587:Z742))</f>
        <v>879501.87504477438</v>
      </c>
      <c r="AA744" s="329">
        <f>IF(AA585="kw",SUMPRODUCT(N587:N742,O587:O742,AA587:AA742),SUMPRODUCT(D587:D742,AA587:AA742))</f>
        <v>3536.4129822449463</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17145054.172324412</v>
      </c>
      <c r="Z745" s="392">
        <f>HLOOKUP(Z401,'2. LRAMVA Threshold'!$B$42:$Q$53,10,FALSE)</f>
        <v>4579515.8201208208</v>
      </c>
      <c r="AA745" s="392">
        <f>HLOOKUP(AA401,'2. LRAMVA Threshold'!$B$42:$Q$53,10,FALSE)</f>
        <v>28851.34574581933</v>
      </c>
      <c r="AB745" s="392">
        <f>HLOOKUP(AB401,'2. LRAMVA Threshold'!$B$42:$Q$53,10,FALSE)</f>
        <v>6145.9107043330914</v>
      </c>
      <c r="AC745" s="392">
        <f>HLOOKUP(AC401,'2. LRAMVA Threshold'!$B$42:$Q$53,10,FALSE)</f>
        <v>3419.406634393255</v>
      </c>
      <c r="AD745" s="392">
        <f>HLOOKUP(AD401,'2. LRAMVA Threshold'!$B$42:$Q$53,10,FALSE)</f>
        <v>12760</v>
      </c>
      <c r="AE745" s="392">
        <f>HLOOKUP(AE401,'2. LRAMVA Threshold'!$B$42:$Q$53,10,FALSE)</f>
        <v>93064.258959013459</v>
      </c>
      <c r="AF745" s="392">
        <f>HLOOKUP(AF401,'2. LRAMVA Threshold'!$B$42:$Q$53,10,FALSE)</f>
        <v>3.1324514791794362</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ht="15.5">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ht="15.5">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7.6E-3</v>
      </c>
      <c r="Z747" s="341">
        <f>HLOOKUP(Z$35,'3.  Distribution Rates'!$C$122:$P$133,10,FALSE)</f>
        <v>1.67E-2</v>
      </c>
      <c r="AA747" s="341">
        <f>HLOOKUP(AA$35,'3.  Distribution Rates'!$C$122:$P$133,10,FALSE)</f>
        <v>4.7229999999999999</v>
      </c>
      <c r="AB747" s="341">
        <f>HLOOKUP(AB$35,'3.  Distribution Rates'!$C$122:$P$133,10,FALSE)</f>
        <v>2.4885000000000002</v>
      </c>
      <c r="AC747" s="341">
        <f>HLOOKUP(AC$35,'3.  Distribution Rates'!$C$122:$P$133,10,FALSE)</f>
        <v>2.1497000000000002</v>
      </c>
      <c r="AD747" s="341">
        <f>HLOOKUP(AD$35,'3.  Distribution Rates'!$C$122:$P$133,10,FALSE)</f>
        <v>30.683299999999999</v>
      </c>
      <c r="AE747" s="341">
        <f>HLOOKUP(AE$35,'3.  Distribution Rates'!$C$122:$P$133,10,FALSE)</f>
        <v>1.8800000000000001E-2</v>
      </c>
      <c r="AF747" s="341">
        <f>HLOOKUP(AF$35,'3.  Distribution Rates'!$C$122:$P$133,10,FALSE)</f>
        <v>7.9340999999999999</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ht="15.5">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75">SUM(Y748:AL748)</f>
        <v>0</v>
      </c>
      <c r="AN748" s="443"/>
    </row>
    <row r="749" spans="1:40" ht="15.5">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75"/>
        <v>0</v>
      </c>
      <c r="AN749" s="443"/>
    </row>
    <row r="750" spans="1:40" ht="15.5">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5"/>
        <v>0</v>
      </c>
      <c r="AN750" s="443"/>
    </row>
    <row r="751" spans="1:40" ht="15.5">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5"/>
        <v>0</v>
      </c>
      <c r="AN751" s="443"/>
    </row>
    <row r="752" spans="1:40" ht="15.5">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6">Y210*Y747</f>
        <v>26177.804800000002</v>
      </c>
      <c r="Z752" s="378">
        <f t="shared" si="2276"/>
        <v>17119.077482000001</v>
      </c>
      <c r="AA752" s="378">
        <f t="shared" si="2276"/>
        <v>11294.39328</v>
      </c>
      <c r="AB752" s="378">
        <f t="shared" si="2276"/>
        <v>23854.960080000001</v>
      </c>
      <c r="AC752" s="378">
        <f t="shared" si="2276"/>
        <v>0</v>
      </c>
      <c r="AD752" s="378">
        <f t="shared" si="2276"/>
        <v>0</v>
      </c>
      <c r="AE752" s="378">
        <f t="shared" si="2276"/>
        <v>0</v>
      </c>
      <c r="AF752" s="378">
        <f t="shared" si="2276"/>
        <v>0</v>
      </c>
      <c r="AG752" s="378">
        <f t="shared" si="2276"/>
        <v>0</v>
      </c>
      <c r="AH752" s="378">
        <f t="shared" si="2276"/>
        <v>0</v>
      </c>
      <c r="AI752" s="378">
        <f t="shared" si="2276"/>
        <v>0</v>
      </c>
      <c r="AJ752" s="378">
        <f t="shared" si="2276"/>
        <v>0</v>
      </c>
      <c r="AK752" s="378">
        <f t="shared" si="2276"/>
        <v>0</v>
      </c>
      <c r="AL752" s="378">
        <f t="shared" si="2276"/>
        <v>0</v>
      </c>
      <c r="AM752" s="629">
        <f t="shared" si="2275"/>
        <v>78446.235642000014</v>
      </c>
      <c r="AN752" s="443"/>
    </row>
    <row r="753" spans="1:40" ht="15.5">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7">Y393*Y747</f>
        <v>71135.597200000004</v>
      </c>
      <c r="Z753" s="378">
        <f t="shared" si="2277"/>
        <v>40345.300374999999</v>
      </c>
      <c r="AA753" s="378">
        <f t="shared" si="2277"/>
        <v>13595.43888</v>
      </c>
      <c r="AB753" s="378">
        <f t="shared" si="2277"/>
        <v>2549.6175600000001</v>
      </c>
      <c r="AC753" s="378">
        <f t="shared" si="2277"/>
        <v>0</v>
      </c>
      <c r="AD753" s="378">
        <f t="shared" si="2277"/>
        <v>29880.011205999999</v>
      </c>
      <c r="AE753" s="378">
        <f t="shared" si="2277"/>
        <v>0</v>
      </c>
      <c r="AF753" s="378">
        <f t="shared" si="2277"/>
        <v>0</v>
      </c>
      <c r="AG753" s="378">
        <f t="shared" si="2277"/>
        <v>0</v>
      </c>
      <c r="AH753" s="378">
        <f t="shared" si="2277"/>
        <v>0</v>
      </c>
      <c r="AI753" s="378">
        <f t="shared" si="2277"/>
        <v>0</v>
      </c>
      <c r="AJ753" s="378">
        <f t="shared" si="2277"/>
        <v>0</v>
      </c>
      <c r="AK753" s="378">
        <f t="shared" si="2277"/>
        <v>0</v>
      </c>
      <c r="AL753" s="378">
        <f t="shared" si="2277"/>
        <v>0</v>
      </c>
      <c r="AM753" s="629">
        <f t="shared" si="2275"/>
        <v>157505.96522100002</v>
      </c>
      <c r="AN753" s="443"/>
    </row>
    <row r="754" spans="1:40" ht="15.5">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8">Y576*Y747</f>
        <v>99868.879199999996</v>
      </c>
      <c r="Z754" s="378">
        <f t="shared" si="2278"/>
        <v>26441.231241999998</v>
      </c>
      <c r="AA754" s="378">
        <f t="shared" si="2278"/>
        <v>24538.440959999996</v>
      </c>
      <c r="AB754" s="378">
        <f t="shared" si="2278"/>
        <v>0</v>
      </c>
      <c r="AC754" s="378">
        <f t="shared" si="2278"/>
        <v>853.86084000000017</v>
      </c>
      <c r="AD754" s="378">
        <f t="shared" si="2278"/>
        <v>468188.497042</v>
      </c>
      <c r="AE754" s="378">
        <f t="shared" si="2278"/>
        <v>0</v>
      </c>
      <c r="AF754" s="378">
        <f t="shared" si="2278"/>
        <v>0</v>
      </c>
      <c r="AG754" s="378">
        <f t="shared" si="2278"/>
        <v>0</v>
      </c>
      <c r="AH754" s="378">
        <f t="shared" si="2278"/>
        <v>0</v>
      </c>
      <c r="AI754" s="378">
        <f t="shared" si="2278"/>
        <v>0</v>
      </c>
      <c r="AJ754" s="378">
        <f t="shared" si="2278"/>
        <v>0</v>
      </c>
      <c r="AK754" s="378">
        <f t="shared" si="2278"/>
        <v>0</v>
      </c>
      <c r="AL754" s="378">
        <f t="shared" si="2278"/>
        <v>0</v>
      </c>
      <c r="AM754" s="629">
        <f t="shared" si="2275"/>
        <v>619890.90928400005</v>
      </c>
      <c r="AN754" s="443"/>
    </row>
    <row r="755" spans="1:40" ht="15.5">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24411.076211834988</v>
      </c>
      <c r="Z755" s="378">
        <f t="shared" ref="Z755:AL755" si="2279">Z744*Z747</f>
        <v>14687.681313247731</v>
      </c>
      <c r="AA755" s="378">
        <f t="shared" si="2279"/>
        <v>16702.47851514288</v>
      </c>
      <c r="AB755" s="378">
        <f t="shared" si="2279"/>
        <v>0</v>
      </c>
      <c r="AC755" s="378">
        <f t="shared" si="2279"/>
        <v>0</v>
      </c>
      <c r="AD755" s="378">
        <f t="shared" si="2279"/>
        <v>0</v>
      </c>
      <c r="AE755" s="378">
        <f t="shared" si="2279"/>
        <v>0</v>
      </c>
      <c r="AF755" s="378">
        <f t="shared" si="2279"/>
        <v>0</v>
      </c>
      <c r="AG755" s="378">
        <f t="shared" si="2279"/>
        <v>0</v>
      </c>
      <c r="AH755" s="378">
        <f t="shared" si="2279"/>
        <v>0</v>
      </c>
      <c r="AI755" s="378">
        <f t="shared" si="2279"/>
        <v>0</v>
      </c>
      <c r="AJ755" s="378">
        <f t="shared" si="2279"/>
        <v>0</v>
      </c>
      <c r="AK755" s="378">
        <f t="shared" si="2279"/>
        <v>0</v>
      </c>
      <c r="AL755" s="378">
        <f t="shared" si="2279"/>
        <v>0</v>
      </c>
      <c r="AM755" s="629">
        <f t="shared" si="2275"/>
        <v>55801.236040225602</v>
      </c>
      <c r="AN755" s="443"/>
    </row>
    <row r="756" spans="1:40" ht="15.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221593.35741183499</v>
      </c>
      <c r="Z756" s="346">
        <f>SUM(Z748:Z755)</f>
        <v>98593.290412247719</v>
      </c>
      <c r="AA756" s="346">
        <f t="shared" ref="AA756:AE756" si="2280">SUM(AA748:AA755)</f>
        <v>66130.751635142879</v>
      </c>
      <c r="AB756" s="346">
        <f t="shared" si="2280"/>
        <v>26404.57764</v>
      </c>
      <c r="AC756" s="346">
        <f t="shared" si="2280"/>
        <v>853.86084000000017</v>
      </c>
      <c r="AD756" s="346">
        <f t="shared" si="2280"/>
        <v>498068.508248</v>
      </c>
      <c r="AE756" s="346">
        <f t="shared" si="2280"/>
        <v>0</v>
      </c>
      <c r="AF756" s="346">
        <f t="shared" ref="AF756:AL756" si="2281">SUM(AF748:AF755)</f>
        <v>0</v>
      </c>
      <c r="AG756" s="346">
        <f t="shared" si="2281"/>
        <v>0</v>
      </c>
      <c r="AH756" s="346">
        <f t="shared" si="2281"/>
        <v>0</v>
      </c>
      <c r="AI756" s="346">
        <f t="shared" si="2281"/>
        <v>0</v>
      </c>
      <c r="AJ756" s="346">
        <f t="shared" si="2281"/>
        <v>0</v>
      </c>
      <c r="AK756" s="346">
        <f t="shared" si="2281"/>
        <v>0</v>
      </c>
      <c r="AL756" s="346">
        <f t="shared" si="2281"/>
        <v>0</v>
      </c>
      <c r="AM756" s="407">
        <f>SUM(AM748:AM755)</f>
        <v>911644.34618722566</v>
      </c>
      <c r="AN756" s="443"/>
    </row>
    <row r="757" spans="1:40" ht="15.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130302.41170966552</v>
      </c>
      <c r="Z757" s="347">
        <f t="shared" ref="Z757:AE757" si="2282">Z745*Z747</f>
        <v>76477.914196017708</v>
      </c>
      <c r="AA757" s="347">
        <f t="shared" si="2282"/>
        <v>136264.9059575047</v>
      </c>
      <c r="AB757" s="347">
        <f t="shared" si="2282"/>
        <v>15294.098787732899</v>
      </c>
      <c r="AC757" s="347">
        <f t="shared" si="2282"/>
        <v>7350.6984419551809</v>
      </c>
      <c r="AD757" s="347">
        <f t="shared" si="2282"/>
        <v>391518.908</v>
      </c>
      <c r="AE757" s="347">
        <f t="shared" si="2282"/>
        <v>1749.6080684294532</v>
      </c>
      <c r="AF757" s="347">
        <f t="shared" ref="AF757:AL757" si="2283">AF745*AF747</f>
        <v>24.853183280957566</v>
      </c>
      <c r="AG757" s="347">
        <f t="shared" si="2283"/>
        <v>0</v>
      </c>
      <c r="AH757" s="347">
        <f t="shared" si="2283"/>
        <v>0</v>
      </c>
      <c r="AI757" s="347">
        <f t="shared" si="2283"/>
        <v>0</v>
      </c>
      <c r="AJ757" s="347">
        <f t="shared" si="2283"/>
        <v>0</v>
      </c>
      <c r="AK757" s="347">
        <f t="shared" si="2283"/>
        <v>0</v>
      </c>
      <c r="AL757" s="347">
        <f t="shared" si="2283"/>
        <v>0</v>
      </c>
      <c r="AM757" s="407">
        <f>SUM(Y757:AL757)</f>
        <v>758983.39834458637</v>
      </c>
      <c r="AN757" s="443"/>
    </row>
    <row r="758" spans="1:40" ht="15.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152660.94784263929</v>
      </c>
      <c r="AN758" s="443"/>
    </row>
    <row r="759" spans="1:40" ht="15.5">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ht="15.5">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3188821</v>
      </c>
      <c r="Z760" s="291">
        <f>SUMPRODUCT(E587:E742,Z587:Z742)</f>
        <v>798454.99999999988</v>
      </c>
      <c r="AA760" s="291">
        <f t="shared" ref="AA760:AL760" si="2284">IF(AA585="kw",SUMPRODUCT($N$587:$N$742,$P$587:$P$742,AA587:AA742),SUMPRODUCT($E$587:$E$742,AA587:AA742))</f>
        <v>3452.9149547722282</v>
      </c>
      <c r="AB760" s="291">
        <f t="shared" si="2284"/>
        <v>0</v>
      </c>
      <c r="AC760" s="291">
        <f t="shared" si="2284"/>
        <v>0</v>
      </c>
      <c r="AD760" s="291">
        <f t="shared" si="2284"/>
        <v>0</v>
      </c>
      <c r="AE760" s="291">
        <f t="shared" si="2284"/>
        <v>0</v>
      </c>
      <c r="AF760" s="291">
        <f t="shared" si="2284"/>
        <v>0</v>
      </c>
      <c r="AG760" s="291">
        <f t="shared" si="2284"/>
        <v>0</v>
      </c>
      <c r="AH760" s="291">
        <f t="shared" si="2284"/>
        <v>0</v>
      </c>
      <c r="AI760" s="291">
        <f t="shared" si="2284"/>
        <v>0</v>
      </c>
      <c r="AJ760" s="291">
        <f t="shared" si="2284"/>
        <v>0</v>
      </c>
      <c r="AK760" s="291">
        <f t="shared" si="2284"/>
        <v>0</v>
      </c>
      <c r="AL760" s="291">
        <f t="shared" si="2284"/>
        <v>0</v>
      </c>
      <c r="AM760" s="337"/>
    </row>
    <row r="761" spans="1:40" ht="15.5">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3188821</v>
      </c>
      <c r="Z761" s="326">
        <f>SUMPRODUCT(F587:F742,Z587:Z742)</f>
        <v>798454.99999999988</v>
      </c>
      <c r="AA761" s="326">
        <f t="shared" ref="AA761:AL761" si="2285">IF(AA585="kw",SUMPRODUCT($N$587:$N$742,$Q$587:$Q$742,AA587:AA742),SUMPRODUCT($F$587:$F$742,AA587:AA742))</f>
        <v>3452.9149547722282</v>
      </c>
      <c r="AB761" s="326">
        <f t="shared" si="2285"/>
        <v>0</v>
      </c>
      <c r="AC761" s="326">
        <f t="shared" si="2285"/>
        <v>0</v>
      </c>
      <c r="AD761" s="326">
        <f t="shared" si="2285"/>
        <v>0</v>
      </c>
      <c r="AE761" s="326">
        <f t="shared" si="2285"/>
        <v>0</v>
      </c>
      <c r="AF761" s="326">
        <f t="shared" si="2285"/>
        <v>0</v>
      </c>
      <c r="AG761" s="326">
        <f t="shared" si="2285"/>
        <v>0</v>
      </c>
      <c r="AH761" s="326">
        <f t="shared" si="2285"/>
        <v>0</v>
      </c>
      <c r="AI761" s="326">
        <f t="shared" si="2285"/>
        <v>0</v>
      </c>
      <c r="AJ761" s="326">
        <f t="shared" si="2285"/>
        <v>0</v>
      </c>
      <c r="AK761" s="326">
        <f t="shared" si="2285"/>
        <v>0</v>
      </c>
      <c r="AL761" s="326">
        <f t="shared" si="2285"/>
        <v>0</v>
      </c>
      <c r="AM761" s="386"/>
    </row>
    <row r="762" spans="1:40" ht="20.25" customHeight="1">
      <c r="B762" s="368" t="s">
        <v>588</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5">
      <c r="B765" s="280" t="s">
        <v>327</v>
      </c>
      <c r="C765" s="281"/>
      <c r="D765" s="590" t="s">
        <v>526</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921" t="s">
        <v>211</v>
      </c>
      <c r="C766" s="923" t="s">
        <v>33</v>
      </c>
      <c r="D766" s="284" t="s">
        <v>422</v>
      </c>
      <c r="E766" s="925" t="s">
        <v>209</v>
      </c>
      <c r="F766" s="926"/>
      <c r="G766" s="926"/>
      <c r="H766" s="926"/>
      <c r="I766" s="926"/>
      <c r="J766" s="926"/>
      <c r="K766" s="926"/>
      <c r="L766" s="926"/>
      <c r="M766" s="927"/>
      <c r="N766" s="928" t="s">
        <v>213</v>
      </c>
      <c r="O766" s="284" t="s">
        <v>423</v>
      </c>
      <c r="P766" s="925" t="s">
        <v>212</v>
      </c>
      <c r="Q766" s="926"/>
      <c r="R766" s="926"/>
      <c r="S766" s="926"/>
      <c r="T766" s="926"/>
      <c r="U766" s="926"/>
      <c r="V766" s="926"/>
      <c r="W766" s="926"/>
      <c r="X766" s="927"/>
      <c r="Y766" s="918" t="s">
        <v>243</v>
      </c>
      <c r="Z766" s="919"/>
      <c r="AA766" s="919"/>
      <c r="AB766" s="919"/>
      <c r="AC766" s="919"/>
      <c r="AD766" s="919"/>
      <c r="AE766" s="919"/>
      <c r="AF766" s="919"/>
      <c r="AG766" s="919"/>
      <c r="AH766" s="919"/>
      <c r="AI766" s="919"/>
      <c r="AJ766" s="919"/>
      <c r="AK766" s="919"/>
      <c r="AL766" s="919"/>
      <c r="AM766" s="920"/>
    </row>
    <row r="767" spans="1:40" ht="65.25" customHeight="1">
      <c r="B767" s="922"/>
      <c r="C767" s="924"/>
      <c r="D767" s="285">
        <v>2019</v>
      </c>
      <c r="E767" s="285">
        <v>2020</v>
      </c>
      <c r="F767" s="285">
        <v>2021</v>
      </c>
      <c r="G767" s="285">
        <v>2022</v>
      </c>
      <c r="H767" s="285">
        <v>2023</v>
      </c>
      <c r="I767" s="285">
        <v>2024</v>
      </c>
      <c r="J767" s="285">
        <v>2025</v>
      </c>
      <c r="K767" s="285">
        <v>2026</v>
      </c>
      <c r="L767" s="285">
        <v>2027</v>
      </c>
      <c r="M767" s="285">
        <v>2028</v>
      </c>
      <c r="N767" s="929"/>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 50 to 999 kW (I1 &amp; I4)</v>
      </c>
      <c r="AB767" s="285" t="str">
        <f>'1.  LRAMVA Summary'!G52</f>
        <v>GS 1,000 to 4,999 kW (I2)</v>
      </c>
      <c r="AC767" s="285" t="str">
        <f>'1.  LRAMVA Summary'!H52</f>
        <v>Large Use (I3)</v>
      </c>
      <c r="AD767" s="285" t="str">
        <f>'1.  LRAMVA Summary'!I52</f>
        <v>Street Lighting</v>
      </c>
      <c r="AE767" s="285" t="str">
        <f>'1.  LRAMVA Summary'!J52</f>
        <v>USL</v>
      </c>
      <c r="AF767" s="285" t="str">
        <f>'1.  LRAMVA Summary'!K52</f>
        <v>Sentinel Lights</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v>
      </c>
      <c r="AD768" s="291" t="str">
        <f>'1.  LRAMVA Summary'!I53</f>
        <v>kW</v>
      </c>
      <c r="AE768" s="291" t="str">
        <f>'1.  LRAMVA Summary'!J53</f>
        <v>kWh</v>
      </c>
      <c r="AF768" s="291" t="str">
        <f>'1.  LRAMVA Summary'!K53</f>
        <v>kW</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5" hidden="1"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t="15.5"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t="15.5" hidden="1"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6">Z770</f>
        <v>0</v>
      </c>
      <c r="AA771" s="411">
        <f t="shared" ref="AA771" si="2287">AA770</f>
        <v>0</v>
      </c>
      <c r="AB771" s="411">
        <f t="shared" ref="AB771" si="2288">AB770</f>
        <v>0</v>
      </c>
      <c r="AC771" s="411">
        <f t="shared" ref="AC771" si="2289">AC770</f>
        <v>0</v>
      </c>
      <c r="AD771" s="411">
        <f t="shared" ref="AD771" si="2290">AD770</f>
        <v>0</v>
      </c>
      <c r="AE771" s="411">
        <f t="shared" ref="AE771" si="2291">AE770</f>
        <v>0</v>
      </c>
      <c r="AF771" s="411">
        <f t="shared" ref="AF771" si="2292">AF770</f>
        <v>0</v>
      </c>
      <c r="AG771" s="411">
        <f t="shared" ref="AG771" si="2293">AG770</f>
        <v>0</v>
      </c>
      <c r="AH771" s="411">
        <f t="shared" ref="AH771" si="2294">AH770</f>
        <v>0</v>
      </c>
      <c r="AI771" s="411">
        <f t="shared" ref="AI771" si="2295">AI770</f>
        <v>0</v>
      </c>
      <c r="AJ771" s="411">
        <f t="shared" ref="AJ771" si="2296">AJ770</f>
        <v>0</v>
      </c>
      <c r="AK771" s="411">
        <f t="shared" ref="AK771" si="2297">AK770</f>
        <v>0</v>
      </c>
      <c r="AL771" s="411">
        <f t="shared" ref="AL771" si="2298">AL770</f>
        <v>0</v>
      </c>
      <c r="AM771" s="297"/>
    </row>
    <row r="772" spans="1:39" ht="15.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t="15.5"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5" hidden="1"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99">Z773</f>
        <v>0</v>
      </c>
      <c r="AA774" s="411">
        <f t="shared" ref="AA774" si="2300">AA773</f>
        <v>0</v>
      </c>
      <c r="AB774" s="411">
        <f t="shared" ref="AB774" si="2301">AB773</f>
        <v>0</v>
      </c>
      <c r="AC774" s="411">
        <f t="shared" ref="AC774" si="2302">AC773</f>
        <v>0</v>
      </c>
      <c r="AD774" s="411">
        <f t="shared" ref="AD774" si="2303">AD773</f>
        <v>0</v>
      </c>
      <c r="AE774" s="411">
        <f t="shared" ref="AE774" si="2304">AE773</f>
        <v>0</v>
      </c>
      <c r="AF774" s="411">
        <f t="shared" ref="AF774" si="2305">AF773</f>
        <v>0</v>
      </c>
      <c r="AG774" s="411">
        <f t="shared" ref="AG774" si="2306">AG773</f>
        <v>0</v>
      </c>
      <c r="AH774" s="411">
        <f t="shared" ref="AH774" si="2307">AH773</f>
        <v>0</v>
      </c>
      <c r="AI774" s="411">
        <f t="shared" ref="AI774" si="2308">AI773</f>
        <v>0</v>
      </c>
      <c r="AJ774" s="411">
        <f t="shared" ref="AJ774" si="2309">AJ773</f>
        <v>0</v>
      </c>
      <c r="AK774" s="411">
        <f t="shared" ref="AK774" si="2310">AK773</f>
        <v>0</v>
      </c>
      <c r="AL774" s="411">
        <f t="shared" ref="AL774" si="2311">AL773</f>
        <v>0</v>
      </c>
      <c r="AM774" s="297"/>
    </row>
    <row r="775" spans="1:39" ht="15.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t="15.5"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5" hidden="1"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2">Z776</f>
        <v>0</v>
      </c>
      <c r="AA777" s="411">
        <f t="shared" ref="AA777" si="2313">AA776</f>
        <v>0</v>
      </c>
      <c r="AB777" s="411">
        <f t="shared" ref="AB777" si="2314">AB776</f>
        <v>0</v>
      </c>
      <c r="AC777" s="411">
        <f t="shared" ref="AC777" si="2315">AC776</f>
        <v>0</v>
      </c>
      <c r="AD777" s="411">
        <f t="shared" ref="AD777" si="2316">AD776</f>
        <v>0</v>
      </c>
      <c r="AE777" s="411">
        <f t="shared" ref="AE777" si="2317">AE776</f>
        <v>0</v>
      </c>
      <c r="AF777" s="411">
        <f t="shared" ref="AF777" si="2318">AF776</f>
        <v>0</v>
      </c>
      <c r="AG777" s="411">
        <f t="shared" ref="AG777" si="2319">AG776</f>
        <v>0</v>
      </c>
      <c r="AH777" s="411">
        <f t="shared" ref="AH777" si="2320">AH776</f>
        <v>0</v>
      </c>
      <c r="AI777" s="411">
        <f t="shared" ref="AI777" si="2321">AI776</f>
        <v>0</v>
      </c>
      <c r="AJ777" s="411">
        <f t="shared" ref="AJ777" si="2322">AJ776</f>
        <v>0</v>
      </c>
      <c r="AK777" s="411">
        <f t="shared" ref="AK777" si="2323">AK776</f>
        <v>0</v>
      </c>
      <c r="AL777" s="411">
        <f t="shared" ref="AL777" si="2324">AL776</f>
        <v>0</v>
      </c>
      <c r="AM777" s="297"/>
    </row>
    <row r="778" spans="1:39" ht="15.5"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t="15.5" hidden="1" outlineLevel="1">
      <c r="A779" s="532">
        <v>4</v>
      </c>
      <c r="B779" s="520" t="s">
        <v>678</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t="15.5" hidden="1"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5">Z779</f>
        <v>0</v>
      </c>
      <c r="AA780" s="411">
        <f t="shared" ref="AA780" si="2326">AA779</f>
        <v>0</v>
      </c>
      <c r="AB780" s="411">
        <f t="shared" ref="AB780" si="2327">AB779</f>
        <v>0</v>
      </c>
      <c r="AC780" s="411">
        <f t="shared" ref="AC780" si="2328">AC779</f>
        <v>0</v>
      </c>
      <c r="AD780" s="411">
        <f t="shared" ref="AD780" si="2329">AD779</f>
        <v>0</v>
      </c>
      <c r="AE780" s="411">
        <f t="shared" ref="AE780" si="2330">AE779</f>
        <v>0</v>
      </c>
      <c r="AF780" s="411">
        <f t="shared" ref="AF780" si="2331">AF779</f>
        <v>0</v>
      </c>
      <c r="AG780" s="411">
        <f t="shared" ref="AG780" si="2332">AG779</f>
        <v>0</v>
      </c>
      <c r="AH780" s="411">
        <f t="shared" ref="AH780" si="2333">AH779</f>
        <v>0</v>
      </c>
      <c r="AI780" s="411">
        <f t="shared" ref="AI780" si="2334">AI779</f>
        <v>0</v>
      </c>
      <c r="AJ780" s="411">
        <f t="shared" ref="AJ780" si="2335">AJ779</f>
        <v>0</v>
      </c>
      <c r="AK780" s="411">
        <f t="shared" ref="AK780" si="2336">AK779</f>
        <v>0</v>
      </c>
      <c r="AL780" s="411">
        <f t="shared" ref="AL780" si="2337">AL779</f>
        <v>0</v>
      </c>
      <c r="AM780" s="297"/>
    </row>
    <row r="781" spans="1:39" ht="15.5"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38">Z782</f>
        <v>0</v>
      </c>
      <c r="AA783" s="411">
        <f t="shared" ref="AA783" si="2339">AA782</f>
        <v>0</v>
      </c>
      <c r="AB783" s="411">
        <f t="shared" ref="AB783" si="2340">AB782</f>
        <v>0</v>
      </c>
      <c r="AC783" s="411">
        <f t="shared" ref="AC783" si="2341">AC782</f>
        <v>0</v>
      </c>
      <c r="AD783" s="411">
        <f t="shared" ref="AD783" si="2342">AD782</f>
        <v>0</v>
      </c>
      <c r="AE783" s="411">
        <f t="shared" ref="AE783" si="2343">AE782</f>
        <v>0</v>
      </c>
      <c r="AF783" s="411">
        <f t="shared" ref="AF783" si="2344">AF782</f>
        <v>0</v>
      </c>
      <c r="AG783" s="411">
        <f t="shared" ref="AG783" si="2345">AG782</f>
        <v>0</v>
      </c>
      <c r="AH783" s="411">
        <f t="shared" ref="AH783" si="2346">AH782</f>
        <v>0</v>
      </c>
      <c r="AI783" s="411">
        <f t="shared" ref="AI783" si="2347">AI782</f>
        <v>0</v>
      </c>
      <c r="AJ783" s="411">
        <f t="shared" ref="AJ783" si="2348">AJ782</f>
        <v>0</v>
      </c>
      <c r="AK783" s="411">
        <f t="shared" ref="AK783" si="2349">AK782</f>
        <v>0</v>
      </c>
      <c r="AL783" s="411">
        <f t="shared" ref="AL783" si="2350">AL782</f>
        <v>0</v>
      </c>
      <c r="AM783" s="297"/>
    </row>
    <row r="784" spans="1:39" ht="15.5"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5" hidden="1"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t="15.5"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t="15.5" hidden="1"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1">Z786</f>
        <v>0</v>
      </c>
      <c r="AA787" s="411">
        <f t="shared" ref="AA787" si="2352">AA786</f>
        <v>0</v>
      </c>
      <c r="AB787" s="411">
        <f t="shared" ref="AB787" si="2353">AB786</f>
        <v>0</v>
      </c>
      <c r="AC787" s="411">
        <f t="shared" ref="AC787" si="2354">AC786</f>
        <v>0</v>
      </c>
      <c r="AD787" s="411">
        <f t="shared" ref="AD787" si="2355">AD786</f>
        <v>0</v>
      </c>
      <c r="AE787" s="411">
        <f t="shared" ref="AE787" si="2356">AE786</f>
        <v>0</v>
      </c>
      <c r="AF787" s="411">
        <f t="shared" ref="AF787" si="2357">AF786</f>
        <v>0</v>
      </c>
      <c r="AG787" s="411">
        <f t="shared" ref="AG787" si="2358">AG786</f>
        <v>0</v>
      </c>
      <c r="AH787" s="411">
        <f t="shared" ref="AH787" si="2359">AH786</f>
        <v>0</v>
      </c>
      <c r="AI787" s="411">
        <f t="shared" ref="AI787" si="2360">AI786</f>
        <v>0</v>
      </c>
      <c r="AJ787" s="411">
        <f t="shared" ref="AJ787" si="2361">AJ786</f>
        <v>0</v>
      </c>
      <c r="AK787" s="411">
        <f t="shared" ref="AK787" si="2362">AK786</f>
        <v>0</v>
      </c>
      <c r="AL787" s="411">
        <f t="shared" ref="AL787" si="2363">AL786</f>
        <v>0</v>
      </c>
      <c r="AM787" s="311"/>
    </row>
    <row r="788" spans="1:39" ht="15.5"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1"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5" hidden="1"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4">Z789</f>
        <v>0</v>
      </c>
      <c r="AA790" s="411">
        <f t="shared" ref="AA790" si="2365">AA789</f>
        <v>0</v>
      </c>
      <c r="AB790" s="411">
        <f t="shared" ref="AB790" si="2366">AB789</f>
        <v>0</v>
      </c>
      <c r="AC790" s="411">
        <f t="shared" ref="AC790" si="2367">AC789</f>
        <v>0</v>
      </c>
      <c r="AD790" s="411">
        <f t="shared" ref="AD790" si="2368">AD789</f>
        <v>0</v>
      </c>
      <c r="AE790" s="411">
        <f t="shared" ref="AE790" si="2369">AE789</f>
        <v>0</v>
      </c>
      <c r="AF790" s="411">
        <f t="shared" ref="AF790" si="2370">AF789</f>
        <v>0</v>
      </c>
      <c r="AG790" s="411">
        <f t="shared" ref="AG790" si="2371">AG789</f>
        <v>0</v>
      </c>
      <c r="AH790" s="411">
        <f t="shared" ref="AH790" si="2372">AH789</f>
        <v>0</v>
      </c>
      <c r="AI790" s="411">
        <f t="shared" ref="AI790" si="2373">AI789</f>
        <v>0</v>
      </c>
      <c r="AJ790" s="411">
        <f t="shared" ref="AJ790" si="2374">AJ789</f>
        <v>0</v>
      </c>
      <c r="AK790" s="411">
        <f t="shared" ref="AK790" si="2375">AK789</f>
        <v>0</v>
      </c>
      <c r="AL790" s="411">
        <f t="shared" ref="AL790" si="2376">AL789</f>
        <v>0</v>
      </c>
      <c r="AM790" s="311"/>
    </row>
    <row r="791" spans="1:39" ht="15.5"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1"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5" hidden="1"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7">Z792</f>
        <v>0</v>
      </c>
      <c r="AA793" s="411">
        <f t="shared" ref="AA793" si="2378">AA792</f>
        <v>0</v>
      </c>
      <c r="AB793" s="411">
        <f t="shared" ref="AB793" si="2379">AB792</f>
        <v>0</v>
      </c>
      <c r="AC793" s="411">
        <f t="shared" ref="AC793" si="2380">AC792</f>
        <v>0</v>
      </c>
      <c r="AD793" s="411">
        <f t="shared" ref="AD793" si="2381">AD792</f>
        <v>0</v>
      </c>
      <c r="AE793" s="411">
        <f t="shared" ref="AE793" si="2382">AE792</f>
        <v>0</v>
      </c>
      <c r="AF793" s="411">
        <f t="shared" ref="AF793" si="2383">AF792</f>
        <v>0</v>
      </c>
      <c r="AG793" s="411">
        <f t="shared" ref="AG793" si="2384">AG792</f>
        <v>0</v>
      </c>
      <c r="AH793" s="411">
        <f t="shared" ref="AH793" si="2385">AH792</f>
        <v>0</v>
      </c>
      <c r="AI793" s="411">
        <f t="shared" ref="AI793" si="2386">AI792</f>
        <v>0</v>
      </c>
      <c r="AJ793" s="411">
        <f t="shared" ref="AJ793" si="2387">AJ792</f>
        <v>0</v>
      </c>
      <c r="AK793" s="411">
        <f t="shared" ref="AK793" si="2388">AK792</f>
        <v>0</v>
      </c>
      <c r="AL793" s="411">
        <f t="shared" ref="AL793" si="2389">AL792</f>
        <v>0</v>
      </c>
      <c r="AM793" s="311"/>
    </row>
    <row r="794" spans="1:39" ht="15.5"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1"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5" hidden="1"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0">Z795</f>
        <v>0</v>
      </c>
      <c r="AA796" s="411">
        <f t="shared" ref="AA796" si="2391">AA795</f>
        <v>0</v>
      </c>
      <c r="AB796" s="411">
        <f t="shared" ref="AB796" si="2392">AB795</f>
        <v>0</v>
      </c>
      <c r="AC796" s="411">
        <f t="shared" ref="AC796" si="2393">AC795</f>
        <v>0</v>
      </c>
      <c r="AD796" s="411">
        <f t="shared" ref="AD796" si="2394">AD795</f>
        <v>0</v>
      </c>
      <c r="AE796" s="411">
        <f t="shared" ref="AE796" si="2395">AE795</f>
        <v>0</v>
      </c>
      <c r="AF796" s="411">
        <f t="shared" ref="AF796" si="2396">AF795</f>
        <v>0</v>
      </c>
      <c r="AG796" s="411">
        <f t="shared" ref="AG796" si="2397">AG795</f>
        <v>0</v>
      </c>
      <c r="AH796" s="411">
        <f t="shared" ref="AH796" si="2398">AH795</f>
        <v>0</v>
      </c>
      <c r="AI796" s="411">
        <f t="shared" ref="AI796" si="2399">AI795</f>
        <v>0</v>
      </c>
      <c r="AJ796" s="411">
        <f t="shared" ref="AJ796" si="2400">AJ795</f>
        <v>0</v>
      </c>
      <c r="AK796" s="411">
        <f t="shared" ref="AK796" si="2401">AK795</f>
        <v>0</v>
      </c>
      <c r="AL796" s="411">
        <f t="shared" ref="AL796" si="2402">AL795</f>
        <v>0</v>
      </c>
      <c r="AM796" s="311"/>
    </row>
    <row r="797" spans="1:39" ht="15.5"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1"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5" hidden="1"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3">Z798</f>
        <v>0</v>
      </c>
      <c r="AA799" s="411">
        <f t="shared" ref="AA799" si="2404">AA798</f>
        <v>0</v>
      </c>
      <c r="AB799" s="411">
        <f t="shared" ref="AB799" si="2405">AB798</f>
        <v>0</v>
      </c>
      <c r="AC799" s="411">
        <f t="shared" ref="AC799" si="2406">AC798</f>
        <v>0</v>
      </c>
      <c r="AD799" s="411">
        <f t="shared" ref="AD799" si="2407">AD798</f>
        <v>0</v>
      </c>
      <c r="AE799" s="411">
        <f t="shared" ref="AE799" si="2408">AE798</f>
        <v>0</v>
      </c>
      <c r="AF799" s="411">
        <f t="shared" ref="AF799" si="2409">AF798</f>
        <v>0</v>
      </c>
      <c r="AG799" s="411">
        <f t="shared" ref="AG799" si="2410">AG798</f>
        <v>0</v>
      </c>
      <c r="AH799" s="411">
        <f t="shared" ref="AH799" si="2411">AH798</f>
        <v>0</v>
      </c>
      <c r="AI799" s="411">
        <f t="shared" ref="AI799" si="2412">AI798</f>
        <v>0</v>
      </c>
      <c r="AJ799" s="411">
        <f t="shared" ref="AJ799" si="2413">AJ798</f>
        <v>0</v>
      </c>
      <c r="AK799" s="411">
        <f t="shared" ref="AK799" si="2414">AK798</f>
        <v>0</v>
      </c>
      <c r="AL799" s="411">
        <f t="shared" ref="AL799" si="2415">AL798</f>
        <v>0</v>
      </c>
      <c r="AM799" s="311"/>
    </row>
    <row r="800" spans="1:39" ht="15.5"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1"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t="15.5" hidden="1"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6">Z802</f>
        <v>0</v>
      </c>
      <c r="AA803" s="411">
        <f t="shared" ref="AA803" si="2417">AA802</f>
        <v>0</v>
      </c>
      <c r="AB803" s="411">
        <f t="shared" ref="AB803" si="2418">AB802</f>
        <v>0</v>
      </c>
      <c r="AC803" s="411">
        <f t="shared" ref="AC803" si="2419">AC802</f>
        <v>0</v>
      </c>
      <c r="AD803" s="411">
        <f t="shared" ref="AD803" si="2420">AD802</f>
        <v>0</v>
      </c>
      <c r="AE803" s="411">
        <f t="shared" ref="AE803" si="2421">AE802</f>
        <v>0</v>
      </c>
      <c r="AF803" s="411">
        <f t="shared" ref="AF803" si="2422">AF802</f>
        <v>0</v>
      </c>
      <c r="AG803" s="411">
        <f t="shared" ref="AG803" si="2423">AG802</f>
        <v>0</v>
      </c>
      <c r="AH803" s="411">
        <f t="shared" ref="AH803" si="2424">AH802</f>
        <v>0</v>
      </c>
      <c r="AI803" s="411">
        <f t="shared" ref="AI803" si="2425">AI802</f>
        <v>0</v>
      </c>
      <c r="AJ803" s="411">
        <f t="shared" ref="AJ803" si="2426">AJ802</f>
        <v>0</v>
      </c>
      <c r="AK803" s="411">
        <f t="shared" ref="AK803" si="2427">AK802</f>
        <v>0</v>
      </c>
      <c r="AL803" s="411">
        <f t="shared" ref="AL803" si="2428">AL802</f>
        <v>0</v>
      </c>
      <c r="AM803" s="297"/>
    </row>
    <row r="804" spans="1:39" ht="15.5"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31"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t="15.5" hidden="1"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29">Z805</f>
        <v>0</v>
      </c>
      <c r="AA806" s="411">
        <f t="shared" ref="AA806" si="2430">AA805</f>
        <v>0</v>
      </c>
      <c r="AB806" s="411">
        <f t="shared" ref="AB806" si="2431">AB805</f>
        <v>0</v>
      </c>
      <c r="AC806" s="411">
        <f t="shared" ref="AC806" si="2432">AC805</f>
        <v>0</v>
      </c>
      <c r="AD806" s="411">
        <f t="shared" ref="AD806" si="2433">AD805</f>
        <v>0</v>
      </c>
      <c r="AE806" s="411">
        <f t="shared" ref="AE806" si="2434">AE805</f>
        <v>0</v>
      </c>
      <c r="AF806" s="411">
        <f t="shared" ref="AF806" si="2435">AF805</f>
        <v>0</v>
      </c>
      <c r="AG806" s="411">
        <f t="shared" ref="AG806" si="2436">AG805</f>
        <v>0</v>
      </c>
      <c r="AH806" s="411">
        <f t="shared" ref="AH806" si="2437">AH805</f>
        <v>0</v>
      </c>
      <c r="AI806" s="411">
        <f t="shared" ref="AI806" si="2438">AI805</f>
        <v>0</v>
      </c>
      <c r="AJ806" s="411">
        <f t="shared" ref="AJ806" si="2439">AJ805</f>
        <v>0</v>
      </c>
      <c r="AK806" s="411">
        <f t="shared" ref="AK806" si="2440">AK805</f>
        <v>0</v>
      </c>
      <c r="AL806" s="411">
        <f t="shared" ref="AL806" si="2441">AL805</f>
        <v>0</v>
      </c>
      <c r="AM806" s="297"/>
    </row>
    <row r="807" spans="1:39" ht="15.5"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1"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5" hidden="1"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2">Z808</f>
        <v>0</v>
      </c>
      <c r="AA809" s="411">
        <f t="shared" ref="AA809" si="2443">AA808</f>
        <v>0</v>
      </c>
      <c r="AB809" s="411">
        <f t="shared" ref="AB809" si="2444">AB808</f>
        <v>0</v>
      </c>
      <c r="AC809" s="411">
        <f t="shared" ref="AC809" si="2445">AC808</f>
        <v>0</v>
      </c>
      <c r="AD809" s="411">
        <f t="shared" ref="AD809" si="2446">AD808</f>
        <v>0</v>
      </c>
      <c r="AE809" s="411">
        <f t="shared" ref="AE809" si="2447">AE808</f>
        <v>0</v>
      </c>
      <c r="AF809" s="411">
        <f t="shared" ref="AF809" si="2448">AF808</f>
        <v>0</v>
      </c>
      <c r="AG809" s="411">
        <f t="shared" ref="AG809" si="2449">AG808</f>
        <v>0</v>
      </c>
      <c r="AH809" s="411">
        <f t="shared" ref="AH809" si="2450">AH808</f>
        <v>0</v>
      </c>
      <c r="AI809" s="411">
        <f t="shared" ref="AI809" si="2451">AI808</f>
        <v>0</v>
      </c>
      <c r="AJ809" s="411">
        <f t="shared" ref="AJ809" si="2452">AJ808</f>
        <v>0</v>
      </c>
      <c r="AK809" s="411">
        <f t="shared" ref="AK809" si="2453">AK808</f>
        <v>0</v>
      </c>
      <c r="AL809" s="411">
        <f t="shared" ref="AL809" si="2454">AL808</f>
        <v>0</v>
      </c>
      <c r="AM809" s="306"/>
    </row>
    <row r="810" spans="1:39" ht="15.5"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t="15.5"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t="15.5" hidden="1"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5">Z812</f>
        <v>0</v>
      </c>
      <c r="AA813" s="411">
        <f t="shared" ref="AA813" si="2456">AA812</f>
        <v>0</v>
      </c>
      <c r="AB813" s="411">
        <f t="shared" ref="AB813" si="2457">AB812</f>
        <v>0</v>
      </c>
      <c r="AC813" s="411">
        <f t="shared" ref="AC813" si="2458">AC812</f>
        <v>0</v>
      </c>
      <c r="AD813" s="411">
        <f t="shared" ref="AD813" si="2459">AD812</f>
        <v>0</v>
      </c>
      <c r="AE813" s="411">
        <f t="shared" ref="AE813" si="2460">AE812</f>
        <v>0</v>
      </c>
      <c r="AF813" s="411">
        <f t="shared" ref="AF813" si="2461">AF812</f>
        <v>0</v>
      </c>
      <c r="AG813" s="411">
        <f t="shared" ref="AG813" si="2462">AG812</f>
        <v>0</v>
      </c>
      <c r="AH813" s="411">
        <f t="shared" ref="AH813" si="2463">AH812</f>
        <v>0</v>
      </c>
      <c r="AI813" s="411">
        <f t="shared" ref="AI813" si="2464">AI812</f>
        <v>0</v>
      </c>
      <c r="AJ813" s="411">
        <f t="shared" ref="AJ813" si="2465">AJ812</f>
        <v>0</v>
      </c>
      <c r="AK813" s="411">
        <f t="shared" ref="AK813" si="2466">AK812</f>
        <v>0</v>
      </c>
      <c r="AL813" s="411">
        <f t="shared" ref="AL813" si="2467">AL812</f>
        <v>0</v>
      </c>
      <c r="AM813" s="297"/>
    </row>
    <row r="814" spans="1:39" ht="15.5"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5" hidden="1"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t="15.5" hidden="1"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t="15.5" hidden="1"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8">Z816</f>
        <v>0</v>
      </c>
      <c r="AA817" s="411">
        <f t="shared" si="2468"/>
        <v>0</v>
      </c>
      <c r="AB817" s="411">
        <f t="shared" si="2468"/>
        <v>0</v>
      </c>
      <c r="AC817" s="411">
        <f t="shared" si="2468"/>
        <v>0</v>
      </c>
      <c r="AD817" s="411">
        <f t="shared" si="2468"/>
        <v>0</v>
      </c>
      <c r="AE817" s="411">
        <f t="shared" si="2468"/>
        <v>0</v>
      </c>
      <c r="AF817" s="411">
        <f t="shared" si="2468"/>
        <v>0</v>
      </c>
      <c r="AG817" s="411">
        <f t="shared" si="2468"/>
        <v>0</v>
      </c>
      <c r="AH817" s="411">
        <f t="shared" si="2468"/>
        <v>0</v>
      </c>
      <c r="AI817" s="411">
        <f t="shared" si="2468"/>
        <v>0</v>
      </c>
      <c r="AJ817" s="411">
        <f t="shared" si="2468"/>
        <v>0</v>
      </c>
      <c r="AK817" s="411">
        <f t="shared" si="2468"/>
        <v>0</v>
      </c>
      <c r="AL817" s="411">
        <f t="shared" si="2468"/>
        <v>0</v>
      </c>
      <c r="AM817" s="297"/>
    </row>
    <row r="818" spans="1:39" ht="15.5"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t="15.5" hidden="1"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t="15.5" hidden="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9">Z819</f>
        <v>0</v>
      </c>
      <c r="AA820" s="411">
        <f t="shared" si="2469"/>
        <v>0</v>
      </c>
      <c r="AB820" s="411">
        <f t="shared" si="2469"/>
        <v>0</v>
      </c>
      <c r="AC820" s="411">
        <f t="shared" si="2469"/>
        <v>0</v>
      </c>
      <c r="AD820" s="411">
        <f t="shared" si="2469"/>
        <v>0</v>
      </c>
      <c r="AE820" s="411">
        <f t="shared" si="2469"/>
        <v>0</v>
      </c>
      <c r="AF820" s="411">
        <f t="shared" si="2469"/>
        <v>0</v>
      </c>
      <c r="AG820" s="411">
        <f t="shared" si="2469"/>
        <v>0</v>
      </c>
      <c r="AH820" s="411">
        <f t="shared" si="2469"/>
        <v>0</v>
      </c>
      <c r="AI820" s="411">
        <f t="shared" si="2469"/>
        <v>0</v>
      </c>
      <c r="AJ820" s="411">
        <f t="shared" si="2469"/>
        <v>0</v>
      </c>
      <c r="AK820" s="411">
        <f t="shared" si="2469"/>
        <v>0</v>
      </c>
      <c r="AL820" s="411">
        <f t="shared" si="2469"/>
        <v>0</v>
      </c>
      <c r="AM820" s="297"/>
    </row>
    <row r="821" spans="1:39" s="283" customFormat="1" ht="15.5"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5" hidden="1"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t="15.5"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t="15.5" hidden="1"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0">Z823</f>
        <v>0</v>
      </c>
      <c r="AA824" s="411">
        <f t="shared" si="2470"/>
        <v>0</v>
      </c>
      <c r="AB824" s="411">
        <f t="shared" si="2470"/>
        <v>0</v>
      </c>
      <c r="AC824" s="411">
        <f t="shared" si="2470"/>
        <v>0</v>
      </c>
      <c r="AD824" s="411">
        <f t="shared" si="2470"/>
        <v>0</v>
      </c>
      <c r="AE824" s="411">
        <f t="shared" si="2470"/>
        <v>0</v>
      </c>
      <c r="AF824" s="411">
        <f t="shared" si="2470"/>
        <v>0</v>
      </c>
      <c r="AG824" s="411">
        <f t="shared" si="2470"/>
        <v>0</v>
      </c>
      <c r="AH824" s="411">
        <f t="shared" si="2470"/>
        <v>0</v>
      </c>
      <c r="AI824" s="411">
        <f t="shared" si="2470"/>
        <v>0</v>
      </c>
      <c r="AJ824" s="411">
        <f t="shared" si="2470"/>
        <v>0</v>
      </c>
      <c r="AK824" s="411">
        <f t="shared" si="2470"/>
        <v>0</v>
      </c>
      <c r="AL824" s="411">
        <f t="shared" si="2470"/>
        <v>0</v>
      </c>
      <c r="AM824" s="306"/>
    </row>
    <row r="825" spans="1:39" ht="15.5"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t="15.5"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5" hidden="1"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1">Z826</f>
        <v>0</v>
      </c>
      <c r="AA827" s="411">
        <f t="shared" si="2471"/>
        <v>0</v>
      </c>
      <c r="AB827" s="411">
        <f t="shared" si="2471"/>
        <v>0</v>
      </c>
      <c r="AC827" s="411">
        <f t="shared" si="2471"/>
        <v>0</v>
      </c>
      <c r="AD827" s="411">
        <f t="shared" si="2471"/>
        <v>0</v>
      </c>
      <c r="AE827" s="411">
        <f t="shared" si="2471"/>
        <v>0</v>
      </c>
      <c r="AF827" s="411">
        <f t="shared" si="2471"/>
        <v>0</v>
      </c>
      <c r="AG827" s="411">
        <f t="shared" si="2471"/>
        <v>0</v>
      </c>
      <c r="AH827" s="411">
        <f t="shared" si="2471"/>
        <v>0</v>
      </c>
      <c r="AI827" s="411">
        <f t="shared" si="2471"/>
        <v>0</v>
      </c>
      <c r="AJ827" s="411">
        <f t="shared" si="2471"/>
        <v>0</v>
      </c>
      <c r="AK827" s="411">
        <f t="shared" si="2471"/>
        <v>0</v>
      </c>
      <c r="AL827" s="411">
        <f t="shared" si="2471"/>
        <v>0</v>
      </c>
      <c r="AM827" s="306"/>
    </row>
    <row r="828" spans="1:39" ht="15.5"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t="15.5"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5" hidden="1"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2">Z829</f>
        <v>0</v>
      </c>
      <c r="AA830" s="411">
        <f t="shared" si="2472"/>
        <v>0</v>
      </c>
      <c r="AB830" s="411">
        <f t="shared" si="2472"/>
        <v>0</v>
      </c>
      <c r="AC830" s="411">
        <f t="shared" si="2472"/>
        <v>0</v>
      </c>
      <c r="AD830" s="411">
        <f t="shared" si="2472"/>
        <v>0</v>
      </c>
      <c r="AE830" s="411">
        <f t="shared" si="2472"/>
        <v>0</v>
      </c>
      <c r="AF830" s="411">
        <f t="shared" si="2472"/>
        <v>0</v>
      </c>
      <c r="AG830" s="411">
        <f t="shared" si="2472"/>
        <v>0</v>
      </c>
      <c r="AH830" s="411">
        <f t="shared" si="2472"/>
        <v>0</v>
      </c>
      <c r="AI830" s="411">
        <f t="shared" si="2472"/>
        <v>0</v>
      </c>
      <c r="AJ830" s="411">
        <f t="shared" si="2472"/>
        <v>0</v>
      </c>
      <c r="AK830" s="411">
        <f t="shared" si="2472"/>
        <v>0</v>
      </c>
      <c r="AL830" s="411">
        <f t="shared" si="2472"/>
        <v>0</v>
      </c>
      <c r="AM830" s="297"/>
    </row>
    <row r="831" spans="1:39" ht="15.5"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t="15.5"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5" hidden="1"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3">Z832</f>
        <v>0</v>
      </c>
      <c r="AA833" s="411">
        <f t="shared" si="2473"/>
        <v>0</v>
      </c>
      <c r="AB833" s="411">
        <f t="shared" si="2473"/>
        <v>0</v>
      </c>
      <c r="AC833" s="411">
        <f t="shared" si="2473"/>
        <v>0</v>
      </c>
      <c r="AD833" s="411">
        <f t="shared" si="2473"/>
        <v>0</v>
      </c>
      <c r="AE833" s="411">
        <f t="shared" si="2473"/>
        <v>0</v>
      </c>
      <c r="AF833" s="411">
        <f t="shared" si="2473"/>
        <v>0</v>
      </c>
      <c r="AG833" s="411">
        <f t="shared" si="2473"/>
        <v>0</v>
      </c>
      <c r="AH833" s="411">
        <f t="shared" si="2473"/>
        <v>0</v>
      </c>
      <c r="AI833" s="411">
        <f t="shared" si="2473"/>
        <v>0</v>
      </c>
      <c r="AJ833" s="411">
        <f t="shared" si="2473"/>
        <v>0</v>
      </c>
      <c r="AK833" s="411">
        <f t="shared" si="2473"/>
        <v>0</v>
      </c>
      <c r="AL833" s="411">
        <f t="shared" si="2473"/>
        <v>0</v>
      </c>
      <c r="AM833" s="306"/>
    </row>
    <row r="834" spans="1:39" ht="15.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5" collapsed="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5">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t="15.5">
      <c r="A837" s="532">
        <v>21</v>
      </c>
      <c r="B837" s="851" t="s">
        <v>821</v>
      </c>
      <c r="C837" s="291" t="s">
        <v>25</v>
      </c>
      <c r="D837" s="295">
        <f>'7.  Persistence Report'!AY72</f>
        <v>4410</v>
      </c>
      <c r="E837" s="295">
        <f>'7.  Persistence Report'!AZ72</f>
        <v>4410</v>
      </c>
      <c r="F837" s="295">
        <f>'7.  Persistence Report'!BA72</f>
        <v>4410</v>
      </c>
      <c r="G837" s="295">
        <f>'7.  Persistence Report'!BB72</f>
        <v>4410</v>
      </c>
      <c r="H837" s="295">
        <f>'7.  Persistence Report'!BC72</f>
        <v>4410</v>
      </c>
      <c r="I837" s="295">
        <f>'7.  Persistence Report'!BD72</f>
        <v>4410</v>
      </c>
      <c r="J837" s="295">
        <f>'7.  Persistence Report'!BE72</f>
        <v>4410</v>
      </c>
      <c r="K837" s="295">
        <f>'7.  Persistence Report'!BF72</f>
        <v>4410</v>
      </c>
      <c r="L837" s="295">
        <f>'7.  Persistence Report'!BG72</f>
        <v>4410</v>
      </c>
      <c r="M837" s="295">
        <f>'7.  Persistence Report'!BH72</f>
        <v>4410</v>
      </c>
      <c r="N837" s="291"/>
      <c r="O837" s="295">
        <f>'7.  Persistence Report'!T72</f>
        <v>0.30512708793548893</v>
      </c>
      <c r="P837" s="295">
        <f>'7.  Persistence Report'!U72</f>
        <v>0.30512708793548893</v>
      </c>
      <c r="Q837" s="295">
        <f>'7.  Persistence Report'!V72</f>
        <v>0.30512708793548893</v>
      </c>
      <c r="R837" s="295">
        <f>'7.  Persistence Report'!W72</f>
        <v>0.30512708793548893</v>
      </c>
      <c r="S837" s="295">
        <f>'7.  Persistence Report'!X72</f>
        <v>0.30512708793548893</v>
      </c>
      <c r="T837" s="295">
        <f>'7.  Persistence Report'!Y72</f>
        <v>0.30512708793548893</v>
      </c>
      <c r="U837" s="295">
        <f>'7.  Persistence Report'!Z72</f>
        <v>0.30512708793548893</v>
      </c>
      <c r="V837" s="295">
        <f>'7.  Persistence Report'!AA72</f>
        <v>0.30512708793548893</v>
      </c>
      <c r="W837" s="295">
        <f>'7.  Persistence Report'!AB72</f>
        <v>0.30512708793548893</v>
      </c>
      <c r="X837" s="295">
        <f>'7.  Persistence Report'!AC72</f>
        <v>0.30512708793548893</v>
      </c>
      <c r="Y837" s="415">
        <v>1</v>
      </c>
      <c r="Z837" s="415"/>
      <c r="AA837" s="415"/>
      <c r="AB837" s="415"/>
      <c r="AC837" s="415"/>
      <c r="AD837" s="415"/>
      <c r="AE837" s="415"/>
      <c r="AF837" s="410"/>
      <c r="AG837" s="410"/>
      <c r="AH837" s="410"/>
      <c r="AI837" s="410"/>
      <c r="AJ837" s="410"/>
      <c r="AK837" s="410"/>
      <c r="AL837" s="410"/>
      <c r="AM837" s="296">
        <f>SUM(Y837:AL837)</f>
        <v>1</v>
      </c>
    </row>
    <row r="838" spans="1:39" ht="15.5">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1</v>
      </c>
      <c r="Z838" s="411">
        <f t="shared" ref="Z838" si="2474">Z837</f>
        <v>0</v>
      </c>
      <c r="AA838" s="411">
        <f t="shared" ref="AA838" si="2475">AA837</f>
        <v>0</v>
      </c>
      <c r="AB838" s="411">
        <f t="shared" ref="AB838" si="2476">AB837</f>
        <v>0</v>
      </c>
      <c r="AC838" s="411">
        <f t="shared" ref="AC838" si="2477">AC837</f>
        <v>0</v>
      </c>
      <c r="AD838" s="411">
        <f t="shared" ref="AD838" si="2478">AD837</f>
        <v>0</v>
      </c>
      <c r="AE838" s="411">
        <f t="shared" ref="AE838" si="2479">AE837</f>
        <v>0</v>
      </c>
      <c r="AF838" s="411">
        <f t="shared" ref="AF838" si="2480">AF837</f>
        <v>0</v>
      </c>
      <c r="AG838" s="411">
        <f t="shared" ref="AG838" si="2481">AG837</f>
        <v>0</v>
      </c>
      <c r="AH838" s="411">
        <f t="shared" ref="AH838" si="2482">AH837</f>
        <v>0</v>
      </c>
      <c r="AI838" s="411">
        <f t="shared" ref="AI838" si="2483">AI837</f>
        <v>0</v>
      </c>
      <c r="AJ838" s="411">
        <f t="shared" ref="AJ838" si="2484">AJ837</f>
        <v>0</v>
      </c>
      <c r="AK838" s="411">
        <f t="shared" ref="AK838" si="2485">AK837</f>
        <v>0</v>
      </c>
      <c r="AL838" s="411">
        <f t="shared" ref="AL838" si="2486">AL837</f>
        <v>0</v>
      </c>
      <c r="AM838" s="306"/>
    </row>
    <row r="839" spans="1:39" ht="15.5">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1" hidden="1"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t="15.5" hidden="1"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87">Z840</f>
        <v>0</v>
      </c>
      <c r="AA841" s="411">
        <f t="shared" ref="AA841" si="2488">AA840</f>
        <v>0</v>
      </c>
      <c r="AB841" s="411">
        <f t="shared" ref="AB841" si="2489">AB840</f>
        <v>0</v>
      </c>
      <c r="AC841" s="411">
        <f t="shared" ref="AC841" si="2490">AC840</f>
        <v>0</v>
      </c>
      <c r="AD841" s="411">
        <f t="shared" ref="AD841" si="2491">AD840</f>
        <v>0</v>
      </c>
      <c r="AE841" s="411">
        <f t="shared" ref="AE841" si="2492">AE840</f>
        <v>0</v>
      </c>
      <c r="AF841" s="411">
        <f t="shared" ref="AF841" si="2493">AF840</f>
        <v>0</v>
      </c>
      <c r="AG841" s="411">
        <f t="shared" ref="AG841" si="2494">AG840</f>
        <v>0</v>
      </c>
      <c r="AH841" s="411">
        <f t="shared" ref="AH841" si="2495">AH840</f>
        <v>0</v>
      </c>
      <c r="AI841" s="411">
        <f t="shared" ref="AI841" si="2496">AI840</f>
        <v>0</v>
      </c>
      <c r="AJ841" s="411">
        <f t="shared" ref="AJ841" si="2497">AJ840</f>
        <v>0</v>
      </c>
      <c r="AK841" s="411">
        <f t="shared" ref="AK841" si="2498">AK840</f>
        <v>0</v>
      </c>
      <c r="AL841" s="411">
        <f t="shared" ref="AL841" si="2499">AL840</f>
        <v>0</v>
      </c>
      <c r="AM841" s="306"/>
    </row>
    <row r="842" spans="1:39" ht="15.5"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1"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t="15.5" hidden="1"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0">Z843</f>
        <v>0</v>
      </c>
      <c r="AA844" s="411">
        <f t="shared" ref="AA844" si="2501">AA843</f>
        <v>0</v>
      </c>
      <c r="AB844" s="411">
        <f t="shared" ref="AB844" si="2502">AB843</f>
        <v>0</v>
      </c>
      <c r="AC844" s="411">
        <f t="shared" ref="AC844" si="2503">AC843</f>
        <v>0</v>
      </c>
      <c r="AD844" s="411">
        <f t="shared" ref="AD844" si="2504">AD843</f>
        <v>0</v>
      </c>
      <c r="AE844" s="411">
        <f t="shared" ref="AE844" si="2505">AE843</f>
        <v>0</v>
      </c>
      <c r="AF844" s="411">
        <f t="shared" ref="AF844" si="2506">AF843</f>
        <v>0</v>
      </c>
      <c r="AG844" s="411">
        <f t="shared" ref="AG844" si="2507">AG843</f>
        <v>0</v>
      </c>
      <c r="AH844" s="411">
        <f t="shared" ref="AH844" si="2508">AH843</f>
        <v>0</v>
      </c>
      <c r="AI844" s="411">
        <f t="shared" ref="AI844" si="2509">AI843</f>
        <v>0</v>
      </c>
      <c r="AJ844" s="411">
        <f t="shared" ref="AJ844" si="2510">AJ843</f>
        <v>0</v>
      </c>
      <c r="AK844" s="411">
        <f t="shared" ref="AK844" si="2511">AK843</f>
        <v>0</v>
      </c>
      <c r="AL844" s="411">
        <f t="shared" ref="AL844" si="2512">AL843</f>
        <v>0</v>
      </c>
      <c r="AM844" s="306"/>
    </row>
    <row r="845" spans="1:39" ht="15.5"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15.5"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5" hidden="1"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3">Z846</f>
        <v>0</v>
      </c>
      <c r="AA847" s="411">
        <f t="shared" ref="AA847" si="2514">AA846</f>
        <v>0</v>
      </c>
      <c r="AB847" s="411">
        <f t="shared" ref="AB847" si="2515">AB846</f>
        <v>0</v>
      </c>
      <c r="AC847" s="411">
        <f t="shared" ref="AC847" si="2516">AC846</f>
        <v>0</v>
      </c>
      <c r="AD847" s="411">
        <f t="shared" ref="AD847" si="2517">AD846</f>
        <v>0</v>
      </c>
      <c r="AE847" s="411">
        <f t="shared" ref="AE847" si="2518">AE846</f>
        <v>0</v>
      </c>
      <c r="AF847" s="411">
        <f t="shared" ref="AF847" si="2519">AF846</f>
        <v>0</v>
      </c>
      <c r="AG847" s="411">
        <f t="shared" ref="AG847" si="2520">AG846</f>
        <v>0</v>
      </c>
      <c r="AH847" s="411">
        <f t="shared" ref="AH847" si="2521">AH846</f>
        <v>0</v>
      </c>
      <c r="AI847" s="411">
        <f t="shared" ref="AI847" si="2522">AI846</f>
        <v>0</v>
      </c>
      <c r="AJ847" s="411">
        <f t="shared" ref="AJ847" si="2523">AJ846</f>
        <v>0</v>
      </c>
      <c r="AK847" s="411">
        <f t="shared" ref="AK847" si="2524">AK846</f>
        <v>0</v>
      </c>
      <c r="AL847" s="411">
        <f t="shared" ref="AL847" si="2525">AL846</f>
        <v>0</v>
      </c>
      <c r="AM847" s="306"/>
    </row>
    <row r="848" spans="1:39" ht="15.5"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5" collapsed="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t="15.5"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t="15.5" hidden="1"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6">Z850</f>
        <v>0</v>
      </c>
      <c r="AA851" s="411">
        <f t="shared" ref="AA851" si="2527">AA850</f>
        <v>0</v>
      </c>
      <c r="AB851" s="411">
        <f t="shared" ref="AB851" si="2528">AB850</f>
        <v>0</v>
      </c>
      <c r="AC851" s="411">
        <f t="shared" ref="AC851" si="2529">AC850</f>
        <v>0</v>
      </c>
      <c r="AD851" s="411">
        <f t="shared" ref="AD851" si="2530">AD850</f>
        <v>0</v>
      </c>
      <c r="AE851" s="411">
        <f t="shared" ref="AE851" si="2531">AE850</f>
        <v>0</v>
      </c>
      <c r="AF851" s="411">
        <f t="shared" ref="AF851" si="2532">AF850</f>
        <v>0</v>
      </c>
      <c r="AG851" s="411">
        <f t="shared" ref="AG851" si="2533">AG850</f>
        <v>0</v>
      </c>
      <c r="AH851" s="411">
        <f t="shared" ref="AH851" si="2534">AH850</f>
        <v>0</v>
      </c>
      <c r="AI851" s="411">
        <f t="shared" ref="AI851" si="2535">AI850</f>
        <v>0</v>
      </c>
      <c r="AJ851" s="411">
        <f t="shared" ref="AJ851" si="2536">AJ850</f>
        <v>0</v>
      </c>
      <c r="AK851" s="411">
        <f t="shared" ref="AK851" si="2537">AK850</f>
        <v>0</v>
      </c>
      <c r="AL851" s="411">
        <f t="shared" ref="AL851" si="2538">AL850</f>
        <v>0</v>
      </c>
      <c r="AM851" s="306"/>
    </row>
    <row r="852" spans="1:39" ht="15.5"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5" hidden="1"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t="15.5" hidden="1"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39">Z853</f>
        <v>0</v>
      </c>
      <c r="AA854" s="411">
        <f t="shared" ref="AA854" si="2540">AA853</f>
        <v>0</v>
      </c>
      <c r="AB854" s="411">
        <f t="shared" ref="AB854" si="2541">AB853</f>
        <v>0</v>
      </c>
      <c r="AC854" s="411">
        <f t="shared" ref="AC854" si="2542">AC853</f>
        <v>0</v>
      </c>
      <c r="AD854" s="411">
        <f t="shared" ref="AD854" si="2543">AD853</f>
        <v>0</v>
      </c>
      <c r="AE854" s="411">
        <f t="shared" ref="AE854" si="2544">AE853</f>
        <v>0</v>
      </c>
      <c r="AF854" s="411">
        <f t="shared" ref="AF854" si="2545">AF853</f>
        <v>0</v>
      </c>
      <c r="AG854" s="411">
        <f t="shared" ref="AG854" si="2546">AG853</f>
        <v>0</v>
      </c>
      <c r="AH854" s="411">
        <f t="shared" ref="AH854" si="2547">AH853</f>
        <v>0</v>
      </c>
      <c r="AI854" s="411">
        <f t="shared" ref="AI854" si="2548">AI853</f>
        <v>0</v>
      </c>
      <c r="AJ854" s="411">
        <f t="shared" ref="AJ854" si="2549">AJ853</f>
        <v>0</v>
      </c>
      <c r="AK854" s="411">
        <f t="shared" ref="AK854" si="2550">AK853</f>
        <v>0</v>
      </c>
      <c r="AL854" s="411">
        <f t="shared" ref="AL854" si="2551">AL853</f>
        <v>0</v>
      </c>
      <c r="AM854" s="306"/>
    </row>
    <row r="855" spans="1:39" ht="15.5"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1" collapsed="1">
      <c r="A856" s="532">
        <v>27</v>
      </c>
      <c r="B856" s="851" t="s">
        <v>119</v>
      </c>
      <c r="C856" s="291" t="s">
        <v>25</v>
      </c>
      <c r="D856" s="295">
        <f>'7.  Persistence Report'!AY73</f>
        <v>118903.54516632223</v>
      </c>
      <c r="E856" s="295">
        <f>'7.  Persistence Report'!AZ73</f>
        <v>104695</v>
      </c>
      <c r="F856" s="295">
        <f>'7.  Persistence Report'!BA73</f>
        <v>104695</v>
      </c>
      <c r="G856" s="295">
        <f>'7.  Persistence Report'!BB73</f>
        <v>104695</v>
      </c>
      <c r="H856" s="295">
        <f>'7.  Persistence Report'!BC73</f>
        <v>104695</v>
      </c>
      <c r="I856" s="295">
        <f>'7.  Persistence Report'!BD73</f>
        <v>104695</v>
      </c>
      <c r="J856" s="295">
        <f>'7.  Persistence Report'!BE73</f>
        <v>104695</v>
      </c>
      <c r="K856" s="295">
        <f>'7.  Persistence Report'!BF73</f>
        <v>104695</v>
      </c>
      <c r="L856" s="295">
        <f>'7.  Persistence Report'!BG73</f>
        <v>104695</v>
      </c>
      <c r="M856" s="295">
        <f>'7.  Persistence Report'!BH73</f>
        <v>104695</v>
      </c>
      <c r="N856" s="295">
        <v>12</v>
      </c>
      <c r="O856" s="295">
        <f>'7.  Persistence Report'!T73</f>
        <v>27.00497217310312</v>
      </c>
      <c r="P856" s="295">
        <f>'7.  Persistence Report'!U73</f>
        <v>23.777975313589053</v>
      </c>
      <c r="Q856" s="295">
        <f>'7.  Persistence Report'!V73</f>
        <v>23.777975313589053</v>
      </c>
      <c r="R856" s="295">
        <f>'7.  Persistence Report'!W73</f>
        <v>23.777975313589053</v>
      </c>
      <c r="S856" s="295">
        <f>'7.  Persistence Report'!X73</f>
        <v>23.777975313589053</v>
      </c>
      <c r="T856" s="295">
        <f>'7.  Persistence Report'!Y73</f>
        <v>23.777975313589053</v>
      </c>
      <c r="U856" s="295">
        <f>'7.  Persistence Report'!Z73</f>
        <v>23.777975313589053</v>
      </c>
      <c r="V856" s="295">
        <f>'7.  Persistence Report'!AA73</f>
        <v>23.777975313589053</v>
      </c>
      <c r="W856" s="295">
        <f>'7.  Persistence Report'!AB73</f>
        <v>23.777975313589053</v>
      </c>
      <c r="X856" s="295">
        <f>'7.  Persistence Report'!AC73</f>
        <v>23.777975313589053</v>
      </c>
      <c r="Y856" s="426"/>
      <c r="Z856" s="415">
        <v>0.76</v>
      </c>
      <c r="AA856" s="415">
        <v>0.24</v>
      </c>
      <c r="AB856" s="415"/>
      <c r="AC856" s="415"/>
      <c r="AD856" s="415"/>
      <c r="AE856" s="415"/>
      <c r="AF856" s="415"/>
      <c r="AG856" s="415"/>
      <c r="AH856" s="415"/>
      <c r="AI856" s="415"/>
      <c r="AJ856" s="415"/>
      <c r="AK856" s="415"/>
      <c r="AL856" s="415"/>
      <c r="AM856" s="296">
        <f>SUM(Y856:AL856)</f>
        <v>1</v>
      </c>
    </row>
    <row r="857" spans="1:39" ht="15.5">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2">Z856</f>
        <v>0.76</v>
      </c>
      <c r="AA857" s="411">
        <f t="shared" ref="AA857" si="2553">AA856</f>
        <v>0.24</v>
      </c>
      <c r="AB857" s="411">
        <f t="shared" ref="AB857" si="2554">AB856</f>
        <v>0</v>
      </c>
      <c r="AC857" s="411">
        <f t="shared" ref="AC857" si="2555">AC856</f>
        <v>0</v>
      </c>
      <c r="AD857" s="411">
        <f t="shared" ref="AD857" si="2556">AD856</f>
        <v>0</v>
      </c>
      <c r="AE857" s="411">
        <f t="shared" ref="AE857" si="2557">AE856</f>
        <v>0</v>
      </c>
      <c r="AF857" s="411">
        <f t="shared" ref="AF857" si="2558">AF856</f>
        <v>0</v>
      </c>
      <c r="AG857" s="411">
        <f t="shared" ref="AG857" si="2559">AG856</f>
        <v>0</v>
      </c>
      <c r="AH857" s="411">
        <f t="shared" ref="AH857" si="2560">AH856</f>
        <v>0</v>
      </c>
      <c r="AI857" s="411">
        <f t="shared" ref="AI857" si="2561">AI856</f>
        <v>0</v>
      </c>
      <c r="AJ857" s="411">
        <f t="shared" ref="AJ857" si="2562">AJ856</f>
        <v>0</v>
      </c>
      <c r="AK857" s="411">
        <f t="shared" ref="AK857" si="2563">AK856</f>
        <v>0</v>
      </c>
      <c r="AL857" s="411">
        <f t="shared" ref="AL857" si="2564">AL856</f>
        <v>0</v>
      </c>
      <c r="AM857" s="306"/>
    </row>
    <row r="858" spans="1:39" ht="15.5">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1"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t="15.5" hidden="1"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5">Z859</f>
        <v>0</v>
      </c>
      <c r="AA860" s="411">
        <f t="shared" ref="AA860" si="2566">AA859</f>
        <v>0</v>
      </c>
      <c r="AB860" s="411">
        <f t="shared" ref="AB860" si="2567">AB859</f>
        <v>0</v>
      </c>
      <c r="AC860" s="411">
        <f t="shared" ref="AC860" si="2568">AC859</f>
        <v>0</v>
      </c>
      <c r="AD860" s="411">
        <f t="shared" ref="AD860" si="2569">AD859</f>
        <v>0</v>
      </c>
      <c r="AE860" s="411">
        <f t="shared" ref="AE860" si="2570">AE859</f>
        <v>0</v>
      </c>
      <c r="AF860" s="411">
        <f t="shared" ref="AF860" si="2571">AF859</f>
        <v>0</v>
      </c>
      <c r="AG860" s="411">
        <f t="shared" ref="AG860" si="2572">AG859</f>
        <v>0</v>
      </c>
      <c r="AH860" s="411">
        <f t="shared" ref="AH860" si="2573">AH859</f>
        <v>0</v>
      </c>
      <c r="AI860" s="411">
        <f t="shared" ref="AI860" si="2574">AI859</f>
        <v>0</v>
      </c>
      <c r="AJ860" s="411">
        <f t="shared" ref="AJ860" si="2575">AJ859</f>
        <v>0</v>
      </c>
      <c r="AK860" s="411">
        <f t="shared" ref="AK860" si="2576">AK859</f>
        <v>0</v>
      </c>
      <c r="AL860" s="411">
        <f t="shared" ref="AL860" si="2577">AL859</f>
        <v>0</v>
      </c>
      <c r="AM860" s="306"/>
    </row>
    <row r="861" spans="1:39" ht="15.5"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1"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t="15.5" hidden="1"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8">Z862</f>
        <v>0</v>
      </c>
      <c r="AA863" s="411">
        <f t="shared" ref="AA863" si="2579">AA862</f>
        <v>0</v>
      </c>
      <c r="AB863" s="411">
        <f t="shared" ref="AB863" si="2580">AB862</f>
        <v>0</v>
      </c>
      <c r="AC863" s="411">
        <f t="shared" ref="AC863" si="2581">AC862</f>
        <v>0</v>
      </c>
      <c r="AD863" s="411">
        <f t="shared" ref="AD863" si="2582">AD862</f>
        <v>0</v>
      </c>
      <c r="AE863" s="411">
        <f t="shared" ref="AE863" si="2583">AE862</f>
        <v>0</v>
      </c>
      <c r="AF863" s="411">
        <f t="shared" ref="AF863" si="2584">AF862</f>
        <v>0</v>
      </c>
      <c r="AG863" s="411">
        <f t="shared" ref="AG863" si="2585">AG862</f>
        <v>0</v>
      </c>
      <c r="AH863" s="411">
        <f t="shared" ref="AH863" si="2586">AH862</f>
        <v>0</v>
      </c>
      <c r="AI863" s="411">
        <f t="shared" ref="AI863" si="2587">AI862</f>
        <v>0</v>
      </c>
      <c r="AJ863" s="411">
        <f t="shared" ref="AJ863" si="2588">AJ862</f>
        <v>0</v>
      </c>
      <c r="AK863" s="411">
        <f t="shared" ref="AK863" si="2589">AK862</f>
        <v>0</v>
      </c>
      <c r="AL863" s="411">
        <f t="shared" ref="AL863" si="2590">AL862</f>
        <v>0</v>
      </c>
      <c r="AM863" s="306"/>
    </row>
    <row r="864" spans="1:39" ht="15.5"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1" hidden="1"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t="15.5" hidden="1"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1">Z865</f>
        <v>0</v>
      </c>
      <c r="AA866" s="411">
        <f t="shared" ref="AA866" si="2592">AA865</f>
        <v>0</v>
      </c>
      <c r="AB866" s="411">
        <f t="shared" ref="AB866" si="2593">AB865</f>
        <v>0</v>
      </c>
      <c r="AC866" s="411">
        <f t="shared" ref="AC866" si="2594">AC865</f>
        <v>0</v>
      </c>
      <c r="AD866" s="411">
        <f t="shared" ref="AD866" si="2595">AD865</f>
        <v>0</v>
      </c>
      <c r="AE866" s="411">
        <f t="shared" ref="AE866" si="2596">AE865</f>
        <v>0</v>
      </c>
      <c r="AF866" s="411">
        <f t="shared" ref="AF866" si="2597">AF865</f>
        <v>0</v>
      </c>
      <c r="AG866" s="411">
        <f t="shared" ref="AG866" si="2598">AG865</f>
        <v>0</v>
      </c>
      <c r="AH866" s="411">
        <f t="shared" ref="AH866" si="2599">AH865</f>
        <v>0</v>
      </c>
      <c r="AI866" s="411">
        <f t="shared" ref="AI866" si="2600">AI865</f>
        <v>0</v>
      </c>
      <c r="AJ866" s="411">
        <f t="shared" ref="AJ866" si="2601">AJ865</f>
        <v>0</v>
      </c>
      <c r="AK866" s="411">
        <f t="shared" ref="AK866" si="2602">AK865</f>
        <v>0</v>
      </c>
      <c r="AL866" s="411">
        <f t="shared" ref="AL866" si="2603">AL865</f>
        <v>0</v>
      </c>
      <c r="AM866" s="306"/>
    </row>
    <row r="867" spans="1:39" ht="15.5"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1"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t="15.5" hidden="1"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4">Z868</f>
        <v>0</v>
      </c>
      <c r="AA869" s="411">
        <f t="shared" ref="AA869" si="2605">AA868</f>
        <v>0</v>
      </c>
      <c r="AB869" s="411">
        <f t="shared" ref="AB869" si="2606">AB868</f>
        <v>0</v>
      </c>
      <c r="AC869" s="411">
        <f t="shared" ref="AC869" si="2607">AC868</f>
        <v>0</v>
      </c>
      <c r="AD869" s="411">
        <f t="shared" ref="AD869" si="2608">AD868</f>
        <v>0</v>
      </c>
      <c r="AE869" s="411">
        <f t="shared" ref="AE869" si="2609">AE868</f>
        <v>0</v>
      </c>
      <c r="AF869" s="411">
        <f t="shared" ref="AF869" si="2610">AF868</f>
        <v>0</v>
      </c>
      <c r="AG869" s="411">
        <f t="shared" ref="AG869" si="2611">AG868</f>
        <v>0</v>
      </c>
      <c r="AH869" s="411">
        <f t="shared" ref="AH869" si="2612">AH868</f>
        <v>0</v>
      </c>
      <c r="AI869" s="411">
        <f t="shared" ref="AI869" si="2613">AI868</f>
        <v>0</v>
      </c>
      <c r="AJ869" s="411">
        <f t="shared" ref="AJ869" si="2614">AJ868</f>
        <v>0</v>
      </c>
      <c r="AK869" s="411">
        <f t="shared" ref="AK869" si="2615">AK868</f>
        <v>0</v>
      </c>
      <c r="AL869" s="411">
        <f t="shared" ref="AL869" si="2616">AL868</f>
        <v>0</v>
      </c>
      <c r="AM869" s="306"/>
    </row>
    <row r="870" spans="1:39" ht="15.5"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15.5"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t="15.5" hidden="1"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7">Z871</f>
        <v>0</v>
      </c>
      <c r="AA872" s="411">
        <f t="shared" ref="AA872" si="2618">AA871</f>
        <v>0</v>
      </c>
      <c r="AB872" s="411">
        <f t="shared" ref="AB872" si="2619">AB871</f>
        <v>0</v>
      </c>
      <c r="AC872" s="411">
        <f t="shared" ref="AC872" si="2620">AC871</f>
        <v>0</v>
      </c>
      <c r="AD872" s="411">
        <f t="shared" ref="AD872" si="2621">AD871</f>
        <v>0</v>
      </c>
      <c r="AE872" s="411">
        <f t="shared" ref="AE872" si="2622">AE871</f>
        <v>0</v>
      </c>
      <c r="AF872" s="411">
        <f t="shared" ref="AF872" si="2623">AF871</f>
        <v>0</v>
      </c>
      <c r="AG872" s="411">
        <f t="shared" ref="AG872" si="2624">AG871</f>
        <v>0</v>
      </c>
      <c r="AH872" s="411">
        <f t="shared" ref="AH872" si="2625">AH871</f>
        <v>0</v>
      </c>
      <c r="AI872" s="411">
        <f t="shared" ref="AI872" si="2626">AI871</f>
        <v>0</v>
      </c>
      <c r="AJ872" s="411">
        <f t="shared" ref="AJ872" si="2627">AJ871</f>
        <v>0</v>
      </c>
      <c r="AK872" s="411">
        <f t="shared" ref="AK872" si="2628">AK871</f>
        <v>0</v>
      </c>
      <c r="AL872" s="411">
        <f>AL871</f>
        <v>0</v>
      </c>
      <c r="AM872" s="306"/>
    </row>
    <row r="873" spans="1:39" ht="15.5"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5" hidden="1"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15.5"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t="15.5" hidden="1"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29">Z875</f>
        <v>0</v>
      </c>
      <c r="AA876" s="411">
        <f t="shared" ref="AA876" si="2630">AA875</f>
        <v>0</v>
      </c>
      <c r="AB876" s="411">
        <f t="shared" ref="AB876" si="2631">AB875</f>
        <v>0</v>
      </c>
      <c r="AC876" s="411">
        <f t="shared" ref="AC876" si="2632">AC875</f>
        <v>0</v>
      </c>
      <c r="AD876" s="411">
        <f t="shared" ref="AD876" si="2633">AD875</f>
        <v>0</v>
      </c>
      <c r="AE876" s="411">
        <f t="shared" ref="AE876" si="2634">AE875</f>
        <v>0</v>
      </c>
      <c r="AF876" s="411">
        <f t="shared" ref="AF876" si="2635">AF875</f>
        <v>0</v>
      </c>
      <c r="AG876" s="411">
        <f t="shared" ref="AG876" si="2636">AG875</f>
        <v>0</v>
      </c>
      <c r="AH876" s="411">
        <f t="shared" ref="AH876" si="2637">AH875</f>
        <v>0</v>
      </c>
      <c r="AI876" s="411">
        <f t="shared" ref="AI876" si="2638">AI875</f>
        <v>0</v>
      </c>
      <c r="AJ876" s="411">
        <f t="shared" ref="AJ876" si="2639">AJ875</f>
        <v>0</v>
      </c>
      <c r="AK876" s="411">
        <f t="shared" ref="AK876" si="2640">AK875</f>
        <v>0</v>
      </c>
      <c r="AL876" s="411">
        <f t="shared" ref="AL876" si="2641">AL875</f>
        <v>0</v>
      </c>
      <c r="AM876" s="306"/>
    </row>
    <row r="877" spans="1:39" ht="15.5"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5"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5" hidden="1"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2">Z878</f>
        <v>0</v>
      </c>
      <c r="AA879" s="411">
        <f t="shared" ref="AA879" si="2643">AA878</f>
        <v>0</v>
      </c>
      <c r="AB879" s="411">
        <f t="shared" ref="AB879" si="2644">AB878</f>
        <v>0</v>
      </c>
      <c r="AC879" s="411">
        <f t="shared" ref="AC879" si="2645">AC878</f>
        <v>0</v>
      </c>
      <c r="AD879" s="411">
        <f t="shared" ref="AD879" si="2646">AD878</f>
        <v>0</v>
      </c>
      <c r="AE879" s="411">
        <f t="shared" ref="AE879" si="2647">AE878</f>
        <v>0</v>
      </c>
      <c r="AF879" s="411">
        <f t="shared" ref="AF879" si="2648">AF878</f>
        <v>0</v>
      </c>
      <c r="AG879" s="411">
        <f t="shared" ref="AG879" si="2649">AG878</f>
        <v>0</v>
      </c>
      <c r="AH879" s="411">
        <f t="shared" ref="AH879" si="2650">AH878</f>
        <v>0</v>
      </c>
      <c r="AI879" s="411">
        <f t="shared" ref="AI879" si="2651">AI878</f>
        <v>0</v>
      </c>
      <c r="AJ879" s="411">
        <f t="shared" ref="AJ879" si="2652">AJ878</f>
        <v>0</v>
      </c>
      <c r="AK879" s="411">
        <f t="shared" ref="AK879" si="2653">AK878</f>
        <v>0</v>
      </c>
      <c r="AL879" s="411">
        <f t="shared" ref="AL879" si="2654">AL878</f>
        <v>0</v>
      </c>
      <c r="AM879" s="306"/>
    </row>
    <row r="880" spans="1:39" ht="15.5"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5"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5" hidden="1"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5">Z881</f>
        <v>0</v>
      </c>
      <c r="AA882" s="411">
        <f t="shared" ref="AA882" si="2656">AA881</f>
        <v>0</v>
      </c>
      <c r="AB882" s="411">
        <f t="shared" ref="AB882" si="2657">AB881</f>
        <v>0</v>
      </c>
      <c r="AC882" s="411">
        <f t="shared" ref="AC882" si="2658">AC881</f>
        <v>0</v>
      </c>
      <c r="AD882" s="411">
        <f t="shared" ref="AD882" si="2659">AD881</f>
        <v>0</v>
      </c>
      <c r="AE882" s="411">
        <f t="shared" ref="AE882" si="2660">AE881</f>
        <v>0</v>
      </c>
      <c r="AF882" s="411">
        <f t="shared" ref="AF882" si="2661">AF881</f>
        <v>0</v>
      </c>
      <c r="AG882" s="411">
        <f t="shared" ref="AG882" si="2662">AG881</f>
        <v>0</v>
      </c>
      <c r="AH882" s="411">
        <f t="shared" ref="AH882" si="2663">AH881</f>
        <v>0</v>
      </c>
      <c r="AI882" s="411">
        <f t="shared" ref="AI882" si="2664">AI881</f>
        <v>0</v>
      </c>
      <c r="AJ882" s="411">
        <f t="shared" ref="AJ882" si="2665">AJ881</f>
        <v>0</v>
      </c>
      <c r="AK882" s="411">
        <f t="shared" ref="AK882" si="2666">AK881</f>
        <v>0</v>
      </c>
      <c r="AL882" s="411">
        <f t="shared" ref="AL882" si="2667">AL881</f>
        <v>0</v>
      </c>
      <c r="AM882" s="306"/>
    </row>
    <row r="883" spans="1:39" ht="15.5"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5" hidden="1"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6.5" hidden="1"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t="15.5" hidden="1"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68">Z885</f>
        <v>0</v>
      </c>
      <c r="AA886" s="411">
        <f t="shared" ref="AA886" si="2669">AA885</f>
        <v>0</v>
      </c>
      <c r="AB886" s="411">
        <f t="shared" ref="AB886" si="2670">AB885</f>
        <v>0</v>
      </c>
      <c r="AC886" s="411">
        <f t="shared" ref="AC886" si="2671">AC885</f>
        <v>0</v>
      </c>
      <c r="AD886" s="411">
        <f t="shared" ref="AD886" si="2672">AD885</f>
        <v>0</v>
      </c>
      <c r="AE886" s="411">
        <f t="shared" ref="AE886" si="2673">AE885</f>
        <v>0</v>
      </c>
      <c r="AF886" s="411">
        <f t="shared" ref="AF886" si="2674">AF885</f>
        <v>0</v>
      </c>
      <c r="AG886" s="411">
        <f t="shared" ref="AG886" si="2675">AG885</f>
        <v>0</v>
      </c>
      <c r="AH886" s="411">
        <f t="shared" ref="AH886" si="2676">AH885</f>
        <v>0</v>
      </c>
      <c r="AI886" s="411">
        <f t="shared" ref="AI886" si="2677">AI885</f>
        <v>0</v>
      </c>
      <c r="AJ886" s="411">
        <f t="shared" ref="AJ886" si="2678">AJ885</f>
        <v>0</v>
      </c>
      <c r="AK886" s="411">
        <f t="shared" ref="AK886" si="2679">AK885</f>
        <v>0</v>
      </c>
      <c r="AL886" s="411">
        <f t="shared" ref="AL886" si="2680">AL885</f>
        <v>0</v>
      </c>
      <c r="AM886" s="306"/>
    </row>
    <row r="887" spans="1:39" ht="15.5"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1" hidden="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5" hidden="1"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1">Z888</f>
        <v>0</v>
      </c>
      <c r="AA889" s="411">
        <f t="shared" ref="AA889" si="2682">AA888</f>
        <v>0</v>
      </c>
      <c r="AB889" s="411">
        <f t="shared" ref="AB889" si="2683">AB888</f>
        <v>0</v>
      </c>
      <c r="AC889" s="411">
        <f t="shared" ref="AC889" si="2684">AC888</f>
        <v>0</v>
      </c>
      <c r="AD889" s="411">
        <f t="shared" ref="AD889" si="2685">AD888</f>
        <v>0</v>
      </c>
      <c r="AE889" s="411">
        <f t="shared" ref="AE889" si="2686">AE888</f>
        <v>0</v>
      </c>
      <c r="AF889" s="411">
        <f t="shared" ref="AF889" si="2687">AF888</f>
        <v>0</v>
      </c>
      <c r="AG889" s="411">
        <f t="shared" ref="AG889" si="2688">AG888</f>
        <v>0</v>
      </c>
      <c r="AH889" s="411">
        <f t="shared" ref="AH889" si="2689">AH888</f>
        <v>0</v>
      </c>
      <c r="AI889" s="411">
        <f t="shared" ref="AI889" si="2690">AI888</f>
        <v>0</v>
      </c>
      <c r="AJ889" s="411">
        <f t="shared" ref="AJ889" si="2691">AJ888</f>
        <v>0</v>
      </c>
      <c r="AK889" s="411">
        <f t="shared" ref="AK889" si="2692">AK888</f>
        <v>0</v>
      </c>
      <c r="AL889" s="411">
        <f t="shared" ref="AL889" si="2693">AL888</f>
        <v>0</v>
      </c>
      <c r="AM889" s="306"/>
    </row>
    <row r="890" spans="1:39" ht="15.5"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5.5"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5.5" hidden="1"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4">Z891</f>
        <v>0</v>
      </c>
      <c r="AA892" s="411">
        <f t="shared" ref="AA892" si="2695">AA891</f>
        <v>0</v>
      </c>
      <c r="AB892" s="411">
        <f t="shared" ref="AB892" si="2696">AB891</f>
        <v>0</v>
      </c>
      <c r="AC892" s="411">
        <f t="shared" ref="AC892" si="2697">AC891</f>
        <v>0</v>
      </c>
      <c r="AD892" s="411">
        <f t="shared" ref="AD892" si="2698">AD891</f>
        <v>0</v>
      </c>
      <c r="AE892" s="411">
        <f t="shared" ref="AE892" si="2699">AE891</f>
        <v>0</v>
      </c>
      <c r="AF892" s="411">
        <f t="shared" ref="AF892" si="2700">AF891</f>
        <v>0</v>
      </c>
      <c r="AG892" s="411">
        <f t="shared" ref="AG892" si="2701">AG891</f>
        <v>0</v>
      </c>
      <c r="AH892" s="411">
        <f t="shared" ref="AH892" si="2702">AH891</f>
        <v>0</v>
      </c>
      <c r="AI892" s="411">
        <f t="shared" ref="AI892" si="2703">AI891</f>
        <v>0</v>
      </c>
      <c r="AJ892" s="411">
        <f t="shared" ref="AJ892" si="2704">AJ891</f>
        <v>0</v>
      </c>
      <c r="AK892" s="411">
        <f t="shared" ref="AK892" si="2705">AK891</f>
        <v>0</v>
      </c>
      <c r="AL892" s="411">
        <f t="shared" ref="AL892" si="2706">AL891</f>
        <v>0</v>
      </c>
      <c r="AM892" s="306"/>
    </row>
    <row r="893" spans="1:39" ht="15.5"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1"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5" hidden="1"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7">Z894</f>
        <v>0</v>
      </c>
      <c r="AA895" s="411">
        <f t="shared" ref="AA895" si="2708">AA894</f>
        <v>0</v>
      </c>
      <c r="AB895" s="411">
        <f t="shared" ref="AB895" si="2709">AB894</f>
        <v>0</v>
      </c>
      <c r="AC895" s="411">
        <f t="shared" ref="AC895" si="2710">AC894</f>
        <v>0</v>
      </c>
      <c r="AD895" s="411">
        <f t="shared" ref="AD895" si="2711">AD894</f>
        <v>0</v>
      </c>
      <c r="AE895" s="411">
        <f t="shared" ref="AE895" si="2712">AE894</f>
        <v>0</v>
      </c>
      <c r="AF895" s="411">
        <f t="shared" ref="AF895" si="2713">AF894</f>
        <v>0</v>
      </c>
      <c r="AG895" s="411">
        <f t="shared" ref="AG895" si="2714">AG894</f>
        <v>0</v>
      </c>
      <c r="AH895" s="411">
        <f t="shared" ref="AH895" si="2715">AH894</f>
        <v>0</v>
      </c>
      <c r="AI895" s="411">
        <f t="shared" ref="AI895" si="2716">AI894</f>
        <v>0</v>
      </c>
      <c r="AJ895" s="411">
        <f t="shared" ref="AJ895" si="2717">AJ894</f>
        <v>0</v>
      </c>
      <c r="AK895" s="411">
        <f t="shared" ref="AK895" si="2718">AK894</f>
        <v>0</v>
      </c>
      <c r="AL895" s="411">
        <f t="shared" ref="AL895" si="2719">AL894</f>
        <v>0</v>
      </c>
      <c r="AM895" s="306"/>
    </row>
    <row r="896" spans="1:39" ht="15.5"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1"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5" hidden="1"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0">Z897</f>
        <v>0</v>
      </c>
      <c r="AA898" s="411">
        <f t="shared" ref="AA898" si="2721">AA897</f>
        <v>0</v>
      </c>
      <c r="AB898" s="411">
        <f t="shared" ref="AB898" si="2722">AB897</f>
        <v>0</v>
      </c>
      <c r="AC898" s="411">
        <f t="shared" ref="AC898" si="2723">AC897</f>
        <v>0</v>
      </c>
      <c r="AD898" s="411">
        <f t="shared" ref="AD898" si="2724">AD897</f>
        <v>0</v>
      </c>
      <c r="AE898" s="411">
        <f t="shared" ref="AE898" si="2725">AE897</f>
        <v>0</v>
      </c>
      <c r="AF898" s="411">
        <f t="shared" ref="AF898" si="2726">AF897</f>
        <v>0</v>
      </c>
      <c r="AG898" s="411">
        <f t="shared" ref="AG898" si="2727">AG897</f>
        <v>0</v>
      </c>
      <c r="AH898" s="411">
        <f t="shared" ref="AH898" si="2728">AH897</f>
        <v>0</v>
      </c>
      <c r="AI898" s="411">
        <f t="shared" ref="AI898" si="2729">AI897</f>
        <v>0</v>
      </c>
      <c r="AJ898" s="411">
        <f t="shared" ref="AJ898" si="2730">AJ897</f>
        <v>0</v>
      </c>
      <c r="AK898" s="411">
        <f t="shared" ref="AK898" si="2731">AK897</f>
        <v>0</v>
      </c>
      <c r="AL898" s="411">
        <f t="shared" ref="AL898" si="2732">AL897</f>
        <v>0</v>
      </c>
      <c r="AM898" s="306"/>
    </row>
    <row r="899" spans="1:39" ht="15.5"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6.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5" hidden="1"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3">Z900</f>
        <v>0</v>
      </c>
      <c r="AA901" s="411">
        <f t="shared" ref="AA901" si="2734">AA900</f>
        <v>0</v>
      </c>
      <c r="AB901" s="411">
        <f t="shared" ref="AB901" si="2735">AB900</f>
        <v>0</v>
      </c>
      <c r="AC901" s="411">
        <f t="shared" ref="AC901" si="2736">AC900</f>
        <v>0</v>
      </c>
      <c r="AD901" s="411">
        <f t="shared" ref="AD901" si="2737">AD900</f>
        <v>0</v>
      </c>
      <c r="AE901" s="411">
        <f t="shared" ref="AE901" si="2738">AE900</f>
        <v>0</v>
      </c>
      <c r="AF901" s="411">
        <f t="shared" ref="AF901" si="2739">AF900</f>
        <v>0</v>
      </c>
      <c r="AG901" s="411">
        <f t="shared" ref="AG901" si="2740">AG900</f>
        <v>0</v>
      </c>
      <c r="AH901" s="411">
        <f t="shared" ref="AH901" si="2741">AH900</f>
        <v>0</v>
      </c>
      <c r="AI901" s="411">
        <f t="shared" ref="AI901" si="2742">AI900</f>
        <v>0</v>
      </c>
      <c r="AJ901" s="411">
        <f t="shared" ref="AJ901" si="2743">AJ900</f>
        <v>0</v>
      </c>
      <c r="AK901" s="411">
        <f t="shared" ref="AK901" si="2744">AK900</f>
        <v>0</v>
      </c>
      <c r="AL901" s="411">
        <f t="shared" ref="AL901" si="2745">AL900</f>
        <v>0</v>
      </c>
      <c r="AM901" s="306"/>
    </row>
    <row r="902" spans="1:39" ht="15.5"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31"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5" hidden="1"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6">Z903</f>
        <v>0</v>
      </c>
      <c r="AA904" s="411">
        <f t="shared" ref="AA904" si="2747">AA903</f>
        <v>0</v>
      </c>
      <c r="AB904" s="411">
        <f t="shared" ref="AB904" si="2748">AB903</f>
        <v>0</v>
      </c>
      <c r="AC904" s="411">
        <f t="shared" ref="AC904" si="2749">AC903</f>
        <v>0</v>
      </c>
      <c r="AD904" s="411">
        <f t="shared" ref="AD904" si="2750">AD903</f>
        <v>0</v>
      </c>
      <c r="AE904" s="411">
        <f t="shared" ref="AE904" si="2751">AE903</f>
        <v>0</v>
      </c>
      <c r="AF904" s="411">
        <f t="shared" ref="AF904" si="2752">AF903</f>
        <v>0</v>
      </c>
      <c r="AG904" s="411">
        <f t="shared" ref="AG904" si="2753">AG903</f>
        <v>0</v>
      </c>
      <c r="AH904" s="411">
        <f t="shared" ref="AH904" si="2754">AH903</f>
        <v>0</v>
      </c>
      <c r="AI904" s="411">
        <f t="shared" ref="AI904" si="2755">AI903</f>
        <v>0</v>
      </c>
      <c r="AJ904" s="411">
        <f t="shared" ref="AJ904" si="2756">AJ903</f>
        <v>0</v>
      </c>
      <c r="AK904" s="411">
        <f t="shared" ref="AK904" si="2757">AK903</f>
        <v>0</v>
      </c>
      <c r="AL904" s="411">
        <f t="shared" ref="AL904" si="2758">AL903</f>
        <v>0</v>
      </c>
      <c r="AM904" s="306"/>
    </row>
    <row r="905" spans="1:39" ht="15.5"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15.5"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5" hidden="1"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59">Z906</f>
        <v>0</v>
      </c>
      <c r="AA907" s="411">
        <f t="shared" ref="AA907" si="2760">AA906</f>
        <v>0</v>
      </c>
      <c r="AB907" s="411">
        <f t="shared" ref="AB907" si="2761">AB906</f>
        <v>0</v>
      </c>
      <c r="AC907" s="411">
        <f t="shared" ref="AC907" si="2762">AC906</f>
        <v>0</v>
      </c>
      <c r="AD907" s="411">
        <f t="shared" ref="AD907" si="2763">AD906</f>
        <v>0</v>
      </c>
      <c r="AE907" s="411">
        <f t="shared" ref="AE907" si="2764">AE906</f>
        <v>0</v>
      </c>
      <c r="AF907" s="411">
        <f t="shared" ref="AF907" si="2765">AF906</f>
        <v>0</v>
      </c>
      <c r="AG907" s="411">
        <f t="shared" ref="AG907" si="2766">AG906</f>
        <v>0</v>
      </c>
      <c r="AH907" s="411">
        <f t="shared" ref="AH907" si="2767">AH906</f>
        <v>0</v>
      </c>
      <c r="AI907" s="411">
        <f t="shared" ref="AI907" si="2768">AI906</f>
        <v>0</v>
      </c>
      <c r="AJ907" s="411">
        <f t="shared" ref="AJ907" si="2769">AJ906</f>
        <v>0</v>
      </c>
      <c r="AK907" s="411">
        <f t="shared" ref="AK907" si="2770">AK906</f>
        <v>0</v>
      </c>
      <c r="AL907" s="411">
        <f t="shared" ref="AL907" si="2771">AL906</f>
        <v>0</v>
      </c>
      <c r="AM907" s="306"/>
    </row>
    <row r="908" spans="1:39" ht="15.5"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6.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5" hidden="1"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2">Z909</f>
        <v>0</v>
      </c>
      <c r="AA910" s="411">
        <f t="shared" ref="AA910" si="2773">AA909</f>
        <v>0</v>
      </c>
      <c r="AB910" s="411">
        <f t="shared" ref="AB910" si="2774">AB909</f>
        <v>0</v>
      </c>
      <c r="AC910" s="411">
        <f t="shared" ref="AC910" si="2775">AC909</f>
        <v>0</v>
      </c>
      <c r="AD910" s="411">
        <f t="shared" ref="AD910" si="2776">AD909</f>
        <v>0</v>
      </c>
      <c r="AE910" s="411">
        <f t="shared" ref="AE910" si="2777">AE909</f>
        <v>0</v>
      </c>
      <c r="AF910" s="411">
        <f t="shared" ref="AF910" si="2778">AF909</f>
        <v>0</v>
      </c>
      <c r="AG910" s="411">
        <f t="shared" ref="AG910" si="2779">AG909</f>
        <v>0</v>
      </c>
      <c r="AH910" s="411">
        <f t="shared" ref="AH910" si="2780">AH909</f>
        <v>0</v>
      </c>
      <c r="AI910" s="411">
        <f t="shared" ref="AI910" si="2781">AI909</f>
        <v>0</v>
      </c>
      <c r="AJ910" s="411">
        <f t="shared" ref="AJ910" si="2782">AJ909</f>
        <v>0</v>
      </c>
      <c r="AK910" s="411">
        <f t="shared" ref="AK910" si="2783">AK909</f>
        <v>0</v>
      </c>
      <c r="AL910" s="411">
        <f t="shared" ref="AL910" si="2784">AL909</f>
        <v>0</v>
      </c>
      <c r="AM910" s="306"/>
    </row>
    <row r="911" spans="1:39" ht="15.5"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1"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t="15.5" hidden="1"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5">Z912</f>
        <v>0</v>
      </c>
      <c r="AA913" s="411">
        <f t="shared" ref="AA913" si="2786">AA912</f>
        <v>0</v>
      </c>
      <c r="AB913" s="411">
        <f t="shared" ref="AB913" si="2787">AB912</f>
        <v>0</v>
      </c>
      <c r="AC913" s="411">
        <f t="shared" ref="AC913" si="2788">AC912</f>
        <v>0</v>
      </c>
      <c r="AD913" s="411">
        <f t="shared" ref="AD913" si="2789">AD912</f>
        <v>0</v>
      </c>
      <c r="AE913" s="411">
        <f t="shared" ref="AE913" si="2790">AE912</f>
        <v>0</v>
      </c>
      <c r="AF913" s="411">
        <f t="shared" ref="AF913" si="2791">AF912</f>
        <v>0</v>
      </c>
      <c r="AG913" s="411">
        <f t="shared" ref="AG913" si="2792">AG912</f>
        <v>0</v>
      </c>
      <c r="AH913" s="411">
        <f t="shared" ref="AH913" si="2793">AH912</f>
        <v>0</v>
      </c>
      <c r="AI913" s="411">
        <f t="shared" ref="AI913" si="2794">AI912</f>
        <v>0</v>
      </c>
      <c r="AJ913" s="411">
        <f t="shared" ref="AJ913" si="2795">AJ912</f>
        <v>0</v>
      </c>
      <c r="AK913" s="411">
        <f t="shared" ref="AK913" si="2796">AK912</f>
        <v>0</v>
      </c>
      <c r="AL913" s="411">
        <f t="shared" ref="AL913" si="2797">AL912</f>
        <v>0</v>
      </c>
      <c r="AM913" s="306"/>
    </row>
    <row r="914" spans="1:39" ht="15.5"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1"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t="15.5" hidden="1"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98">Z915</f>
        <v>0</v>
      </c>
      <c r="AA916" s="411">
        <f t="shared" ref="AA916" si="2799">AA915</f>
        <v>0</v>
      </c>
      <c r="AB916" s="411">
        <f t="shared" ref="AB916" si="2800">AB915</f>
        <v>0</v>
      </c>
      <c r="AC916" s="411">
        <f t="shared" ref="AC916" si="2801">AC915</f>
        <v>0</v>
      </c>
      <c r="AD916" s="411">
        <f t="shared" ref="AD916" si="2802">AD915</f>
        <v>0</v>
      </c>
      <c r="AE916" s="411">
        <f t="shared" ref="AE916" si="2803">AE915</f>
        <v>0</v>
      </c>
      <c r="AF916" s="411">
        <f t="shared" ref="AF916" si="2804">AF915</f>
        <v>0</v>
      </c>
      <c r="AG916" s="411">
        <f t="shared" ref="AG916" si="2805">AG915</f>
        <v>0</v>
      </c>
      <c r="AH916" s="411">
        <f t="shared" ref="AH916" si="2806">AH915</f>
        <v>0</v>
      </c>
      <c r="AI916" s="411">
        <f t="shared" ref="AI916" si="2807">AI915</f>
        <v>0</v>
      </c>
      <c r="AJ916" s="411">
        <f t="shared" ref="AJ916" si="2808">AJ915</f>
        <v>0</v>
      </c>
      <c r="AK916" s="411">
        <f t="shared" ref="AK916" si="2809">AK915</f>
        <v>0</v>
      </c>
      <c r="AL916" s="411">
        <f t="shared" ref="AL916" si="2810">AL915</f>
        <v>0</v>
      </c>
      <c r="AM916" s="306"/>
    </row>
    <row r="917" spans="1:39" ht="15.5"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1"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5" hidden="1"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1">Z918</f>
        <v>0</v>
      </c>
      <c r="AA919" s="411">
        <f t="shared" ref="AA919" si="2812">AA918</f>
        <v>0</v>
      </c>
      <c r="AB919" s="411">
        <f t="shared" ref="AB919" si="2813">AB918</f>
        <v>0</v>
      </c>
      <c r="AC919" s="411">
        <f t="shared" ref="AC919" si="2814">AC918</f>
        <v>0</v>
      </c>
      <c r="AD919" s="411">
        <f t="shared" ref="AD919" si="2815">AD918</f>
        <v>0</v>
      </c>
      <c r="AE919" s="411">
        <f t="shared" ref="AE919" si="2816">AE918</f>
        <v>0</v>
      </c>
      <c r="AF919" s="411">
        <f t="shared" ref="AF919" si="2817">AF918</f>
        <v>0</v>
      </c>
      <c r="AG919" s="411">
        <f t="shared" ref="AG919" si="2818">AG918</f>
        <v>0</v>
      </c>
      <c r="AH919" s="411">
        <f t="shared" ref="AH919" si="2819">AH918</f>
        <v>0</v>
      </c>
      <c r="AI919" s="411">
        <f t="shared" ref="AI919" si="2820">AI918</f>
        <v>0</v>
      </c>
      <c r="AJ919" s="411">
        <f t="shared" ref="AJ919" si="2821">AJ918</f>
        <v>0</v>
      </c>
      <c r="AK919" s="411">
        <f t="shared" ref="AK919" si="2822">AK918</f>
        <v>0</v>
      </c>
      <c r="AL919" s="411">
        <f t="shared" ref="AL919" si="2823">AL918</f>
        <v>0</v>
      </c>
      <c r="AM919" s="306"/>
    </row>
    <row r="920" spans="1:39" ht="15.5"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1"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5" hidden="1"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4">Z921</f>
        <v>0</v>
      </c>
      <c r="AA922" s="411">
        <f t="shared" ref="AA922" si="2825">AA921</f>
        <v>0</v>
      </c>
      <c r="AB922" s="411">
        <f t="shared" ref="AB922" si="2826">AB921</f>
        <v>0</v>
      </c>
      <c r="AC922" s="411">
        <f t="shared" ref="AC922" si="2827">AC921</f>
        <v>0</v>
      </c>
      <c r="AD922" s="411">
        <f t="shared" ref="AD922" si="2828">AD921</f>
        <v>0</v>
      </c>
      <c r="AE922" s="411">
        <f t="shared" ref="AE922" si="2829">AE921</f>
        <v>0</v>
      </c>
      <c r="AF922" s="411">
        <f t="shared" ref="AF922" si="2830">AF921</f>
        <v>0</v>
      </c>
      <c r="AG922" s="411">
        <f t="shared" ref="AG922" si="2831">AG921</f>
        <v>0</v>
      </c>
      <c r="AH922" s="411">
        <f t="shared" ref="AH922" si="2832">AH921</f>
        <v>0</v>
      </c>
      <c r="AI922" s="411">
        <f t="shared" ref="AI922" si="2833">AI921</f>
        <v>0</v>
      </c>
      <c r="AJ922" s="411">
        <f t="shared" ref="AJ922" si="2834">AJ921</f>
        <v>0</v>
      </c>
      <c r="AK922" s="411">
        <f t="shared" ref="AK922" si="2835">AK921</f>
        <v>0</v>
      </c>
      <c r="AL922" s="411">
        <f t="shared" ref="AL922" si="2836">AL921</f>
        <v>0</v>
      </c>
      <c r="AM922" s="306"/>
    </row>
    <row r="923" spans="1:39" ht="15.5"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1"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5" hidden="1"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7">Z924</f>
        <v>0</v>
      </c>
      <c r="AA925" s="411">
        <f t="shared" ref="AA925" si="2838">AA924</f>
        <v>0</v>
      </c>
      <c r="AB925" s="411">
        <f t="shared" ref="AB925" si="2839">AB924</f>
        <v>0</v>
      </c>
      <c r="AC925" s="411">
        <f t="shared" ref="AC925" si="2840">AC924</f>
        <v>0</v>
      </c>
      <c r="AD925" s="411">
        <f t="shared" ref="AD925" si="2841">AD924</f>
        <v>0</v>
      </c>
      <c r="AE925" s="411">
        <f t="shared" ref="AE925" si="2842">AE924</f>
        <v>0</v>
      </c>
      <c r="AF925" s="411">
        <f t="shared" ref="AF925" si="2843">AF924</f>
        <v>0</v>
      </c>
      <c r="AG925" s="411">
        <f t="shared" ref="AG925" si="2844">AG924</f>
        <v>0</v>
      </c>
      <c r="AH925" s="411">
        <f t="shared" ref="AH925" si="2845">AH924</f>
        <v>0</v>
      </c>
      <c r="AI925" s="411">
        <f t="shared" ref="AI925" si="2846">AI924</f>
        <v>0</v>
      </c>
      <c r="AJ925" s="411">
        <f t="shared" ref="AJ925" si="2847">AJ924</f>
        <v>0</v>
      </c>
      <c r="AK925" s="411">
        <f t="shared" ref="AK925" si="2848">AK924</f>
        <v>0</v>
      </c>
      <c r="AL925" s="411">
        <f t="shared" ref="AL925" si="2849">AL924</f>
        <v>0</v>
      </c>
      <c r="AM925" s="306"/>
    </row>
    <row r="926" spans="1:39" ht="15.5"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5" collapsed="1">
      <c r="B927" s="327" t="s">
        <v>328</v>
      </c>
      <c r="C927" s="329"/>
      <c r="D927" s="329">
        <f>SUM(D770:D925)</f>
        <v>123313.54516632223</v>
      </c>
      <c r="E927" s="329"/>
      <c r="F927" s="329"/>
      <c r="G927" s="329"/>
      <c r="H927" s="329"/>
      <c r="I927" s="329"/>
      <c r="J927" s="329"/>
      <c r="K927" s="329"/>
      <c r="L927" s="329"/>
      <c r="M927" s="329"/>
      <c r="N927" s="329"/>
      <c r="O927" s="329">
        <f>SUM(O770:O925)</f>
        <v>27.310099261038609</v>
      </c>
      <c r="P927" s="329"/>
      <c r="Q927" s="329"/>
      <c r="R927" s="329"/>
      <c r="S927" s="329"/>
      <c r="T927" s="329"/>
      <c r="U927" s="329"/>
      <c r="V927" s="329"/>
      <c r="W927" s="329"/>
      <c r="X927" s="329"/>
      <c r="Y927" s="329">
        <f>IF(Y768="kWh",SUMPRODUCT(D770:D925,Y770:Y925))</f>
        <v>4410</v>
      </c>
      <c r="Z927" s="329">
        <f>IF(Z768="kWh",SUMPRODUCT(D770:D925,Z770:Z925))</f>
        <v>90366.694326404904</v>
      </c>
      <c r="AA927" s="329">
        <f>IF(AA768="kw",SUMPRODUCT(N770:N925,O770:O925,AA770:AA925),SUMPRODUCT(D770:D925,AA770:AA925))</f>
        <v>77.774319858536984</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23684777.690771606</v>
      </c>
      <c r="Z928" s="392">
        <f>HLOOKUP(Z584,'2. LRAMVA Threshold'!$B$42:$Q$53,11,FALSE)</f>
        <v>6277862.757266609</v>
      </c>
      <c r="AA928" s="392">
        <f>HLOOKUP(AA584,'2. LRAMVA Threshold'!$B$42:$Q$53,11,FALSE)</f>
        <v>39467.353745152323</v>
      </c>
      <c r="AB928" s="392">
        <f>HLOOKUP(AB584,'2. LRAMVA Threshold'!$B$42:$Q$53,11,FALSE)</f>
        <v>8421.0109922061147</v>
      </c>
      <c r="AC928" s="392">
        <f>HLOOKUP(AC584,'2. LRAMVA Threshold'!$B$42:$Q$53,11,FALSE)</f>
        <v>4726.6295185435147</v>
      </c>
      <c r="AD928" s="392">
        <f>HLOOKUP(AD584,'2. LRAMVA Threshold'!$B$42:$Q$53,11,FALSE)</f>
        <v>12760</v>
      </c>
      <c r="AE928" s="392">
        <f>HLOOKUP(AE584,'2. LRAMVA Threshold'!$B$42:$Q$53,11,FALSE)</f>
        <v>127653.09034468187</v>
      </c>
      <c r="AF928" s="392">
        <f>HLOOKUP(AF584,'2. LRAMVA Threshold'!$B$42:$Q$53,11,FALSE)</f>
        <v>4.1527363006044018</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ht="15.5">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ht="15.5">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4.0000000000000001E-3</v>
      </c>
      <c r="Z930" s="341">
        <f>HLOOKUP(Z$35,'3.  Distribution Rates'!$C$122:$P$133,11,FALSE)</f>
        <v>1.7399999999999999E-2</v>
      </c>
      <c r="AA930" s="341">
        <f>HLOOKUP(AA$35,'3.  Distribution Rates'!$C$122:$P$133,11,FALSE)</f>
        <v>4.9089999999999998</v>
      </c>
      <c r="AB930" s="341">
        <f>HLOOKUP(AB$35,'3.  Distribution Rates'!$C$122:$P$133,11,FALSE)</f>
        <v>2.5657000000000001</v>
      </c>
      <c r="AC930" s="341">
        <f>HLOOKUP(AC$35,'3.  Distribution Rates'!$C$122:$P$133,11,FALSE)</f>
        <v>2.2117</v>
      </c>
      <c r="AD930" s="341">
        <f>HLOOKUP(AD$35,'3.  Distribution Rates'!$C$122:$P$133,11,FALSE)</f>
        <v>31.911799999999999</v>
      </c>
      <c r="AE930" s="341">
        <f>HLOOKUP(AE$35,'3.  Distribution Rates'!$C$122:$P$133,11,FALSE)</f>
        <v>1.9599999999999999E-2</v>
      </c>
      <c r="AF930" s="341">
        <f>HLOOKUP(AF$35,'3.  Distribution Rates'!$C$122:$P$133,11,FALSE)</f>
        <v>8.2517999999999994</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ht="15.5">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0">SUM(Y931:AL931)</f>
        <v>0</v>
      </c>
    </row>
    <row r="932" spans="2:39" ht="15.5">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0"/>
        <v>0</v>
      </c>
    </row>
    <row r="933" spans="2:39" ht="15.5">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0"/>
        <v>0</v>
      </c>
    </row>
    <row r="934" spans="2:39" ht="15.5">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0"/>
        <v>0</v>
      </c>
    </row>
    <row r="935" spans="2:39" ht="15.5">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1">Y211*Y930</f>
        <v>13755.392</v>
      </c>
      <c r="Z935" s="378">
        <f t="shared" si="2851"/>
        <v>17836.643603999997</v>
      </c>
      <c r="AA935" s="378">
        <f t="shared" si="2851"/>
        <v>11739.186240000001</v>
      </c>
      <c r="AB935" s="378">
        <f t="shared" si="2851"/>
        <v>24595.005455999999</v>
      </c>
      <c r="AC935" s="378">
        <f t="shared" si="2851"/>
        <v>0</v>
      </c>
      <c r="AD935" s="378">
        <f t="shared" si="2851"/>
        <v>0</v>
      </c>
      <c r="AE935" s="378">
        <f t="shared" si="2851"/>
        <v>0</v>
      </c>
      <c r="AF935" s="378">
        <f t="shared" si="2851"/>
        <v>0</v>
      </c>
      <c r="AG935" s="378">
        <f t="shared" si="2851"/>
        <v>0</v>
      </c>
      <c r="AH935" s="378">
        <f t="shared" si="2851"/>
        <v>0</v>
      </c>
      <c r="AI935" s="378">
        <f t="shared" si="2851"/>
        <v>0</v>
      </c>
      <c r="AJ935" s="378">
        <f t="shared" si="2851"/>
        <v>0</v>
      </c>
      <c r="AK935" s="378">
        <f t="shared" si="2851"/>
        <v>0</v>
      </c>
      <c r="AL935" s="378">
        <f t="shared" si="2851"/>
        <v>0</v>
      </c>
      <c r="AM935" s="629">
        <f t="shared" si="2850"/>
        <v>67926.227299999999</v>
      </c>
    </row>
    <row r="936" spans="2:39" ht="15.5">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2">Y394*Y930</f>
        <v>37439.788</v>
      </c>
      <c r="Z936" s="378">
        <f t="shared" si="2852"/>
        <v>39904.196213999996</v>
      </c>
      <c r="AA936" s="378">
        <f t="shared" si="2852"/>
        <v>13932.920160000001</v>
      </c>
      <c r="AB936" s="378">
        <f t="shared" si="2852"/>
        <v>2628.7135920000001</v>
      </c>
      <c r="AC936" s="378">
        <f t="shared" si="2852"/>
        <v>0</v>
      </c>
      <c r="AD936" s="378">
        <f t="shared" si="2852"/>
        <v>31076.349076000002</v>
      </c>
      <c r="AE936" s="378">
        <f t="shared" si="2852"/>
        <v>0</v>
      </c>
      <c r="AF936" s="378">
        <f t="shared" si="2852"/>
        <v>0</v>
      </c>
      <c r="AG936" s="378">
        <f t="shared" si="2852"/>
        <v>0</v>
      </c>
      <c r="AH936" s="378">
        <f t="shared" si="2852"/>
        <v>0</v>
      </c>
      <c r="AI936" s="378">
        <f t="shared" si="2852"/>
        <v>0</v>
      </c>
      <c r="AJ936" s="378">
        <f t="shared" si="2852"/>
        <v>0</v>
      </c>
      <c r="AK936" s="378">
        <f t="shared" si="2852"/>
        <v>0</v>
      </c>
      <c r="AL936" s="378">
        <f t="shared" si="2852"/>
        <v>0</v>
      </c>
      <c r="AM936" s="629">
        <f t="shared" si="2850"/>
        <v>124981.967042</v>
      </c>
    </row>
    <row r="937" spans="2:39" ht="15.5">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3">Y577*Y930</f>
        <v>52562.567999999999</v>
      </c>
      <c r="Z937" s="378">
        <f t="shared" si="2853"/>
        <v>27466.459931999998</v>
      </c>
      <c r="AA937" s="378">
        <f t="shared" si="2853"/>
        <v>25504.807679999998</v>
      </c>
      <c r="AB937" s="378">
        <f t="shared" si="2853"/>
        <v>0</v>
      </c>
      <c r="AC937" s="378">
        <f t="shared" si="2853"/>
        <v>878.48724000000016</v>
      </c>
      <c r="AD937" s="378">
        <f t="shared" si="2853"/>
        <v>486933.85913200001</v>
      </c>
      <c r="AE937" s="378">
        <f t="shared" si="2853"/>
        <v>0</v>
      </c>
      <c r="AF937" s="378">
        <f t="shared" si="2853"/>
        <v>0</v>
      </c>
      <c r="AG937" s="378">
        <f t="shared" si="2853"/>
        <v>0</v>
      </c>
      <c r="AH937" s="378">
        <f t="shared" si="2853"/>
        <v>0</v>
      </c>
      <c r="AI937" s="378">
        <f t="shared" si="2853"/>
        <v>0</v>
      </c>
      <c r="AJ937" s="378">
        <f t="shared" si="2853"/>
        <v>0</v>
      </c>
      <c r="AK937" s="378">
        <f t="shared" si="2853"/>
        <v>0</v>
      </c>
      <c r="AL937" s="378">
        <f t="shared" si="2853"/>
        <v>0</v>
      </c>
      <c r="AM937" s="629">
        <f t="shared" si="2850"/>
        <v>593346.18198400002</v>
      </c>
    </row>
    <row r="938" spans="2:39" ht="15.5">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4">Y760*Y930</f>
        <v>12755.284</v>
      </c>
      <c r="Z938" s="378">
        <f t="shared" si="2854"/>
        <v>13893.116999999997</v>
      </c>
      <c r="AA938" s="378">
        <f t="shared" si="2854"/>
        <v>16950.359512976869</v>
      </c>
      <c r="AB938" s="378">
        <f t="shared" si="2854"/>
        <v>0</v>
      </c>
      <c r="AC938" s="378">
        <f t="shared" si="2854"/>
        <v>0</v>
      </c>
      <c r="AD938" s="378">
        <f t="shared" si="2854"/>
        <v>0</v>
      </c>
      <c r="AE938" s="378">
        <f t="shared" si="2854"/>
        <v>0</v>
      </c>
      <c r="AF938" s="378">
        <f t="shared" si="2854"/>
        <v>0</v>
      </c>
      <c r="AG938" s="378">
        <f t="shared" si="2854"/>
        <v>0</v>
      </c>
      <c r="AH938" s="378">
        <f t="shared" si="2854"/>
        <v>0</v>
      </c>
      <c r="AI938" s="378">
        <f t="shared" si="2854"/>
        <v>0</v>
      </c>
      <c r="AJ938" s="378">
        <f t="shared" si="2854"/>
        <v>0</v>
      </c>
      <c r="AK938" s="378">
        <f t="shared" si="2854"/>
        <v>0</v>
      </c>
      <c r="AL938" s="378">
        <f t="shared" si="2854"/>
        <v>0</v>
      </c>
      <c r="AM938" s="629">
        <f t="shared" si="2850"/>
        <v>43598.760512976864</v>
      </c>
    </row>
    <row r="939" spans="2:39" ht="15.5">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17.64</v>
      </c>
      <c r="Z939" s="378">
        <f t="shared" ref="Z939:AL939" si="2855">Z927*Z930</f>
        <v>1572.3804812794451</v>
      </c>
      <c r="AA939" s="378">
        <f t="shared" si="2855"/>
        <v>381.79413618555805</v>
      </c>
      <c r="AB939" s="378">
        <f t="shared" si="2855"/>
        <v>0</v>
      </c>
      <c r="AC939" s="378">
        <f t="shared" si="2855"/>
        <v>0</v>
      </c>
      <c r="AD939" s="378">
        <f t="shared" si="2855"/>
        <v>0</v>
      </c>
      <c r="AE939" s="378">
        <f t="shared" si="2855"/>
        <v>0</v>
      </c>
      <c r="AF939" s="378">
        <f t="shared" si="2855"/>
        <v>0</v>
      </c>
      <c r="AG939" s="378">
        <f t="shared" si="2855"/>
        <v>0</v>
      </c>
      <c r="AH939" s="378">
        <f t="shared" si="2855"/>
        <v>0</v>
      </c>
      <c r="AI939" s="378">
        <f t="shared" si="2855"/>
        <v>0</v>
      </c>
      <c r="AJ939" s="378">
        <f t="shared" si="2855"/>
        <v>0</v>
      </c>
      <c r="AK939" s="378">
        <f t="shared" si="2855"/>
        <v>0</v>
      </c>
      <c r="AL939" s="378">
        <f t="shared" si="2855"/>
        <v>0</v>
      </c>
      <c r="AM939" s="629">
        <f t="shared" si="2850"/>
        <v>1971.8146174650033</v>
      </c>
    </row>
    <row r="940" spans="2:39" ht="15.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116530.67199999999</v>
      </c>
      <c r="Z940" s="346">
        <f t="shared" ref="Z940:AE940" si="2856">SUM(Z931:Z939)</f>
        <v>100672.79723127943</v>
      </c>
      <c r="AA940" s="346">
        <f t="shared" si="2856"/>
        <v>68509.067729162431</v>
      </c>
      <c r="AB940" s="346">
        <f t="shared" si="2856"/>
        <v>27223.719047999999</v>
      </c>
      <c r="AC940" s="346">
        <f t="shared" si="2856"/>
        <v>878.48724000000016</v>
      </c>
      <c r="AD940" s="346">
        <f t="shared" si="2856"/>
        <v>518010.208208</v>
      </c>
      <c r="AE940" s="346">
        <f t="shared" si="2856"/>
        <v>0</v>
      </c>
      <c r="AF940" s="346">
        <f>SUM(AF931:AF939)</f>
        <v>0</v>
      </c>
      <c r="AG940" s="346">
        <f t="shared" ref="AG940:AL940" si="2857">SUM(AG931:AG939)</f>
        <v>0</v>
      </c>
      <c r="AH940" s="346">
        <f t="shared" si="2857"/>
        <v>0</v>
      </c>
      <c r="AI940" s="346">
        <f t="shared" si="2857"/>
        <v>0</v>
      </c>
      <c r="AJ940" s="346">
        <f t="shared" si="2857"/>
        <v>0</v>
      </c>
      <c r="AK940" s="346">
        <f t="shared" si="2857"/>
        <v>0</v>
      </c>
      <c r="AL940" s="346">
        <f t="shared" si="2857"/>
        <v>0</v>
      </c>
      <c r="AM940" s="407">
        <f>SUM(AM931:AM939)</f>
        <v>831824.95145644201</v>
      </c>
    </row>
    <row r="941" spans="2:39" ht="15.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94739.110763086428</v>
      </c>
      <c r="Z941" s="347">
        <f t="shared" ref="Z941:AE941" si="2858">Z928*Z930</f>
        <v>109234.81197643898</v>
      </c>
      <c r="AA941" s="347">
        <f t="shared" si="2858"/>
        <v>193745.23953495274</v>
      </c>
      <c r="AB941" s="347">
        <f t="shared" si="2858"/>
        <v>21605.787902703229</v>
      </c>
      <c r="AC941" s="347">
        <f t="shared" si="2858"/>
        <v>10453.886506162691</v>
      </c>
      <c r="AD941" s="347">
        <f t="shared" si="2858"/>
        <v>407194.56799999997</v>
      </c>
      <c r="AE941" s="347">
        <f t="shared" si="2858"/>
        <v>2502.0005707557648</v>
      </c>
      <c r="AF941" s="347">
        <f>AF928*AF930</f>
        <v>34.267549405327401</v>
      </c>
      <c r="AG941" s="347">
        <f t="shared" ref="AG941:AL941" si="2859">AG928*AG930</f>
        <v>0</v>
      </c>
      <c r="AH941" s="347">
        <f t="shared" si="2859"/>
        <v>0</v>
      </c>
      <c r="AI941" s="347">
        <f t="shared" si="2859"/>
        <v>0</v>
      </c>
      <c r="AJ941" s="347">
        <f t="shared" si="2859"/>
        <v>0</v>
      </c>
      <c r="AK941" s="347">
        <f t="shared" si="2859"/>
        <v>0</v>
      </c>
      <c r="AL941" s="347">
        <f t="shared" si="2859"/>
        <v>0</v>
      </c>
      <c r="AM941" s="407">
        <f>SUM(Y941:AL941)</f>
        <v>839509.67280350521</v>
      </c>
    </row>
    <row r="942" spans="2:39" ht="15.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-7684.7213470631978</v>
      </c>
    </row>
    <row r="943" spans="2:39" ht="15.5">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ht="15.5">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4410</v>
      </c>
      <c r="Z944" s="326">
        <f>SUMPRODUCT(E770:E925,Z770:Z925)</f>
        <v>79568.2</v>
      </c>
      <c r="AA944" s="326">
        <f t="shared" ref="AA944:AL944" si="2860">IF(AA768="kw",SUMPRODUCT($N$770:$N$925,$P$770:$P$925,AA770:AA925),SUMPRODUCT($E$770:$E$925,AA770:AA925))</f>
        <v>68.480568903136472</v>
      </c>
      <c r="AB944" s="326">
        <f t="shared" si="2860"/>
        <v>0</v>
      </c>
      <c r="AC944" s="326">
        <f t="shared" si="2860"/>
        <v>0</v>
      </c>
      <c r="AD944" s="326">
        <f t="shared" si="2860"/>
        <v>0</v>
      </c>
      <c r="AE944" s="326">
        <f t="shared" si="2860"/>
        <v>0</v>
      </c>
      <c r="AF944" s="326">
        <f t="shared" si="2860"/>
        <v>0</v>
      </c>
      <c r="AG944" s="326">
        <f t="shared" si="2860"/>
        <v>0</v>
      </c>
      <c r="AH944" s="326">
        <f t="shared" si="2860"/>
        <v>0</v>
      </c>
      <c r="AI944" s="326">
        <f t="shared" si="2860"/>
        <v>0</v>
      </c>
      <c r="AJ944" s="326">
        <f t="shared" si="2860"/>
        <v>0</v>
      </c>
      <c r="AK944" s="326">
        <f t="shared" si="2860"/>
        <v>0</v>
      </c>
      <c r="AL944" s="326">
        <f t="shared" si="2860"/>
        <v>0</v>
      </c>
      <c r="AM944" s="386"/>
    </row>
    <row r="945" spans="1:39" ht="18.75" customHeight="1">
      <c r="B945" s="368" t="s">
        <v>588</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5">
      <c r="B948" s="280" t="s">
        <v>341</v>
      </c>
      <c r="C948" s="281"/>
      <c r="D948" s="590" t="s">
        <v>526</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921" t="s">
        <v>211</v>
      </c>
      <c r="C949" s="923" t="s">
        <v>33</v>
      </c>
      <c r="D949" s="284" t="s">
        <v>422</v>
      </c>
      <c r="E949" s="925" t="s">
        <v>209</v>
      </c>
      <c r="F949" s="926"/>
      <c r="G949" s="926"/>
      <c r="H949" s="926"/>
      <c r="I949" s="926"/>
      <c r="J949" s="926"/>
      <c r="K949" s="926"/>
      <c r="L949" s="926"/>
      <c r="M949" s="927"/>
      <c r="N949" s="928" t="s">
        <v>213</v>
      </c>
      <c r="O949" s="284" t="s">
        <v>423</v>
      </c>
      <c r="P949" s="925" t="s">
        <v>212</v>
      </c>
      <c r="Q949" s="926"/>
      <c r="R949" s="926"/>
      <c r="S949" s="926"/>
      <c r="T949" s="926"/>
      <c r="U949" s="926"/>
      <c r="V949" s="926"/>
      <c r="W949" s="926"/>
      <c r="X949" s="927"/>
      <c r="Y949" s="918" t="s">
        <v>243</v>
      </c>
      <c r="Z949" s="919"/>
      <c r="AA949" s="919"/>
      <c r="AB949" s="919"/>
      <c r="AC949" s="919"/>
      <c r="AD949" s="919"/>
      <c r="AE949" s="919"/>
      <c r="AF949" s="919"/>
      <c r="AG949" s="919"/>
      <c r="AH949" s="919"/>
      <c r="AI949" s="919"/>
      <c r="AJ949" s="919"/>
      <c r="AK949" s="919"/>
      <c r="AL949" s="919"/>
      <c r="AM949" s="920"/>
    </row>
    <row r="950" spans="1:39" ht="65.25" customHeight="1">
      <c r="B950" s="922"/>
      <c r="C950" s="924"/>
      <c r="D950" s="285">
        <v>2020</v>
      </c>
      <c r="E950" s="285">
        <v>2021</v>
      </c>
      <c r="F950" s="285">
        <v>2022</v>
      </c>
      <c r="G950" s="285">
        <v>2023</v>
      </c>
      <c r="H950" s="285">
        <v>2024</v>
      </c>
      <c r="I950" s="285">
        <v>2025</v>
      </c>
      <c r="J950" s="285">
        <v>2026</v>
      </c>
      <c r="K950" s="285">
        <v>2027</v>
      </c>
      <c r="L950" s="285">
        <v>2028</v>
      </c>
      <c r="M950" s="285">
        <v>2029</v>
      </c>
      <c r="N950" s="929"/>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 50 to 999 kW (I1 &amp; I4)</v>
      </c>
      <c r="AB950" s="285" t="str">
        <f>'1.  LRAMVA Summary'!G52</f>
        <v>GS 1,000 to 4,999 kW (I2)</v>
      </c>
      <c r="AC950" s="285" t="str">
        <f>'1.  LRAMVA Summary'!H52</f>
        <v>Large Use (I3)</v>
      </c>
      <c r="AD950" s="285" t="str">
        <f>'1.  LRAMVA Summary'!I52</f>
        <v>Street Lighting</v>
      </c>
      <c r="AE950" s="285" t="str">
        <f>'1.  LRAMVA Summary'!J52</f>
        <v>USL</v>
      </c>
      <c r="AF950" s="285" t="str">
        <f>'1.  LRAMVA Summary'!K52</f>
        <v>Sentinel Lights</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v>
      </c>
      <c r="AD951" s="291" t="str">
        <f>'1.  LRAMVA Summary'!I53</f>
        <v>kW</v>
      </c>
      <c r="AE951" s="291" t="str">
        <f>'1.  LRAMVA Summary'!J53</f>
        <v>kWh</v>
      </c>
      <c r="AF951" s="291" t="str">
        <f>'1.  LRAMVA Summary'!K53</f>
        <v>kW</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1">Z953</f>
        <v>0</v>
      </c>
      <c r="AA954" s="411">
        <f t="shared" ref="AA954" si="2862">AA953</f>
        <v>0</v>
      </c>
      <c r="AB954" s="411">
        <f t="shared" ref="AB954" si="2863">AB953</f>
        <v>0</v>
      </c>
      <c r="AC954" s="411">
        <f t="shared" ref="AC954" si="2864">AC953</f>
        <v>0</v>
      </c>
      <c r="AD954" s="411">
        <f t="shared" ref="AD954" si="2865">AD953</f>
        <v>0</v>
      </c>
      <c r="AE954" s="411">
        <f t="shared" ref="AE954" si="2866">AE953</f>
        <v>0</v>
      </c>
      <c r="AF954" s="411">
        <f t="shared" ref="AF954" si="2867">AF953</f>
        <v>0</v>
      </c>
      <c r="AG954" s="411">
        <f t="shared" ref="AG954" si="2868">AG953</f>
        <v>0</v>
      </c>
      <c r="AH954" s="411">
        <f t="shared" ref="AH954" si="2869">AH953</f>
        <v>0</v>
      </c>
      <c r="AI954" s="411">
        <f t="shared" ref="AI954" si="2870">AI953</f>
        <v>0</v>
      </c>
      <c r="AJ954" s="411">
        <f t="shared" ref="AJ954" si="2871">AJ953</f>
        <v>0</v>
      </c>
      <c r="AK954" s="411">
        <f t="shared" ref="AK954" si="2872">AK953</f>
        <v>0</v>
      </c>
      <c r="AL954" s="411">
        <f t="shared" ref="AL954" si="2873">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4">Z956</f>
        <v>0</v>
      </c>
      <c r="AA957" s="411">
        <f t="shared" ref="AA957" si="2875">AA956</f>
        <v>0</v>
      </c>
      <c r="AB957" s="411">
        <f t="shared" ref="AB957" si="2876">AB956</f>
        <v>0</v>
      </c>
      <c r="AC957" s="411">
        <f t="shared" ref="AC957" si="2877">AC956</f>
        <v>0</v>
      </c>
      <c r="AD957" s="411">
        <f t="shared" ref="AD957" si="2878">AD956</f>
        <v>0</v>
      </c>
      <c r="AE957" s="411">
        <f t="shared" ref="AE957" si="2879">AE956</f>
        <v>0</v>
      </c>
      <c r="AF957" s="411">
        <f t="shared" ref="AF957" si="2880">AF956</f>
        <v>0</v>
      </c>
      <c r="AG957" s="411">
        <f t="shared" ref="AG957" si="2881">AG956</f>
        <v>0</v>
      </c>
      <c r="AH957" s="411">
        <f t="shared" ref="AH957" si="2882">AH956</f>
        <v>0</v>
      </c>
      <c r="AI957" s="411">
        <f t="shared" ref="AI957" si="2883">AI956</f>
        <v>0</v>
      </c>
      <c r="AJ957" s="411">
        <f t="shared" ref="AJ957" si="2884">AJ956</f>
        <v>0</v>
      </c>
      <c r="AK957" s="411">
        <f t="shared" ref="AK957" si="2885">AK956</f>
        <v>0</v>
      </c>
      <c r="AL957" s="411">
        <f t="shared" ref="AL957" si="2886">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7">Z959</f>
        <v>0</v>
      </c>
      <c r="AA960" s="411">
        <f t="shared" ref="AA960" si="2888">AA959</f>
        <v>0</v>
      </c>
      <c r="AB960" s="411">
        <f t="shared" ref="AB960" si="2889">AB959</f>
        <v>0</v>
      </c>
      <c r="AC960" s="411">
        <f t="shared" ref="AC960" si="2890">AC959</f>
        <v>0</v>
      </c>
      <c r="AD960" s="411">
        <f t="shared" ref="AD960" si="2891">AD959</f>
        <v>0</v>
      </c>
      <c r="AE960" s="411">
        <f t="shared" ref="AE960" si="2892">AE959</f>
        <v>0</v>
      </c>
      <c r="AF960" s="411">
        <f t="shared" ref="AF960" si="2893">AF959</f>
        <v>0</v>
      </c>
      <c r="AG960" s="411">
        <f t="shared" ref="AG960" si="2894">AG959</f>
        <v>0</v>
      </c>
      <c r="AH960" s="411">
        <f t="shared" ref="AH960" si="2895">AH959</f>
        <v>0</v>
      </c>
      <c r="AI960" s="411">
        <f t="shared" ref="AI960" si="2896">AI959</f>
        <v>0</v>
      </c>
      <c r="AJ960" s="411">
        <f t="shared" ref="AJ960" si="2897">AJ959</f>
        <v>0</v>
      </c>
      <c r="AK960" s="411">
        <f t="shared" ref="AK960" si="2898">AK959</f>
        <v>0</v>
      </c>
      <c r="AL960" s="411">
        <f t="shared" ref="AL960" si="2899">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678</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0">Z962</f>
        <v>0</v>
      </c>
      <c r="AA963" s="411">
        <f t="shared" ref="AA963" si="2901">AA962</f>
        <v>0</v>
      </c>
      <c r="AB963" s="411">
        <f t="shared" ref="AB963" si="2902">AB962</f>
        <v>0</v>
      </c>
      <c r="AC963" s="411">
        <f t="shared" ref="AC963" si="2903">AC962</f>
        <v>0</v>
      </c>
      <c r="AD963" s="411">
        <f t="shared" ref="AD963" si="2904">AD962</f>
        <v>0</v>
      </c>
      <c r="AE963" s="411">
        <f t="shared" ref="AE963" si="2905">AE962</f>
        <v>0</v>
      </c>
      <c r="AF963" s="411">
        <f t="shared" ref="AF963" si="2906">AF962</f>
        <v>0</v>
      </c>
      <c r="AG963" s="411">
        <f t="shared" ref="AG963" si="2907">AG962</f>
        <v>0</v>
      </c>
      <c r="AH963" s="411">
        <f t="shared" ref="AH963" si="2908">AH962</f>
        <v>0</v>
      </c>
      <c r="AI963" s="411">
        <f t="shared" ref="AI963" si="2909">AI962</f>
        <v>0</v>
      </c>
      <c r="AJ963" s="411">
        <f t="shared" ref="AJ963" si="2910">AJ962</f>
        <v>0</v>
      </c>
      <c r="AK963" s="411">
        <f t="shared" ref="AK963" si="2911">AK962</f>
        <v>0</v>
      </c>
      <c r="AL963" s="411">
        <f t="shared" ref="AL963" si="2912">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3">Z965</f>
        <v>0</v>
      </c>
      <c r="AA966" s="411">
        <f t="shared" ref="AA966" si="2914">AA965</f>
        <v>0</v>
      </c>
      <c r="AB966" s="411">
        <f t="shared" ref="AB966" si="2915">AB965</f>
        <v>0</v>
      </c>
      <c r="AC966" s="411">
        <f t="shared" ref="AC966" si="2916">AC965</f>
        <v>0</v>
      </c>
      <c r="AD966" s="411">
        <f t="shared" ref="AD966" si="2917">AD965</f>
        <v>0</v>
      </c>
      <c r="AE966" s="411">
        <f t="shared" ref="AE966" si="2918">AE965</f>
        <v>0</v>
      </c>
      <c r="AF966" s="411">
        <f t="shared" ref="AF966" si="2919">AF965</f>
        <v>0</v>
      </c>
      <c r="AG966" s="411">
        <f t="shared" ref="AG966" si="2920">AG965</f>
        <v>0</v>
      </c>
      <c r="AH966" s="411">
        <f t="shared" ref="AH966" si="2921">AH965</f>
        <v>0</v>
      </c>
      <c r="AI966" s="411">
        <f t="shared" ref="AI966" si="2922">AI965</f>
        <v>0</v>
      </c>
      <c r="AJ966" s="411">
        <f t="shared" ref="AJ966" si="2923">AJ965</f>
        <v>0</v>
      </c>
      <c r="AK966" s="411">
        <f t="shared" ref="AK966" si="2924">AK965</f>
        <v>0</v>
      </c>
      <c r="AL966" s="411">
        <f t="shared" ref="AL966" si="2925">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5" hidden="1"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6">Z969</f>
        <v>0</v>
      </c>
      <c r="AA970" s="411">
        <f t="shared" ref="AA970" si="2927">AA969</f>
        <v>0</v>
      </c>
      <c r="AB970" s="411">
        <f t="shared" ref="AB970" si="2928">AB969</f>
        <v>0</v>
      </c>
      <c r="AC970" s="411">
        <f t="shared" ref="AC970" si="2929">AC969</f>
        <v>0</v>
      </c>
      <c r="AD970" s="411">
        <f t="shared" ref="AD970" si="2930">AD969</f>
        <v>0</v>
      </c>
      <c r="AE970" s="411">
        <f t="shared" ref="AE970" si="2931">AE969</f>
        <v>0</v>
      </c>
      <c r="AF970" s="411">
        <f t="shared" ref="AF970" si="2932">AF969</f>
        <v>0</v>
      </c>
      <c r="AG970" s="411">
        <f t="shared" ref="AG970" si="2933">AG969</f>
        <v>0</v>
      </c>
      <c r="AH970" s="411">
        <f t="shared" ref="AH970" si="2934">AH969</f>
        <v>0</v>
      </c>
      <c r="AI970" s="411">
        <f t="shared" ref="AI970" si="2935">AI969</f>
        <v>0</v>
      </c>
      <c r="AJ970" s="411">
        <f t="shared" ref="AJ970" si="2936">AJ969</f>
        <v>0</v>
      </c>
      <c r="AK970" s="411">
        <f t="shared" ref="AK970" si="2937">AK969</f>
        <v>0</v>
      </c>
      <c r="AL970" s="411">
        <f t="shared" ref="AL970" si="2938">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39">Z972</f>
        <v>0</v>
      </c>
      <c r="AA973" s="411">
        <f t="shared" ref="AA973" si="2940">AA972</f>
        <v>0</v>
      </c>
      <c r="AB973" s="411">
        <f t="shared" ref="AB973" si="2941">AB972</f>
        <v>0</v>
      </c>
      <c r="AC973" s="411">
        <f t="shared" ref="AC973" si="2942">AC972</f>
        <v>0</v>
      </c>
      <c r="AD973" s="411">
        <f t="shared" ref="AD973" si="2943">AD972</f>
        <v>0</v>
      </c>
      <c r="AE973" s="411">
        <f t="shared" ref="AE973" si="2944">AE972</f>
        <v>0</v>
      </c>
      <c r="AF973" s="411">
        <f t="shared" ref="AF973" si="2945">AF972</f>
        <v>0</v>
      </c>
      <c r="AG973" s="411">
        <f t="shared" ref="AG973" si="2946">AG972</f>
        <v>0</v>
      </c>
      <c r="AH973" s="411">
        <f t="shared" ref="AH973" si="2947">AH972</f>
        <v>0</v>
      </c>
      <c r="AI973" s="411">
        <f t="shared" ref="AI973" si="2948">AI972</f>
        <v>0</v>
      </c>
      <c r="AJ973" s="411">
        <f t="shared" ref="AJ973" si="2949">AJ972</f>
        <v>0</v>
      </c>
      <c r="AK973" s="411">
        <f t="shared" ref="AK973" si="2950">AK972</f>
        <v>0</v>
      </c>
      <c r="AL973" s="411">
        <f t="shared" ref="AL973" si="2951">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2">Z975</f>
        <v>0</v>
      </c>
      <c r="AA976" s="411">
        <f t="shared" ref="AA976" si="2953">AA975</f>
        <v>0</v>
      </c>
      <c r="AB976" s="411">
        <f t="shared" ref="AB976" si="2954">AB975</f>
        <v>0</v>
      </c>
      <c r="AC976" s="411">
        <f t="shared" ref="AC976" si="2955">AC975</f>
        <v>0</v>
      </c>
      <c r="AD976" s="411">
        <f t="shared" ref="AD976" si="2956">AD975</f>
        <v>0</v>
      </c>
      <c r="AE976" s="411">
        <f t="shared" ref="AE976" si="2957">AE975</f>
        <v>0</v>
      </c>
      <c r="AF976" s="411">
        <f t="shared" ref="AF976" si="2958">AF975</f>
        <v>0</v>
      </c>
      <c r="AG976" s="411">
        <f t="shared" ref="AG976" si="2959">AG975</f>
        <v>0</v>
      </c>
      <c r="AH976" s="411">
        <f t="shared" ref="AH976" si="2960">AH975</f>
        <v>0</v>
      </c>
      <c r="AI976" s="411">
        <f t="shared" ref="AI976" si="2961">AI975</f>
        <v>0</v>
      </c>
      <c r="AJ976" s="411">
        <f t="shared" ref="AJ976" si="2962">AJ975</f>
        <v>0</v>
      </c>
      <c r="AK976" s="411">
        <f t="shared" ref="AK976" si="2963">AK975</f>
        <v>0</v>
      </c>
      <c r="AL976" s="411">
        <f t="shared" ref="AL976" si="2964">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5">Z978</f>
        <v>0</v>
      </c>
      <c r="AA979" s="411">
        <f t="shared" ref="AA979" si="2966">AA978</f>
        <v>0</v>
      </c>
      <c r="AB979" s="411">
        <f t="shared" ref="AB979" si="2967">AB978</f>
        <v>0</v>
      </c>
      <c r="AC979" s="411">
        <f t="shared" ref="AC979" si="2968">AC978</f>
        <v>0</v>
      </c>
      <c r="AD979" s="411">
        <f t="shared" ref="AD979" si="2969">AD978</f>
        <v>0</v>
      </c>
      <c r="AE979" s="411">
        <f t="shared" ref="AE979" si="2970">AE978</f>
        <v>0</v>
      </c>
      <c r="AF979" s="411">
        <f t="shared" ref="AF979" si="2971">AF978</f>
        <v>0</v>
      </c>
      <c r="AG979" s="411">
        <f t="shared" ref="AG979" si="2972">AG978</f>
        <v>0</v>
      </c>
      <c r="AH979" s="411">
        <f t="shared" ref="AH979" si="2973">AH978</f>
        <v>0</v>
      </c>
      <c r="AI979" s="411">
        <f t="shared" ref="AI979" si="2974">AI978</f>
        <v>0</v>
      </c>
      <c r="AJ979" s="411">
        <f t="shared" ref="AJ979" si="2975">AJ978</f>
        <v>0</v>
      </c>
      <c r="AK979" s="411">
        <f t="shared" ref="AK979" si="2976">AK978</f>
        <v>0</v>
      </c>
      <c r="AL979" s="411">
        <f t="shared" ref="AL979" si="2977">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8">Z981</f>
        <v>0</v>
      </c>
      <c r="AA982" s="411">
        <f t="shared" ref="AA982" si="2979">AA981</f>
        <v>0</v>
      </c>
      <c r="AB982" s="411">
        <f t="shared" ref="AB982" si="2980">AB981</f>
        <v>0</v>
      </c>
      <c r="AC982" s="411">
        <f t="shared" ref="AC982" si="2981">AC981</f>
        <v>0</v>
      </c>
      <c r="AD982" s="411">
        <f t="shared" ref="AD982" si="2982">AD981</f>
        <v>0</v>
      </c>
      <c r="AE982" s="411">
        <f t="shared" ref="AE982" si="2983">AE981</f>
        <v>0</v>
      </c>
      <c r="AF982" s="411">
        <f t="shared" ref="AF982" si="2984">AF981</f>
        <v>0</v>
      </c>
      <c r="AG982" s="411">
        <f t="shared" ref="AG982" si="2985">AG981</f>
        <v>0</v>
      </c>
      <c r="AH982" s="411">
        <f t="shared" ref="AH982" si="2986">AH981</f>
        <v>0</v>
      </c>
      <c r="AI982" s="411">
        <f t="shared" ref="AI982" si="2987">AI981</f>
        <v>0</v>
      </c>
      <c r="AJ982" s="411">
        <f t="shared" ref="AJ982" si="2988">AJ981</f>
        <v>0</v>
      </c>
      <c r="AK982" s="411">
        <f t="shared" ref="AK982" si="2989">AK981</f>
        <v>0</v>
      </c>
      <c r="AL982" s="411">
        <f t="shared" ref="AL982" si="2990">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1">Z985</f>
        <v>0</v>
      </c>
      <c r="AA986" s="411">
        <f t="shared" ref="AA986" si="2992">AA985</f>
        <v>0</v>
      </c>
      <c r="AB986" s="411">
        <f t="shared" ref="AB986" si="2993">AB985</f>
        <v>0</v>
      </c>
      <c r="AC986" s="411">
        <f t="shared" ref="AC986" si="2994">AC985</f>
        <v>0</v>
      </c>
      <c r="AD986" s="411">
        <f t="shared" ref="AD986" si="2995">AD985</f>
        <v>0</v>
      </c>
      <c r="AE986" s="411">
        <f t="shared" ref="AE986" si="2996">AE985</f>
        <v>0</v>
      </c>
      <c r="AF986" s="411">
        <f t="shared" ref="AF986" si="2997">AF985</f>
        <v>0</v>
      </c>
      <c r="AG986" s="411">
        <f t="shared" ref="AG986" si="2998">AG985</f>
        <v>0</v>
      </c>
      <c r="AH986" s="411">
        <f t="shared" ref="AH986" si="2999">AH985</f>
        <v>0</v>
      </c>
      <c r="AI986" s="411">
        <f t="shared" ref="AI986" si="3000">AI985</f>
        <v>0</v>
      </c>
      <c r="AJ986" s="411">
        <f t="shared" ref="AJ986" si="3001">AJ985</f>
        <v>0</v>
      </c>
      <c r="AK986" s="411">
        <f t="shared" ref="AK986" si="3002">AK985</f>
        <v>0</v>
      </c>
      <c r="AL986" s="411">
        <f t="shared" ref="AL986" si="3003">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4">Z988</f>
        <v>0</v>
      </c>
      <c r="AA989" s="411">
        <f t="shared" ref="AA989" si="3005">AA988</f>
        <v>0</v>
      </c>
      <c r="AB989" s="411">
        <f t="shared" ref="AB989" si="3006">AB988</f>
        <v>0</v>
      </c>
      <c r="AC989" s="411">
        <f t="shared" ref="AC989" si="3007">AC988</f>
        <v>0</v>
      </c>
      <c r="AD989" s="411">
        <f t="shared" ref="AD989" si="3008">AD988</f>
        <v>0</v>
      </c>
      <c r="AE989" s="411">
        <f t="shared" ref="AE989" si="3009">AE988</f>
        <v>0</v>
      </c>
      <c r="AF989" s="411">
        <f t="shared" ref="AF989" si="3010">AF988</f>
        <v>0</v>
      </c>
      <c r="AG989" s="411">
        <f t="shared" ref="AG989" si="3011">AG988</f>
        <v>0</v>
      </c>
      <c r="AH989" s="411">
        <f t="shared" ref="AH989" si="3012">AH988</f>
        <v>0</v>
      </c>
      <c r="AI989" s="411">
        <f t="shared" ref="AI989" si="3013">AI988</f>
        <v>0</v>
      </c>
      <c r="AJ989" s="411">
        <f t="shared" ref="AJ989" si="3014">AJ988</f>
        <v>0</v>
      </c>
      <c r="AK989" s="411">
        <f t="shared" ref="AK989" si="3015">AK988</f>
        <v>0</v>
      </c>
      <c r="AL989" s="411">
        <f t="shared" ref="AL989" si="3016">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7">Z991</f>
        <v>0</v>
      </c>
      <c r="AA992" s="411">
        <f t="shared" ref="AA992" si="3018">AA991</f>
        <v>0</v>
      </c>
      <c r="AB992" s="411">
        <f t="shared" ref="AB992" si="3019">AB991</f>
        <v>0</v>
      </c>
      <c r="AC992" s="411">
        <f t="shared" ref="AC992" si="3020">AC991</f>
        <v>0</v>
      </c>
      <c r="AD992" s="411">
        <f t="shared" ref="AD992" si="3021">AD991</f>
        <v>0</v>
      </c>
      <c r="AE992" s="411">
        <f t="shared" ref="AE992" si="3022">AE991</f>
        <v>0</v>
      </c>
      <c r="AF992" s="411">
        <f t="shared" ref="AF992" si="3023">AF991</f>
        <v>0</v>
      </c>
      <c r="AG992" s="411">
        <f t="shared" ref="AG992" si="3024">AG991</f>
        <v>0</v>
      </c>
      <c r="AH992" s="411">
        <f t="shared" ref="AH992" si="3025">AH991</f>
        <v>0</v>
      </c>
      <c r="AI992" s="411">
        <f t="shared" ref="AI992" si="3026">AI991</f>
        <v>0</v>
      </c>
      <c r="AJ992" s="411">
        <f t="shared" ref="AJ992" si="3027">AJ991</f>
        <v>0</v>
      </c>
      <c r="AK992" s="411">
        <f t="shared" ref="AK992" si="3028">AK991</f>
        <v>0</v>
      </c>
      <c r="AL992" s="411">
        <f t="shared" ref="AL992" si="3029">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0">Z995</f>
        <v>0</v>
      </c>
      <c r="AA996" s="411">
        <f t="shared" ref="AA996" si="3031">AA995</f>
        <v>0</v>
      </c>
      <c r="AB996" s="411">
        <f t="shared" ref="AB996" si="3032">AB995</f>
        <v>0</v>
      </c>
      <c r="AC996" s="411">
        <f t="shared" ref="AC996" si="3033">AC995</f>
        <v>0</v>
      </c>
      <c r="AD996" s="411">
        <f t="shared" ref="AD996" si="3034">AD995</f>
        <v>0</v>
      </c>
      <c r="AE996" s="411">
        <f t="shared" ref="AE996" si="3035">AE995</f>
        <v>0</v>
      </c>
      <c r="AF996" s="411">
        <f t="shared" ref="AF996" si="3036">AF995</f>
        <v>0</v>
      </c>
      <c r="AG996" s="411">
        <f t="shared" ref="AG996" si="3037">AG995</f>
        <v>0</v>
      </c>
      <c r="AH996" s="411">
        <f t="shared" ref="AH996" si="3038">AH995</f>
        <v>0</v>
      </c>
      <c r="AI996" s="411">
        <f t="shared" ref="AI996" si="3039">AI995</f>
        <v>0</v>
      </c>
      <c r="AJ996" s="411">
        <f t="shared" ref="AJ996" si="3040">AJ995</f>
        <v>0</v>
      </c>
      <c r="AK996" s="411">
        <f t="shared" ref="AK996" si="3041">AK995</f>
        <v>0</v>
      </c>
      <c r="AL996" s="411">
        <f t="shared" ref="AL996" si="3042">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5" hidden="1"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t="15.5" hidden="1"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t="15.5"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3">AA999</f>
        <v>0</v>
      </c>
      <c r="AB1000" s="411">
        <f t="shared" si="3043"/>
        <v>0</v>
      </c>
      <c r="AC1000" s="411">
        <f t="shared" si="3043"/>
        <v>0</v>
      </c>
      <c r="AD1000" s="411">
        <f>AD999</f>
        <v>0</v>
      </c>
      <c r="AE1000" s="411">
        <f t="shared" si="3043"/>
        <v>0</v>
      </c>
      <c r="AF1000" s="411">
        <f t="shared" si="3043"/>
        <v>0</v>
      </c>
      <c r="AG1000" s="411">
        <f t="shared" si="3043"/>
        <v>0</v>
      </c>
      <c r="AH1000" s="411">
        <f t="shared" si="3043"/>
        <v>0</v>
      </c>
      <c r="AI1000" s="411">
        <f t="shared" si="3043"/>
        <v>0</v>
      </c>
      <c r="AJ1000" s="411">
        <f t="shared" si="3043"/>
        <v>0</v>
      </c>
      <c r="AK1000" s="411">
        <f t="shared" si="3043"/>
        <v>0</v>
      </c>
      <c r="AL1000" s="411">
        <f t="shared" si="3043"/>
        <v>0</v>
      </c>
      <c r="AM1000" s="297"/>
    </row>
    <row r="1001" spans="1:40" ht="15.5"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t="15.5" hidden="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t="15.5"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4">Z1002</f>
        <v>0</v>
      </c>
      <c r="AA1003" s="411">
        <f t="shared" si="3044"/>
        <v>0</v>
      </c>
      <c r="AB1003" s="411">
        <f t="shared" si="3044"/>
        <v>0</v>
      </c>
      <c r="AC1003" s="411">
        <f t="shared" si="3044"/>
        <v>0</v>
      </c>
      <c r="AD1003" s="411">
        <f t="shared" si="3044"/>
        <v>0</v>
      </c>
      <c r="AE1003" s="411">
        <f t="shared" si="3044"/>
        <v>0</v>
      </c>
      <c r="AF1003" s="411">
        <f t="shared" si="3044"/>
        <v>0</v>
      </c>
      <c r="AG1003" s="411">
        <f t="shared" si="3044"/>
        <v>0</v>
      </c>
      <c r="AH1003" s="411">
        <f t="shared" si="3044"/>
        <v>0</v>
      </c>
      <c r="AI1003" s="411">
        <f t="shared" si="3044"/>
        <v>0</v>
      </c>
      <c r="AJ1003" s="411">
        <f t="shared" si="3044"/>
        <v>0</v>
      </c>
      <c r="AK1003" s="411">
        <f t="shared" si="3044"/>
        <v>0</v>
      </c>
      <c r="AL1003" s="411">
        <f>AL1002</f>
        <v>0</v>
      </c>
      <c r="AM1003" s="297"/>
    </row>
    <row r="1004" spans="1:40" s="283" customFormat="1" ht="15.5"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5" hidden="1"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t="15.5"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t="15.5"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5">Z1006</f>
        <v>0</v>
      </c>
      <c r="AA1007" s="411">
        <f t="shared" si="3045"/>
        <v>0</v>
      </c>
      <c r="AB1007" s="411">
        <f t="shared" si="3045"/>
        <v>0</v>
      </c>
      <c r="AC1007" s="411">
        <f t="shared" si="3045"/>
        <v>0</v>
      </c>
      <c r="AD1007" s="411">
        <f t="shared" si="3045"/>
        <v>0</v>
      </c>
      <c r="AE1007" s="411">
        <f t="shared" si="3045"/>
        <v>0</v>
      </c>
      <c r="AF1007" s="411">
        <f t="shared" si="3045"/>
        <v>0</v>
      </c>
      <c r="AG1007" s="411">
        <f t="shared" si="3045"/>
        <v>0</v>
      </c>
      <c r="AH1007" s="411">
        <f t="shared" si="3045"/>
        <v>0</v>
      </c>
      <c r="AI1007" s="411">
        <f t="shared" si="3045"/>
        <v>0</v>
      </c>
      <c r="AJ1007" s="411">
        <f t="shared" si="3045"/>
        <v>0</v>
      </c>
      <c r="AK1007" s="411">
        <f t="shared" si="3045"/>
        <v>0</v>
      </c>
      <c r="AL1007" s="411">
        <f t="shared" si="3045"/>
        <v>0</v>
      </c>
      <c r="AM1007" s="306"/>
    </row>
    <row r="1008" spans="1:40" ht="15.5"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t="15.5"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5"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6">Z1009</f>
        <v>0</v>
      </c>
      <c r="AA1010" s="411">
        <f t="shared" si="3046"/>
        <v>0</v>
      </c>
      <c r="AB1010" s="411">
        <f t="shared" si="3046"/>
        <v>0</v>
      </c>
      <c r="AC1010" s="411">
        <f t="shared" si="3046"/>
        <v>0</v>
      </c>
      <c r="AD1010" s="411">
        <f t="shared" si="3046"/>
        <v>0</v>
      </c>
      <c r="AE1010" s="411">
        <f t="shared" si="3046"/>
        <v>0</v>
      </c>
      <c r="AF1010" s="411">
        <f t="shared" si="3046"/>
        <v>0</v>
      </c>
      <c r="AG1010" s="411">
        <f t="shared" si="3046"/>
        <v>0</v>
      </c>
      <c r="AH1010" s="411">
        <f t="shared" si="3046"/>
        <v>0</v>
      </c>
      <c r="AI1010" s="411">
        <f t="shared" si="3046"/>
        <v>0</v>
      </c>
      <c r="AJ1010" s="411">
        <f t="shared" si="3046"/>
        <v>0</v>
      </c>
      <c r="AK1010" s="411">
        <f t="shared" si="3046"/>
        <v>0</v>
      </c>
      <c r="AL1010" s="411">
        <f t="shared" si="3046"/>
        <v>0</v>
      </c>
      <c r="AM1010" s="306"/>
    </row>
    <row r="1011" spans="1:39" ht="15.5"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t="15.5"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5"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7">Z1012</f>
        <v>0</v>
      </c>
      <c r="AA1013" s="411">
        <f t="shared" si="3047"/>
        <v>0</v>
      </c>
      <c r="AB1013" s="411">
        <f t="shared" si="3047"/>
        <v>0</v>
      </c>
      <c r="AC1013" s="411">
        <f t="shared" si="3047"/>
        <v>0</v>
      </c>
      <c r="AD1013" s="411">
        <f t="shared" si="3047"/>
        <v>0</v>
      </c>
      <c r="AE1013" s="411">
        <f t="shared" si="3047"/>
        <v>0</v>
      </c>
      <c r="AF1013" s="411">
        <f t="shared" si="3047"/>
        <v>0</v>
      </c>
      <c r="AG1013" s="411">
        <f t="shared" si="3047"/>
        <v>0</v>
      </c>
      <c r="AH1013" s="411">
        <f t="shared" si="3047"/>
        <v>0</v>
      </c>
      <c r="AI1013" s="411">
        <f t="shared" si="3047"/>
        <v>0</v>
      </c>
      <c r="AJ1013" s="411">
        <f t="shared" si="3047"/>
        <v>0</v>
      </c>
      <c r="AK1013" s="411">
        <f t="shared" si="3047"/>
        <v>0</v>
      </c>
      <c r="AL1013" s="411">
        <f t="shared" si="3047"/>
        <v>0</v>
      </c>
      <c r="AM1013" s="297"/>
    </row>
    <row r="1014" spans="1:39" ht="15.5"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t="15.5"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5"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48">Y1015</f>
        <v>0</v>
      </c>
      <c r="Z1016" s="411">
        <f t="shared" si="3048"/>
        <v>0</v>
      </c>
      <c r="AA1016" s="411">
        <f t="shared" si="3048"/>
        <v>0</v>
      </c>
      <c r="AB1016" s="411">
        <f t="shared" si="3048"/>
        <v>0</v>
      </c>
      <c r="AC1016" s="411">
        <f t="shared" si="3048"/>
        <v>0</v>
      </c>
      <c r="AD1016" s="411">
        <f t="shared" si="3048"/>
        <v>0</v>
      </c>
      <c r="AE1016" s="411">
        <f t="shared" si="3048"/>
        <v>0</v>
      </c>
      <c r="AF1016" s="411">
        <f t="shared" si="3048"/>
        <v>0</v>
      </c>
      <c r="AG1016" s="411">
        <f t="shared" si="3048"/>
        <v>0</v>
      </c>
      <c r="AH1016" s="411">
        <f t="shared" si="3048"/>
        <v>0</v>
      </c>
      <c r="AI1016" s="411">
        <f t="shared" si="3048"/>
        <v>0</v>
      </c>
      <c r="AJ1016" s="411">
        <f t="shared" si="3048"/>
        <v>0</v>
      </c>
      <c r="AK1016" s="411">
        <f t="shared" si="3048"/>
        <v>0</v>
      </c>
      <c r="AL1016" s="411">
        <f t="shared" si="3048"/>
        <v>0</v>
      </c>
      <c r="AM1016" s="306"/>
    </row>
    <row r="1017" spans="1:39" ht="15.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5" hidden="1"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5" hidden="1"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49">Z1020</f>
        <v>0</v>
      </c>
      <c r="AA1021" s="411">
        <f t="shared" ref="AA1021" si="3050">AA1020</f>
        <v>0</v>
      </c>
      <c r="AB1021" s="411">
        <f t="shared" ref="AB1021" si="3051">AB1020</f>
        <v>0</v>
      </c>
      <c r="AC1021" s="411">
        <f t="shared" ref="AC1021" si="3052">AC1020</f>
        <v>0</v>
      </c>
      <c r="AD1021" s="411">
        <f t="shared" ref="AD1021" si="3053">AD1020</f>
        <v>0</v>
      </c>
      <c r="AE1021" s="411">
        <f t="shared" ref="AE1021" si="3054">AE1020</f>
        <v>0</v>
      </c>
      <c r="AF1021" s="411">
        <f t="shared" ref="AF1021" si="3055">AF1020</f>
        <v>0</v>
      </c>
      <c r="AG1021" s="411">
        <f t="shared" ref="AG1021" si="3056">AG1020</f>
        <v>0</v>
      </c>
      <c r="AH1021" s="411">
        <f t="shared" ref="AH1021" si="3057">AH1020</f>
        <v>0</v>
      </c>
      <c r="AI1021" s="411">
        <f t="shared" ref="AI1021" si="3058">AI1020</f>
        <v>0</v>
      </c>
      <c r="AJ1021" s="411">
        <f t="shared" ref="AJ1021" si="3059">AJ1020</f>
        <v>0</v>
      </c>
      <c r="AK1021" s="411">
        <f t="shared" ref="AK1021" si="3060">AK1020</f>
        <v>0</v>
      </c>
      <c r="AL1021" s="411">
        <f t="shared" ref="AL1021" si="3061">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2">Z1023</f>
        <v>0</v>
      </c>
      <c r="AA1024" s="411">
        <f t="shared" ref="AA1024" si="3063">AA1023</f>
        <v>0</v>
      </c>
      <c r="AB1024" s="411">
        <f t="shared" ref="AB1024" si="3064">AB1023</f>
        <v>0</v>
      </c>
      <c r="AC1024" s="411">
        <f t="shared" ref="AC1024" si="3065">AC1023</f>
        <v>0</v>
      </c>
      <c r="AD1024" s="411">
        <f t="shared" ref="AD1024" si="3066">AD1023</f>
        <v>0</v>
      </c>
      <c r="AE1024" s="411">
        <f t="shared" ref="AE1024" si="3067">AE1023</f>
        <v>0</v>
      </c>
      <c r="AF1024" s="411">
        <f t="shared" ref="AF1024" si="3068">AF1023</f>
        <v>0</v>
      </c>
      <c r="AG1024" s="411">
        <f t="shared" ref="AG1024" si="3069">AG1023</f>
        <v>0</v>
      </c>
      <c r="AH1024" s="411">
        <f t="shared" ref="AH1024" si="3070">AH1023</f>
        <v>0</v>
      </c>
      <c r="AI1024" s="411">
        <f t="shared" ref="AI1024" si="3071">AI1023</f>
        <v>0</v>
      </c>
      <c r="AJ1024" s="411">
        <f t="shared" ref="AJ1024" si="3072">AJ1023</f>
        <v>0</v>
      </c>
      <c r="AK1024" s="411">
        <f t="shared" ref="AK1024" si="3073">AK1023</f>
        <v>0</v>
      </c>
      <c r="AL1024" s="411">
        <f t="shared" ref="AL1024" si="3074">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5">Z1026</f>
        <v>0</v>
      </c>
      <c r="AA1027" s="411">
        <f t="shared" ref="AA1027" si="3076">AA1026</f>
        <v>0</v>
      </c>
      <c r="AB1027" s="411">
        <f t="shared" ref="AB1027" si="3077">AB1026</f>
        <v>0</v>
      </c>
      <c r="AC1027" s="411">
        <f t="shared" ref="AC1027" si="3078">AC1026</f>
        <v>0</v>
      </c>
      <c r="AD1027" s="411">
        <f t="shared" ref="AD1027" si="3079">AD1026</f>
        <v>0</v>
      </c>
      <c r="AE1027" s="411">
        <f t="shared" ref="AE1027" si="3080">AE1026</f>
        <v>0</v>
      </c>
      <c r="AF1027" s="411">
        <f t="shared" ref="AF1027" si="3081">AF1026</f>
        <v>0</v>
      </c>
      <c r="AG1027" s="411">
        <f t="shared" ref="AG1027" si="3082">AG1026</f>
        <v>0</v>
      </c>
      <c r="AH1027" s="411">
        <f t="shared" ref="AH1027" si="3083">AH1026</f>
        <v>0</v>
      </c>
      <c r="AI1027" s="411">
        <f t="shared" ref="AI1027" si="3084">AI1026</f>
        <v>0</v>
      </c>
      <c r="AJ1027" s="411">
        <f t="shared" ref="AJ1027" si="3085">AJ1026</f>
        <v>0</v>
      </c>
      <c r="AK1027" s="411">
        <f t="shared" ref="AK1027" si="3086">AK1026</f>
        <v>0</v>
      </c>
      <c r="AL1027" s="411">
        <f t="shared" ref="AL1027" si="3087">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8">Z1029</f>
        <v>0</v>
      </c>
      <c r="AA1030" s="411">
        <f t="shared" ref="AA1030" si="3089">AA1029</f>
        <v>0</v>
      </c>
      <c r="AB1030" s="411">
        <f t="shared" ref="AB1030" si="3090">AB1029</f>
        <v>0</v>
      </c>
      <c r="AC1030" s="411">
        <f t="shared" ref="AC1030" si="3091">AC1029</f>
        <v>0</v>
      </c>
      <c r="AD1030" s="411">
        <f t="shared" ref="AD1030" si="3092">AD1029</f>
        <v>0</v>
      </c>
      <c r="AE1030" s="411">
        <f t="shared" ref="AE1030" si="3093">AE1029</f>
        <v>0</v>
      </c>
      <c r="AF1030" s="411">
        <f t="shared" ref="AF1030" si="3094">AF1029</f>
        <v>0</v>
      </c>
      <c r="AG1030" s="411">
        <f t="shared" ref="AG1030" si="3095">AG1029</f>
        <v>0</v>
      </c>
      <c r="AH1030" s="411">
        <f t="shared" ref="AH1030" si="3096">AH1029</f>
        <v>0</v>
      </c>
      <c r="AI1030" s="411">
        <f t="shared" ref="AI1030" si="3097">AI1029</f>
        <v>0</v>
      </c>
      <c r="AJ1030" s="411">
        <f t="shared" ref="AJ1030" si="3098">AJ1029</f>
        <v>0</v>
      </c>
      <c r="AK1030" s="411">
        <f t="shared" ref="AK1030" si="3099">AK1029</f>
        <v>0</v>
      </c>
      <c r="AL1030" s="411">
        <f t="shared" ref="AL1030" si="3100">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1">Z1033</f>
        <v>0</v>
      </c>
      <c r="AA1034" s="411">
        <f t="shared" ref="AA1034" si="3102">AA1033</f>
        <v>0</v>
      </c>
      <c r="AB1034" s="411">
        <f t="shared" ref="AB1034" si="3103">AB1033</f>
        <v>0</v>
      </c>
      <c r="AC1034" s="411">
        <f t="shared" ref="AC1034" si="3104">AC1033</f>
        <v>0</v>
      </c>
      <c r="AD1034" s="411">
        <f t="shared" ref="AD1034" si="3105">AD1033</f>
        <v>0</v>
      </c>
      <c r="AE1034" s="411">
        <f t="shared" ref="AE1034" si="3106">AE1033</f>
        <v>0</v>
      </c>
      <c r="AF1034" s="411">
        <f t="shared" ref="AF1034" si="3107">AF1033</f>
        <v>0</v>
      </c>
      <c r="AG1034" s="411">
        <f t="shared" ref="AG1034" si="3108">AG1033</f>
        <v>0</v>
      </c>
      <c r="AH1034" s="411">
        <f t="shared" ref="AH1034" si="3109">AH1033</f>
        <v>0</v>
      </c>
      <c r="AI1034" s="411">
        <f t="shared" ref="AI1034" si="3110">AI1033</f>
        <v>0</v>
      </c>
      <c r="AJ1034" s="411">
        <f t="shared" ref="AJ1034" si="3111">AJ1033</f>
        <v>0</v>
      </c>
      <c r="AK1034" s="411">
        <f t="shared" ref="AK1034" si="3112">AK1033</f>
        <v>0</v>
      </c>
      <c r="AL1034" s="411">
        <f t="shared" ref="AL1034" si="3113">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4">Z1036</f>
        <v>0</v>
      </c>
      <c r="AA1037" s="411">
        <f t="shared" ref="AA1037" si="3115">AA1036</f>
        <v>0</v>
      </c>
      <c r="AB1037" s="411">
        <f t="shared" ref="AB1037" si="3116">AB1036</f>
        <v>0</v>
      </c>
      <c r="AC1037" s="411">
        <f t="shared" ref="AC1037" si="3117">AC1036</f>
        <v>0</v>
      </c>
      <c r="AD1037" s="411">
        <f t="shared" ref="AD1037" si="3118">AD1036</f>
        <v>0</v>
      </c>
      <c r="AE1037" s="411">
        <f t="shared" ref="AE1037" si="3119">AE1036</f>
        <v>0</v>
      </c>
      <c r="AF1037" s="411">
        <f t="shared" ref="AF1037" si="3120">AF1036</f>
        <v>0</v>
      </c>
      <c r="AG1037" s="411">
        <f t="shared" ref="AG1037" si="3121">AG1036</f>
        <v>0</v>
      </c>
      <c r="AH1037" s="411">
        <f t="shared" ref="AH1037" si="3122">AH1036</f>
        <v>0</v>
      </c>
      <c r="AI1037" s="411">
        <f t="shared" ref="AI1037" si="3123">AI1036</f>
        <v>0</v>
      </c>
      <c r="AJ1037" s="411">
        <f t="shared" ref="AJ1037" si="3124">AJ1036</f>
        <v>0</v>
      </c>
      <c r="AK1037" s="411">
        <f t="shared" ref="AK1037" si="3125">AK1036</f>
        <v>0</v>
      </c>
      <c r="AL1037" s="411">
        <f t="shared" ref="AL1037" si="3126">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7">Z1039</f>
        <v>0</v>
      </c>
      <c r="AA1040" s="411">
        <f t="shared" ref="AA1040" si="3128">AA1039</f>
        <v>0</v>
      </c>
      <c r="AB1040" s="411">
        <f t="shared" ref="AB1040" si="3129">AB1039</f>
        <v>0</v>
      </c>
      <c r="AC1040" s="411">
        <f t="shared" ref="AC1040" si="3130">AC1039</f>
        <v>0</v>
      </c>
      <c r="AD1040" s="411">
        <f t="shared" ref="AD1040" si="3131">AD1039</f>
        <v>0</v>
      </c>
      <c r="AE1040" s="411">
        <f t="shared" ref="AE1040" si="3132">AE1039</f>
        <v>0</v>
      </c>
      <c r="AF1040" s="411">
        <f t="shared" ref="AF1040" si="3133">AF1039</f>
        <v>0</v>
      </c>
      <c r="AG1040" s="411">
        <f t="shared" ref="AG1040" si="3134">AG1039</f>
        <v>0</v>
      </c>
      <c r="AH1040" s="411">
        <f t="shared" ref="AH1040" si="3135">AH1039</f>
        <v>0</v>
      </c>
      <c r="AI1040" s="411">
        <f t="shared" ref="AI1040" si="3136">AI1039</f>
        <v>0</v>
      </c>
      <c r="AJ1040" s="411">
        <f t="shared" ref="AJ1040" si="3137">AJ1039</f>
        <v>0</v>
      </c>
      <c r="AK1040" s="411">
        <f t="shared" ref="AK1040" si="3138">AK1039</f>
        <v>0</v>
      </c>
      <c r="AL1040" s="411">
        <f t="shared" ref="AL1040" si="3139">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0">AA1042</f>
        <v>0</v>
      </c>
      <c r="AB1043" s="411">
        <f t="shared" ref="AB1043" si="3141">AB1042</f>
        <v>0</v>
      </c>
      <c r="AC1043" s="411">
        <f t="shared" ref="AC1043" si="3142">AC1042</f>
        <v>0</v>
      </c>
      <c r="AD1043" s="411">
        <f t="shared" ref="AD1043" si="3143">AD1042</f>
        <v>0</v>
      </c>
      <c r="AE1043" s="411">
        <f>AE1042</f>
        <v>0</v>
      </c>
      <c r="AF1043" s="411">
        <f t="shared" ref="AF1043" si="3144">AF1042</f>
        <v>0</v>
      </c>
      <c r="AG1043" s="411">
        <f t="shared" ref="AG1043" si="3145">AG1042</f>
        <v>0</v>
      </c>
      <c r="AH1043" s="411">
        <f t="shared" ref="AH1043" si="3146">AH1042</f>
        <v>0</v>
      </c>
      <c r="AI1043" s="411">
        <f t="shared" ref="AI1043" si="3147">AI1042</f>
        <v>0</v>
      </c>
      <c r="AJ1043" s="411">
        <f t="shared" ref="AJ1043" si="3148">AJ1042</f>
        <v>0</v>
      </c>
      <c r="AK1043" s="411">
        <f t="shared" ref="AK1043" si="3149">AK1042</f>
        <v>0</v>
      </c>
      <c r="AL1043" s="411">
        <f t="shared" ref="AL1043" si="3150">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1">Z1045</f>
        <v>0</v>
      </c>
      <c r="AA1046" s="411">
        <f t="shared" ref="AA1046" si="3152">AA1045</f>
        <v>0</v>
      </c>
      <c r="AB1046" s="411">
        <f t="shared" ref="AB1046" si="3153">AB1045</f>
        <v>0</v>
      </c>
      <c r="AC1046" s="411">
        <f t="shared" ref="AC1046" si="3154">AC1045</f>
        <v>0</v>
      </c>
      <c r="AD1046" s="411">
        <f t="shared" ref="AD1046" si="3155">AD1045</f>
        <v>0</v>
      </c>
      <c r="AE1046" s="411">
        <f t="shared" ref="AE1046" si="3156">AE1045</f>
        <v>0</v>
      </c>
      <c r="AF1046" s="411">
        <f t="shared" ref="AF1046" si="3157">AF1045</f>
        <v>0</v>
      </c>
      <c r="AG1046" s="411">
        <f t="shared" ref="AG1046" si="3158">AG1045</f>
        <v>0</v>
      </c>
      <c r="AH1046" s="411">
        <f t="shared" ref="AH1046" si="3159">AH1045</f>
        <v>0</v>
      </c>
      <c r="AI1046" s="411">
        <f t="shared" ref="AI1046" si="3160">AI1045</f>
        <v>0</v>
      </c>
      <c r="AJ1046" s="411">
        <f t="shared" ref="AJ1046" si="3161">AJ1045</f>
        <v>0</v>
      </c>
      <c r="AK1046" s="411">
        <f t="shared" ref="AK1046" si="3162">AK1045</f>
        <v>0</v>
      </c>
      <c r="AL1046" s="411">
        <f t="shared" ref="AL1046" si="3163">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4">Z1048</f>
        <v>0</v>
      </c>
      <c r="AA1049" s="411">
        <f t="shared" ref="AA1049" si="3165">AA1048</f>
        <v>0</v>
      </c>
      <c r="AB1049" s="411">
        <f t="shared" ref="AB1049" si="3166">AB1048</f>
        <v>0</v>
      </c>
      <c r="AC1049" s="411">
        <f t="shared" ref="AC1049" si="3167">AC1048</f>
        <v>0</v>
      </c>
      <c r="AD1049" s="411">
        <f t="shared" ref="AD1049" si="3168">AD1048</f>
        <v>0</v>
      </c>
      <c r="AE1049" s="411">
        <f t="shared" ref="AE1049" si="3169">AE1048</f>
        <v>0</v>
      </c>
      <c r="AF1049" s="411">
        <f t="shared" ref="AF1049" si="3170">AF1048</f>
        <v>0</v>
      </c>
      <c r="AG1049" s="411">
        <f t="shared" ref="AG1049" si="3171">AG1048</f>
        <v>0</v>
      </c>
      <c r="AH1049" s="411">
        <f t="shared" ref="AH1049" si="3172">AH1048</f>
        <v>0</v>
      </c>
      <c r="AI1049" s="411">
        <f t="shared" ref="AI1049" si="3173">AI1048</f>
        <v>0</v>
      </c>
      <c r="AJ1049" s="411">
        <f t="shared" ref="AJ1049" si="3174">AJ1048</f>
        <v>0</v>
      </c>
      <c r="AK1049" s="411">
        <f t="shared" ref="AK1049" si="3175">AK1048</f>
        <v>0</v>
      </c>
      <c r="AL1049" s="411">
        <f t="shared" ref="AL1049" si="3176">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7">Z1051</f>
        <v>0</v>
      </c>
      <c r="AA1052" s="411">
        <f t="shared" ref="AA1052" si="3178">AA1051</f>
        <v>0</v>
      </c>
      <c r="AB1052" s="411">
        <f t="shared" ref="AB1052" si="3179">AB1051</f>
        <v>0</v>
      </c>
      <c r="AC1052" s="411">
        <f t="shared" ref="AC1052" si="3180">AC1051</f>
        <v>0</v>
      </c>
      <c r="AD1052" s="411">
        <f t="shared" ref="AD1052" si="3181">AD1051</f>
        <v>0</v>
      </c>
      <c r="AE1052" s="411">
        <f t="shared" ref="AE1052" si="3182">AE1051</f>
        <v>0</v>
      </c>
      <c r="AF1052" s="411">
        <f t="shared" ref="AF1052" si="3183">AF1051</f>
        <v>0</v>
      </c>
      <c r="AG1052" s="411">
        <f t="shared" ref="AG1052" si="3184">AG1051</f>
        <v>0</v>
      </c>
      <c r="AH1052" s="411">
        <f t="shared" ref="AH1052" si="3185">AH1051</f>
        <v>0</v>
      </c>
      <c r="AI1052" s="411">
        <f t="shared" ref="AI1052" si="3186">AI1051</f>
        <v>0</v>
      </c>
      <c r="AJ1052" s="411">
        <f t="shared" ref="AJ1052" si="3187">AJ1051</f>
        <v>0</v>
      </c>
      <c r="AK1052" s="411">
        <f t="shared" ref="AK1052" si="3188">AK1051</f>
        <v>0</v>
      </c>
      <c r="AL1052" s="411">
        <f t="shared" ref="AL1052" si="3189">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0">Z1054</f>
        <v>0</v>
      </c>
      <c r="AA1055" s="411">
        <f t="shared" ref="AA1055" si="3191">AA1054</f>
        <v>0</v>
      </c>
      <c r="AB1055" s="411">
        <f t="shared" ref="AB1055" si="3192">AB1054</f>
        <v>0</v>
      </c>
      <c r="AC1055" s="411">
        <f t="shared" ref="AC1055" si="3193">AC1054</f>
        <v>0</v>
      </c>
      <c r="AD1055" s="411">
        <f t="shared" ref="AD1055" si="3194">AD1054</f>
        <v>0</v>
      </c>
      <c r="AE1055" s="411">
        <f t="shared" ref="AE1055" si="3195">AE1054</f>
        <v>0</v>
      </c>
      <c r="AF1055" s="411">
        <f t="shared" ref="AF1055" si="3196">AF1054</f>
        <v>0</v>
      </c>
      <c r="AG1055" s="411">
        <f t="shared" ref="AG1055" si="3197">AG1054</f>
        <v>0</v>
      </c>
      <c r="AH1055" s="411">
        <f t="shared" ref="AH1055" si="3198">AH1054</f>
        <v>0</v>
      </c>
      <c r="AI1055" s="411">
        <f t="shared" ref="AI1055" si="3199">AI1054</f>
        <v>0</v>
      </c>
      <c r="AJ1055" s="411">
        <f t="shared" ref="AJ1055" si="3200">AJ1054</f>
        <v>0</v>
      </c>
      <c r="AK1055" s="411">
        <f t="shared" ref="AK1055" si="3201">AK1054</f>
        <v>0</v>
      </c>
      <c r="AL1055" s="411">
        <f t="shared" ref="AL1055" si="3202">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3">Z1058</f>
        <v>0</v>
      </c>
      <c r="AA1059" s="411">
        <f t="shared" ref="AA1059" si="3204">AA1058</f>
        <v>0</v>
      </c>
      <c r="AB1059" s="411">
        <f t="shared" ref="AB1059" si="3205">AB1058</f>
        <v>0</v>
      </c>
      <c r="AC1059" s="411">
        <f t="shared" ref="AC1059" si="3206">AC1058</f>
        <v>0</v>
      </c>
      <c r="AD1059" s="411">
        <f t="shared" ref="AD1059" si="3207">AD1058</f>
        <v>0</v>
      </c>
      <c r="AE1059" s="411">
        <f t="shared" ref="AE1059" si="3208">AE1058</f>
        <v>0</v>
      </c>
      <c r="AF1059" s="411">
        <f t="shared" ref="AF1059" si="3209">AF1058</f>
        <v>0</v>
      </c>
      <c r="AG1059" s="411">
        <f t="shared" ref="AG1059" si="3210">AG1058</f>
        <v>0</v>
      </c>
      <c r="AH1059" s="411">
        <f t="shared" ref="AH1059" si="3211">AH1058</f>
        <v>0</v>
      </c>
      <c r="AI1059" s="411">
        <f t="shared" ref="AI1059" si="3212">AI1058</f>
        <v>0</v>
      </c>
      <c r="AJ1059" s="411">
        <f t="shared" ref="AJ1059" si="3213">AJ1058</f>
        <v>0</v>
      </c>
      <c r="AK1059" s="411">
        <f t="shared" ref="AK1059" si="3214">AK1058</f>
        <v>0</v>
      </c>
      <c r="AL1059" s="411">
        <f t="shared" ref="AL1059" si="3215">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6">Z1061</f>
        <v>0</v>
      </c>
      <c r="AA1062" s="411">
        <f t="shared" ref="AA1062" si="3217">AA1061</f>
        <v>0</v>
      </c>
      <c r="AB1062" s="411">
        <f t="shared" ref="AB1062" si="3218">AB1061</f>
        <v>0</v>
      </c>
      <c r="AC1062" s="411">
        <f t="shared" ref="AC1062" si="3219">AC1061</f>
        <v>0</v>
      </c>
      <c r="AD1062" s="411">
        <f t="shared" ref="AD1062" si="3220">AD1061</f>
        <v>0</v>
      </c>
      <c r="AE1062" s="411">
        <f t="shared" ref="AE1062" si="3221">AE1061</f>
        <v>0</v>
      </c>
      <c r="AF1062" s="411">
        <f t="shared" ref="AF1062" si="3222">AF1061</f>
        <v>0</v>
      </c>
      <c r="AG1062" s="411">
        <f t="shared" ref="AG1062" si="3223">AG1061</f>
        <v>0</v>
      </c>
      <c r="AH1062" s="411">
        <f t="shared" ref="AH1062" si="3224">AH1061</f>
        <v>0</v>
      </c>
      <c r="AI1062" s="411">
        <f t="shared" ref="AI1062" si="3225">AI1061</f>
        <v>0</v>
      </c>
      <c r="AJ1062" s="411">
        <f t="shared" ref="AJ1062" si="3226">AJ1061</f>
        <v>0</v>
      </c>
      <c r="AK1062" s="411">
        <f t="shared" ref="AK1062" si="3227">AK1061</f>
        <v>0</v>
      </c>
      <c r="AL1062" s="411">
        <f t="shared" ref="AL1062" si="3228">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9">Z1064</f>
        <v>0</v>
      </c>
      <c r="AA1065" s="411">
        <f t="shared" ref="AA1065" si="3230">AA1064</f>
        <v>0</v>
      </c>
      <c r="AB1065" s="411">
        <f t="shared" ref="AB1065" si="3231">AB1064</f>
        <v>0</v>
      </c>
      <c r="AC1065" s="411">
        <f t="shared" ref="AC1065" si="3232">AC1064</f>
        <v>0</v>
      </c>
      <c r="AD1065" s="411">
        <f t="shared" ref="AD1065" si="3233">AD1064</f>
        <v>0</v>
      </c>
      <c r="AE1065" s="411">
        <f t="shared" ref="AE1065" si="3234">AE1064</f>
        <v>0</v>
      </c>
      <c r="AF1065" s="411">
        <f t="shared" ref="AF1065" si="3235">AF1064</f>
        <v>0</v>
      </c>
      <c r="AG1065" s="411">
        <f t="shared" ref="AG1065" si="3236">AG1064</f>
        <v>0</v>
      </c>
      <c r="AH1065" s="411">
        <f t="shared" ref="AH1065" si="3237">AH1064</f>
        <v>0</v>
      </c>
      <c r="AI1065" s="411">
        <f t="shared" ref="AI1065" si="3238">AI1064</f>
        <v>0</v>
      </c>
      <c r="AJ1065" s="411">
        <f t="shared" ref="AJ1065" si="3239">AJ1064</f>
        <v>0</v>
      </c>
      <c r="AK1065" s="411">
        <f t="shared" ref="AK1065" si="3240">AK1064</f>
        <v>0</v>
      </c>
      <c r="AL1065" s="411">
        <f t="shared" ref="AL1065" si="3241">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2">Z1068</f>
        <v>0</v>
      </c>
      <c r="AA1069" s="411">
        <f t="shared" ref="AA1069" si="3243">AA1068</f>
        <v>0</v>
      </c>
      <c r="AB1069" s="411">
        <f t="shared" ref="AB1069" si="3244">AB1068</f>
        <v>0</v>
      </c>
      <c r="AC1069" s="411">
        <f t="shared" ref="AC1069" si="3245">AC1068</f>
        <v>0</v>
      </c>
      <c r="AD1069" s="411">
        <f t="shared" ref="AD1069" si="3246">AD1068</f>
        <v>0</v>
      </c>
      <c r="AE1069" s="411">
        <f t="shared" ref="AE1069" si="3247">AE1068</f>
        <v>0</v>
      </c>
      <c r="AF1069" s="411">
        <f t="shared" ref="AF1069" si="3248">AF1068</f>
        <v>0</v>
      </c>
      <c r="AG1069" s="411">
        <f t="shared" ref="AG1069" si="3249">AG1068</f>
        <v>0</v>
      </c>
      <c r="AH1069" s="411">
        <f t="shared" ref="AH1069" si="3250">AH1068</f>
        <v>0</v>
      </c>
      <c r="AI1069" s="411">
        <f t="shared" ref="AI1069" si="3251">AI1068</f>
        <v>0</v>
      </c>
      <c r="AJ1069" s="411">
        <f t="shared" ref="AJ1069" si="3252">AJ1068</f>
        <v>0</v>
      </c>
      <c r="AK1069" s="411">
        <f t="shared" ref="AK1069" si="3253">AK1068</f>
        <v>0</v>
      </c>
      <c r="AL1069" s="411">
        <f t="shared" ref="AL1069" si="3254">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5">Z1071</f>
        <v>0</v>
      </c>
      <c r="AA1072" s="411">
        <f t="shared" ref="AA1072" si="3256">AA1071</f>
        <v>0</v>
      </c>
      <c r="AB1072" s="411">
        <f t="shared" ref="AB1072" si="3257">AB1071</f>
        <v>0</v>
      </c>
      <c r="AC1072" s="411">
        <f t="shared" ref="AC1072" si="3258">AC1071</f>
        <v>0</v>
      </c>
      <c r="AD1072" s="411">
        <f t="shared" ref="AD1072" si="3259">AD1071</f>
        <v>0</v>
      </c>
      <c r="AE1072" s="411">
        <f t="shared" ref="AE1072" si="3260">AE1071</f>
        <v>0</v>
      </c>
      <c r="AF1072" s="411">
        <f t="shared" ref="AF1072" si="3261">AF1071</f>
        <v>0</v>
      </c>
      <c r="AG1072" s="411">
        <f t="shared" ref="AG1072" si="3262">AG1071</f>
        <v>0</v>
      </c>
      <c r="AH1072" s="411">
        <f t="shared" ref="AH1072" si="3263">AH1071</f>
        <v>0</v>
      </c>
      <c r="AI1072" s="411">
        <f t="shared" ref="AI1072" si="3264">AI1071</f>
        <v>0</v>
      </c>
      <c r="AJ1072" s="411">
        <f t="shared" ref="AJ1072" si="3265">AJ1071</f>
        <v>0</v>
      </c>
      <c r="AK1072" s="411">
        <f t="shared" ref="AK1072" si="3266">AK1071</f>
        <v>0</v>
      </c>
      <c r="AL1072" s="411">
        <f t="shared" ref="AL1072" si="3267">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68">Z1074</f>
        <v>0</v>
      </c>
      <c r="AA1075" s="411">
        <f t="shared" ref="AA1075" si="3269">AA1074</f>
        <v>0</v>
      </c>
      <c r="AB1075" s="411">
        <f t="shared" ref="AB1075" si="3270">AB1074</f>
        <v>0</v>
      </c>
      <c r="AC1075" s="411">
        <f t="shared" ref="AC1075" si="3271">AC1074</f>
        <v>0</v>
      </c>
      <c r="AD1075" s="411">
        <f t="shared" ref="AD1075" si="3272">AD1074</f>
        <v>0</v>
      </c>
      <c r="AE1075" s="411">
        <f t="shared" ref="AE1075" si="3273">AE1074</f>
        <v>0</v>
      </c>
      <c r="AF1075" s="411">
        <f t="shared" ref="AF1075" si="3274">AF1074</f>
        <v>0</v>
      </c>
      <c r="AG1075" s="411">
        <f t="shared" ref="AG1075" si="3275">AG1074</f>
        <v>0</v>
      </c>
      <c r="AH1075" s="411">
        <f t="shared" ref="AH1075" si="3276">AH1074</f>
        <v>0</v>
      </c>
      <c r="AI1075" s="411">
        <f t="shared" ref="AI1075" si="3277">AI1074</f>
        <v>0</v>
      </c>
      <c r="AJ1075" s="411">
        <f t="shared" ref="AJ1075" si="3278">AJ1074</f>
        <v>0</v>
      </c>
      <c r="AK1075" s="411">
        <f t="shared" ref="AK1075" si="3279">AK1074</f>
        <v>0</v>
      </c>
      <c r="AL1075" s="411">
        <f t="shared" ref="AL1075" si="3280">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1">Z1077</f>
        <v>0</v>
      </c>
      <c r="AA1078" s="411">
        <f t="shared" ref="AA1078" si="3282">AA1077</f>
        <v>0</v>
      </c>
      <c r="AB1078" s="411">
        <f t="shared" ref="AB1078" si="3283">AB1077</f>
        <v>0</v>
      </c>
      <c r="AC1078" s="411">
        <f t="shared" ref="AC1078" si="3284">AC1077</f>
        <v>0</v>
      </c>
      <c r="AD1078" s="411">
        <f t="shared" ref="AD1078" si="3285">AD1077</f>
        <v>0</v>
      </c>
      <c r="AE1078" s="411">
        <f t="shared" ref="AE1078" si="3286">AE1077</f>
        <v>0</v>
      </c>
      <c r="AF1078" s="411">
        <f t="shared" ref="AF1078" si="3287">AF1077</f>
        <v>0</v>
      </c>
      <c r="AG1078" s="411">
        <f t="shared" ref="AG1078" si="3288">AG1077</f>
        <v>0</v>
      </c>
      <c r="AH1078" s="411">
        <f t="shared" ref="AH1078" si="3289">AH1077</f>
        <v>0</v>
      </c>
      <c r="AI1078" s="411">
        <f t="shared" ref="AI1078" si="3290">AI1077</f>
        <v>0</v>
      </c>
      <c r="AJ1078" s="411">
        <f t="shared" ref="AJ1078" si="3291">AJ1077</f>
        <v>0</v>
      </c>
      <c r="AK1078" s="411">
        <f t="shared" ref="AK1078" si="3292">AK1077</f>
        <v>0</v>
      </c>
      <c r="AL1078" s="411">
        <f t="shared" ref="AL1078" si="3293">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4">Z1080</f>
        <v>0</v>
      </c>
      <c r="AA1081" s="411">
        <f t="shared" ref="AA1081" si="3295">AA1080</f>
        <v>0</v>
      </c>
      <c r="AB1081" s="411">
        <f t="shared" ref="AB1081" si="3296">AB1080</f>
        <v>0</v>
      </c>
      <c r="AC1081" s="411">
        <f t="shared" ref="AC1081" si="3297">AC1080</f>
        <v>0</v>
      </c>
      <c r="AD1081" s="411">
        <f t="shared" ref="AD1081" si="3298">AD1080</f>
        <v>0</v>
      </c>
      <c r="AE1081" s="411">
        <f t="shared" ref="AE1081" si="3299">AE1080</f>
        <v>0</v>
      </c>
      <c r="AF1081" s="411">
        <f t="shared" ref="AF1081" si="3300">AF1080</f>
        <v>0</v>
      </c>
      <c r="AG1081" s="411">
        <f t="shared" ref="AG1081" si="3301">AG1080</f>
        <v>0</v>
      </c>
      <c r="AH1081" s="411">
        <f t="shared" ref="AH1081" si="3302">AH1080</f>
        <v>0</v>
      </c>
      <c r="AI1081" s="411">
        <f t="shared" ref="AI1081" si="3303">AI1080</f>
        <v>0</v>
      </c>
      <c r="AJ1081" s="411">
        <f t="shared" ref="AJ1081" si="3304">AJ1080</f>
        <v>0</v>
      </c>
      <c r="AK1081" s="411">
        <f t="shared" ref="AK1081" si="3305">AK1080</f>
        <v>0</v>
      </c>
      <c r="AL1081" s="411">
        <f t="shared" ref="AL1081" si="3306">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7">Z1083</f>
        <v>0</v>
      </c>
      <c r="AA1084" s="411">
        <f t="shared" ref="AA1084" si="3308">AA1083</f>
        <v>0</v>
      </c>
      <c r="AB1084" s="411">
        <f t="shared" ref="AB1084" si="3309">AB1083</f>
        <v>0</v>
      </c>
      <c r="AC1084" s="411">
        <f t="shared" ref="AC1084" si="3310">AC1083</f>
        <v>0</v>
      </c>
      <c r="AD1084" s="411">
        <f t="shared" ref="AD1084" si="3311">AD1083</f>
        <v>0</v>
      </c>
      <c r="AE1084" s="411">
        <f t="shared" ref="AE1084" si="3312">AE1083</f>
        <v>0</v>
      </c>
      <c r="AF1084" s="411">
        <f t="shared" ref="AF1084" si="3313">AF1083</f>
        <v>0</v>
      </c>
      <c r="AG1084" s="411">
        <f t="shared" ref="AG1084" si="3314">AG1083</f>
        <v>0</v>
      </c>
      <c r="AH1084" s="411">
        <f t="shared" ref="AH1084" si="3315">AH1083</f>
        <v>0</v>
      </c>
      <c r="AI1084" s="411">
        <f t="shared" ref="AI1084" si="3316">AI1083</f>
        <v>0</v>
      </c>
      <c r="AJ1084" s="411">
        <f t="shared" ref="AJ1084" si="3317">AJ1083</f>
        <v>0</v>
      </c>
      <c r="AK1084" s="411">
        <f t="shared" ref="AK1084" si="3318">AK1083</f>
        <v>0</v>
      </c>
      <c r="AL1084" s="411">
        <f t="shared" ref="AL1084" si="3319">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0">Z1086</f>
        <v>0</v>
      </c>
      <c r="AA1087" s="411">
        <f t="shared" ref="AA1087" si="3321">AA1086</f>
        <v>0</v>
      </c>
      <c r="AB1087" s="411">
        <f t="shared" ref="AB1087" si="3322">AB1086</f>
        <v>0</v>
      </c>
      <c r="AC1087" s="411">
        <f t="shared" ref="AC1087" si="3323">AC1086</f>
        <v>0</v>
      </c>
      <c r="AD1087" s="411">
        <f t="shared" ref="AD1087" si="3324">AD1086</f>
        <v>0</v>
      </c>
      <c r="AE1087" s="411">
        <f t="shared" ref="AE1087" si="3325">AE1086</f>
        <v>0</v>
      </c>
      <c r="AF1087" s="411">
        <f t="shared" ref="AF1087" si="3326">AF1086</f>
        <v>0</v>
      </c>
      <c r="AG1087" s="411">
        <f t="shared" ref="AG1087" si="3327">AG1086</f>
        <v>0</v>
      </c>
      <c r="AH1087" s="411">
        <f t="shared" ref="AH1087" si="3328">AH1086</f>
        <v>0</v>
      </c>
      <c r="AI1087" s="411">
        <f t="shared" ref="AI1087" si="3329">AI1086</f>
        <v>0</v>
      </c>
      <c r="AJ1087" s="411">
        <f t="shared" ref="AJ1087" si="3330">AJ1086</f>
        <v>0</v>
      </c>
      <c r="AK1087" s="411">
        <f t="shared" ref="AK1087" si="3331">AK1086</f>
        <v>0</v>
      </c>
      <c r="AL1087" s="411">
        <f t="shared" ref="AL1087" si="3332">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3">Z1089</f>
        <v>0</v>
      </c>
      <c r="AA1090" s="411">
        <f t="shared" ref="AA1090" si="3334">AA1089</f>
        <v>0</v>
      </c>
      <c r="AB1090" s="411">
        <f t="shared" ref="AB1090" si="3335">AB1089</f>
        <v>0</v>
      </c>
      <c r="AC1090" s="411">
        <f t="shared" ref="AC1090" si="3336">AC1089</f>
        <v>0</v>
      </c>
      <c r="AD1090" s="411">
        <f t="shared" ref="AD1090" si="3337">AD1089</f>
        <v>0</v>
      </c>
      <c r="AE1090" s="411">
        <f t="shared" ref="AE1090" si="3338">AE1089</f>
        <v>0</v>
      </c>
      <c r="AF1090" s="411">
        <f t="shared" ref="AF1090" si="3339">AF1089</f>
        <v>0</v>
      </c>
      <c r="AG1090" s="411">
        <f t="shared" ref="AG1090" si="3340">AG1089</f>
        <v>0</v>
      </c>
      <c r="AH1090" s="411">
        <f t="shared" ref="AH1090" si="3341">AH1089</f>
        <v>0</v>
      </c>
      <c r="AI1090" s="411">
        <f t="shared" ref="AI1090" si="3342">AI1089</f>
        <v>0</v>
      </c>
      <c r="AJ1090" s="411">
        <f t="shared" ref="AJ1090" si="3343">AJ1089</f>
        <v>0</v>
      </c>
      <c r="AK1090" s="411">
        <f t="shared" ref="AK1090" si="3344">AK1089</f>
        <v>0</v>
      </c>
      <c r="AL1090" s="411">
        <f t="shared" ref="AL1090" si="3345">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6">Z1092</f>
        <v>0</v>
      </c>
      <c r="AA1093" s="411">
        <f t="shared" ref="AA1093" si="3347">AA1092</f>
        <v>0</v>
      </c>
      <c r="AB1093" s="411">
        <f t="shared" ref="AB1093" si="3348">AB1092</f>
        <v>0</v>
      </c>
      <c r="AC1093" s="411">
        <f t="shared" ref="AC1093" si="3349">AC1092</f>
        <v>0</v>
      </c>
      <c r="AD1093" s="411">
        <f t="shared" ref="AD1093" si="3350">AD1092</f>
        <v>0</v>
      </c>
      <c r="AE1093" s="411">
        <f t="shared" ref="AE1093" si="3351">AE1092</f>
        <v>0</v>
      </c>
      <c r="AF1093" s="411">
        <f t="shared" ref="AF1093" si="3352">AF1092</f>
        <v>0</v>
      </c>
      <c r="AG1093" s="411">
        <f t="shared" ref="AG1093" si="3353">AG1092</f>
        <v>0</v>
      </c>
      <c r="AH1093" s="411">
        <f t="shared" ref="AH1093" si="3354">AH1092</f>
        <v>0</v>
      </c>
      <c r="AI1093" s="411">
        <f t="shared" ref="AI1093" si="3355">AI1092</f>
        <v>0</v>
      </c>
      <c r="AJ1093" s="411">
        <f t="shared" ref="AJ1093" si="3356">AJ1092</f>
        <v>0</v>
      </c>
      <c r="AK1093" s="411">
        <f t="shared" ref="AK1093" si="3357">AK1092</f>
        <v>0</v>
      </c>
      <c r="AL1093" s="411">
        <f t="shared" ref="AL1093" si="3358">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59">Z1095</f>
        <v>0</v>
      </c>
      <c r="AA1096" s="411">
        <f t="shared" ref="AA1096" si="3360">AA1095</f>
        <v>0</v>
      </c>
      <c r="AB1096" s="411">
        <f t="shared" ref="AB1096" si="3361">AB1095</f>
        <v>0</v>
      </c>
      <c r="AC1096" s="411">
        <f t="shared" ref="AC1096" si="3362">AC1095</f>
        <v>0</v>
      </c>
      <c r="AD1096" s="411">
        <f t="shared" ref="AD1096" si="3363">AD1095</f>
        <v>0</v>
      </c>
      <c r="AE1096" s="411">
        <f t="shared" ref="AE1096" si="3364">AE1095</f>
        <v>0</v>
      </c>
      <c r="AF1096" s="411">
        <f t="shared" ref="AF1096" si="3365">AF1095</f>
        <v>0</v>
      </c>
      <c r="AG1096" s="411">
        <f t="shared" ref="AG1096" si="3366">AG1095</f>
        <v>0</v>
      </c>
      <c r="AH1096" s="411">
        <f t="shared" ref="AH1096" si="3367">AH1095</f>
        <v>0</v>
      </c>
      <c r="AI1096" s="411">
        <f t="shared" ref="AI1096" si="3368">AI1095</f>
        <v>0</v>
      </c>
      <c r="AJ1096" s="411">
        <f t="shared" ref="AJ1096" si="3369">AJ1095</f>
        <v>0</v>
      </c>
      <c r="AK1096" s="411">
        <f t="shared" ref="AK1096" si="3370">AK1095</f>
        <v>0</v>
      </c>
      <c r="AL1096" s="411">
        <f t="shared" ref="AL1096" si="3371">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2">Z1098</f>
        <v>0</v>
      </c>
      <c r="AA1099" s="411">
        <f t="shared" ref="AA1099" si="3373">AA1098</f>
        <v>0</v>
      </c>
      <c r="AB1099" s="411">
        <f t="shared" ref="AB1099" si="3374">AB1098</f>
        <v>0</v>
      </c>
      <c r="AC1099" s="411">
        <f t="shared" ref="AC1099" si="3375">AC1098</f>
        <v>0</v>
      </c>
      <c r="AD1099" s="411">
        <f t="shared" ref="AD1099" si="3376">AD1098</f>
        <v>0</v>
      </c>
      <c r="AE1099" s="411">
        <f t="shared" ref="AE1099" si="3377">AE1098</f>
        <v>0</v>
      </c>
      <c r="AF1099" s="411">
        <f t="shared" ref="AF1099" si="3378">AF1098</f>
        <v>0</v>
      </c>
      <c r="AG1099" s="411">
        <f t="shared" ref="AG1099" si="3379">AG1098</f>
        <v>0</v>
      </c>
      <c r="AH1099" s="411">
        <f t="shared" ref="AH1099" si="3380">AH1098</f>
        <v>0</v>
      </c>
      <c r="AI1099" s="411">
        <f t="shared" ref="AI1099" si="3381">AI1098</f>
        <v>0</v>
      </c>
      <c r="AJ1099" s="411">
        <f t="shared" ref="AJ1099" si="3382">AJ1098</f>
        <v>0</v>
      </c>
      <c r="AK1099" s="411">
        <f t="shared" ref="AK1099" si="3383">AK1098</f>
        <v>0</v>
      </c>
      <c r="AL1099" s="411">
        <f t="shared" ref="AL1099" si="3384">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5">Z1101</f>
        <v>0</v>
      </c>
      <c r="AA1102" s="411">
        <f t="shared" ref="AA1102" si="3386">AA1101</f>
        <v>0</v>
      </c>
      <c r="AB1102" s="411">
        <f t="shared" ref="AB1102" si="3387">AB1101</f>
        <v>0</v>
      </c>
      <c r="AC1102" s="411">
        <f t="shared" ref="AC1102" si="3388">AC1101</f>
        <v>0</v>
      </c>
      <c r="AD1102" s="411">
        <f t="shared" ref="AD1102" si="3389">AD1101</f>
        <v>0</v>
      </c>
      <c r="AE1102" s="411">
        <f t="shared" ref="AE1102" si="3390">AE1101</f>
        <v>0</v>
      </c>
      <c r="AF1102" s="411">
        <f t="shared" ref="AF1102" si="3391">AF1101</f>
        <v>0</v>
      </c>
      <c r="AG1102" s="411">
        <f t="shared" ref="AG1102" si="3392">AG1101</f>
        <v>0</v>
      </c>
      <c r="AH1102" s="411">
        <f t="shared" ref="AH1102" si="3393">AH1101</f>
        <v>0</v>
      </c>
      <c r="AI1102" s="411">
        <f t="shared" ref="AI1102" si="3394">AI1101</f>
        <v>0</v>
      </c>
      <c r="AJ1102" s="411">
        <f t="shared" ref="AJ1102" si="3395">AJ1101</f>
        <v>0</v>
      </c>
      <c r="AK1102" s="411">
        <f t="shared" ref="AK1102" si="3396">AK1101</f>
        <v>0</v>
      </c>
      <c r="AL1102" s="411">
        <f t="shared" ref="AL1102" si="3397">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5"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98">Z1104</f>
        <v>0</v>
      </c>
      <c r="AA1105" s="411">
        <f t="shared" ref="AA1105" si="3399">AA1104</f>
        <v>0</v>
      </c>
      <c r="AB1105" s="411">
        <f t="shared" ref="AB1105" si="3400">AB1104</f>
        <v>0</v>
      </c>
      <c r="AC1105" s="411">
        <f t="shared" ref="AC1105" si="3401">AC1104</f>
        <v>0</v>
      </c>
      <c r="AD1105" s="411">
        <f t="shared" ref="AD1105" si="3402">AD1104</f>
        <v>0</v>
      </c>
      <c r="AE1105" s="411">
        <f t="shared" ref="AE1105" si="3403">AE1104</f>
        <v>0</v>
      </c>
      <c r="AF1105" s="411">
        <f t="shared" ref="AF1105" si="3404">AF1104</f>
        <v>0</v>
      </c>
      <c r="AG1105" s="411">
        <f t="shared" ref="AG1105" si="3405">AG1104</f>
        <v>0</v>
      </c>
      <c r="AH1105" s="411">
        <f t="shared" ref="AH1105" si="3406">AH1104</f>
        <v>0</v>
      </c>
      <c r="AI1105" s="411">
        <f t="shared" ref="AI1105" si="3407">AI1104</f>
        <v>0</v>
      </c>
      <c r="AJ1105" s="411">
        <f t="shared" ref="AJ1105" si="3408">AJ1104</f>
        <v>0</v>
      </c>
      <c r="AK1105" s="411">
        <f t="shared" ref="AK1105" si="3409">AK1104</f>
        <v>0</v>
      </c>
      <c r="AL1105" s="411">
        <f t="shared" ref="AL1105" si="3410">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1">Z1107</f>
        <v>0</v>
      </c>
      <c r="AA1108" s="411">
        <f t="shared" ref="AA1108" si="3412">AA1107</f>
        <v>0</v>
      </c>
      <c r="AB1108" s="411">
        <f t="shared" ref="AB1108" si="3413">AB1107</f>
        <v>0</v>
      </c>
      <c r="AC1108" s="411">
        <f t="shared" ref="AC1108" si="3414">AC1107</f>
        <v>0</v>
      </c>
      <c r="AD1108" s="411">
        <f t="shared" ref="AD1108" si="3415">AD1107</f>
        <v>0</v>
      </c>
      <c r="AE1108" s="411">
        <f t="shared" ref="AE1108" si="3416">AE1107</f>
        <v>0</v>
      </c>
      <c r="AF1108" s="411">
        <f t="shared" ref="AF1108" si="3417">AF1107</f>
        <v>0</v>
      </c>
      <c r="AG1108" s="411">
        <f t="shared" ref="AG1108" si="3418">AG1107</f>
        <v>0</v>
      </c>
      <c r="AH1108" s="411">
        <f t="shared" ref="AH1108" si="3419">AH1107</f>
        <v>0</v>
      </c>
      <c r="AI1108" s="411">
        <f t="shared" ref="AI1108" si="3420">AI1107</f>
        <v>0</v>
      </c>
      <c r="AJ1108" s="411">
        <f t="shared" ref="AJ1108" si="3421">AJ1107</f>
        <v>0</v>
      </c>
      <c r="AK1108" s="411">
        <f t="shared" ref="AK1108" si="3422">AK1107</f>
        <v>0</v>
      </c>
      <c r="AL1108" s="411">
        <f t="shared" ref="AL1108" si="3423">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ht="15.5">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ht="15.5">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ht="15.5">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4">SUM(Y1114:AL1114)</f>
        <v>0</v>
      </c>
    </row>
    <row r="1115" spans="1:39" ht="15.5">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4"/>
        <v>0</v>
      </c>
    </row>
    <row r="1116" spans="1:39" ht="15.5">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4"/>
        <v>0</v>
      </c>
    </row>
    <row r="1117" spans="1:39" ht="15.5">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4"/>
        <v>0</v>
      </c>
    </row>
    <row r="1118" spans="1:39" ht="15.5">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5">Y212*Y1113</f>
        <v>0</v>
      </c>
      <c r="Z1118" s="378">
        <f t="shared" si="3425"/>
        <v>0</v>
      </c>
      <c r="AA1118" s="378">
        <f t="shared" si="3425"/>
        <v>0</v>
      </c>
      <c r="AB1118" s="378">
        <f t="shared" si="3425"/>
        <v>0</v>
      </c>
      <c r="AC1118" s="378">
        <f t="shared" si="3425"/>
        <v>0</v>
      </c>
      <c r="AD1118" s="378">
        <f t="shared" si="3425"/>
        <v>0</v>
      </c>
      <c r="AE1118" s="378">
        <f t="shared" si="3425"/>
        <v>0</v>
      </c>
      <c r="AF1118" s="378">
        <f t="shared" si="3425"/>
        <v>0</v>
      </c>
      <c r="AG1118" s="378">
        <f t="shared" si="3425"/>
        <v>0</v>
      </c>
      <c r="AH1118" s="378">
        <f t="shared" si="3425"/>
        <v>0</v>
      </c>
      <c r="AI1118" s="378">
        <f t="shared" si="3425"/>
        <v>0</v>
      </c>
      <c r="AJ1118" s="378">
        <f t="shared" si="3425"/>
        <v>0</v>
      </c>
      <c r="AK1118" s="378">
        <f t="shared" si="3425"/>
        <v>0</v>
      </c>
      <c r="AL1118" s="378">
        <f t="shared" si="3425"/>
        <v>0</v>
      </c>
      <c r="AM1118" s="629">
        <f t="shared" si="3424"/>
        <v>0</v>
      </c>
    </row>
    <row r="1119" spans="1:39" ht="15.5">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6">Y395*Y1113</f>
        <v>0</v>
      </c>
      <c r="Z1119" s="378">
        <f t="shared" si="3426"/>
        <v>0</v>
      </c>
      <c r="AA1119" s="378">
        <f t="shared" si="3426"/>
        <v>0</v>
      </c>
      <c r="AB1119" s="378">
        <f t="shared" si="3426"/>
        <v>0</v>
      </c>
      <c r="AC1119" s="378">
        <f t="shared" si="3426"/>
        <v>0</v>
      </c>
      <c r="AD1119" s="378">
        <f t="shared" si="3426"/>
        <v>0</v>
      </c>
      <c r="AE1119" s="378">
        <f t="shared" si="3426"/>
        <v>0</v>
      </c>
      <c r="AF1119" s="378">
        <f t="shared" si="3426"/>
        <v>0</v>
      </c>
      <c r="AG1119" s="378">
        <f t="shared" si="3426"/>
        <v>0</v>
      </c>
      <c r="AH1119" s="378">
        <f t="shared" si="3426"/>
        <v>0</v>
      </c>
      <c r="AI1119" s="378">
        <f t="shared" si="3426"/>
        <v>0</v>
      </c>
      <c r="AJ1119" s="378">
        <f t="shared" si="3426"/>
        <v>0</v>
      </c>
      <c r="AK1119" s="378">
        <f t="shared" si="3426"/>
        <v>0</v>
      </c>
      <c r="AL1119" s="378">
        <f t="shared" si="3426"/>
        <v>0</v>
      </c>
      <c r="AM1119" s="629">
        <f t="shared" si="3424"/>
        <v>0</v>
      </c>
    </row>
    <row r="1120" spans="1:39" ht="15.5">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7">Y578*Y1113</f>
        <v>0</v>
      </c>
      <c r="Z1120" s="378">
        <f t="shared" si="3427"/>
        <v>0</v>
      </c>
      <c r="AA1120" s="378">
        <f t="shared" si="3427"/>
        <v>0</v>
      </c>
      <c r="AB1120" s="378">
        <f t="shared" si="3427"/>
        <v>0</v>
      </c>
      <c r="AC1120" s="378">
        <f t="shared" si="3427"/>
        <v>0</v>
      </c>
      <c r="AD1120" s="378">
        <f t="shared" si="3427"/>
        <v>0</v>
      </c>
      <c r="AE1120" s="378">
        <f t="shared" si="3427"/>
        <v>0</v>
      </c>
      <c r="AF1120" s="378">
        <f t="shared" si="3427"/>
        <v>0</v>
      </c>
      <c r="AG1120" s="378">
        <f t="shared" si="3427"/>
        <v>0</v>
      </c>
      <c r="AH1120" s="378">
        <f t="shared" si="3427"/>
        <v>0</v>
      </c>
      <c r="AI1120" s="378">
        <f t="shared" si="3427"/>
        <v>0</v>
      </c>
      <c r="AJ1120" s="378">
        <f t="shared" si="3427"/>
        <v>0</v>
      </c>
      <c r="AK1120" s="378">
        <f t="shared" si="3427"/>
        <v>0</v>
      </c>
      <c r="AL1120" s="378">
        <f t="shared" si="3427"/>
        <v>0</v>
      </c>
      <c r="AM1120" s="629">
        <f t="shared" si="3424"/>
        <v>0</v>
      </c>
    </row>
    <row r="1121" spans="2:39" ht="15.5">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8">Y761*Y1113</f>
        <v>0</v>
      </c>
      <c r="Z1121" s="378">
        <f t="shared" si="3428"/>
        <v>0</v>
      </c>
      <c r="AA1121" s="378">
        <f t="shared" si="3428"/>
        <v>0</v>
      </c>
      <c r="AB1121" s="378">
        <f t="shared" si="3428"/>
        <v>0</v>
      </c>
      <c r="AC1121" s="378">
        <f t="shared" si="3428"/>
        <v>0</v>
      </c>
      <c r="AD1121" s="378">
        <f t="shared" si="3428"/>
        <v>0</v>
      </c>
      <c r="AE1121" s="378">
        <f t="shared" si="3428"/>
        <v>0</v>
      </c>
      <c r="AF1121" s="378">
        <f t="shared" si="3428"/>
        <v>0</v>
      </c>
      <c r="AG1121" s="378">
        <f t="shared" si="3428"/>
        <v>0</v>
      </c>
      <c r="AH1121" s="378">
        <f t="shared" si="3428"/>
        <v>0</v>
      </c>
      <c r="AI1121" s="378">
        <f t="shared" si="3428"/>
        <v>0</v>
      </c>
      <c r="AJ1121" s="378">
        <f t="shared" si="3428"/>
        <v>0</v>
      </c>
      <c r="AK1121" s="378">
        <f t="shared" si="3428"/>
        <v>0</v>
      </c>
      <c r="AL1121" s="378">
        <f t="shared" si="3428"/>
        <v>0</v>
      </c>
      <c r="AM1121" s="629">
        <f t="shared" si="3424"/>
        <v>0</v>
      </c>
    </row>
    <row r="1122" spans="2:39" ht="15.5">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9">Y944*Y1113</f>
        <v>0</v>
      </c>
      <c r="Z1122" s="378">
        <f t="shared" si="3429"/>
        <v>0</v>
      </c>
      <c r="AA1122" s="378">
        <f t="shared" si="3429"/>
        <v>0</v>
      </c>
      <c r="AB1122" s="378">
        <f t="shared" si="3429"/>
        <v>0</v>
      </c>
      <c r="AC1122" s="378">
        <f t="shared" si="3429"/>
        <v>0</v>
      </c>
      <c r="AD1122" s="378">
        <f t="shared" si="3429"/>
        <v>0</v>
      </c>
      <c r="AE1122" s="378">
        <f t="shared" si="3429"/>
        <v>0</v>
      </c>
      <c r="AF1122" s="378">
        <f t="shared" si="3429"/>
        <v>0</v>
      </c>
      <c r="AG1122" s="378">
        <f t="shared" si="3429"/>
        <v>0</v>
      </c>
      <c r="AH1122" s="378">
        <f t="shared" si="3429"/>
        <v>0</v>
      </c>
      <c r="AI1122" s="378">
        <f t="shared" si="3429"/>
        <v>0</v>
      </c>
      <c r="AJ1122" s="378">
        <f t="shared" si="3429"/>
        <v>0</v>
      </c>
      <c r="AK1122" s="378">
        <f t="shared" si="3429"/>
        <v>0</v>
      </c>
      <c r="AL1122" s="378">
        <f t="shared" si="3429"/>
        <v>0</v>
      </c>
      <c r="AM1122" s="629">
        <f t="shared" si="3424"/>
        <v>0</v>
      </c>
    </row>
    <row r="1123" spans="2:39" ht="15.5">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0">AA1110*AA1113</f>
        <v>0</v>
      </c>
      <c r="AB1123" s="378">
        <f t="shared" si="3430"/>
        <v>0</v>
      </c>
      <c r="AC1123" s="378">
        <f t="shared" si="3430"/>
        <v>0</v>
      </c>
      <c r="AD1123" s="378">
        <f t="shared" si="3430"/>
        <v>0</v>
      </c>
      <c r="AE1123" s="378">
        <f t="shared" si="3430"/>
        <v>0</v>
      </c>
      <c r="AF1123" s="378">
        <f t="shared" si="3430"/>
        <v>0</v>
      </c>
      <c r="AG1123" s="378">
        <f t="shared" si="3430"/>
        <v>0</v>
      </c>
      <c r="AH1123" s="378">
        <f t="shared" si="3430"/>
        <v>0</v>
      </c>
      <c r="AI1123" s="378">
        <f t="shared" si="3430"/>
        <v>0</v>
      </c>
      <c r="AJ1123" s="378">
        <f t="shared" si="3430"/>
        <v>0</v>
      </c>
      <c r="AK1123" s="378">
        <f t="shared" si="3430"/>
        <v>0</v>
      </c>
      <c r="AL1123" s="378">
        <f t="shared" si="3430"/>
        <v>0</v>
      </c>
      <c r="AM1123" s="629">
        <f t="shared" si="3424"/>
        <v>0</v>
      </c>
    </row>
    <row r="1124" spans="2:39" ht="15.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1">SUM(Z1114:Z1123)</f>
        <v>0</v>
      </c>
      <c r="AA1124" s="346">
        <f t="shared" si="3431"/>
        <v>0</v>
      </c>
      <c r="AB1124" s="346">
        <f t="shared" si="3431"/>
        <v>0</v>
      </c>
      <c r="AC1124" s="346">
        <f t="shared" si="3431"/>
        <v>0</v>
      </c>
      <c r="AD1124" s="346">
        <f t="shared" si="3431"/>
        <v>0</v>
      </c>
      <c r="AE1124" s="346">
        <f t="shared" si="3431"/>
        <v>0</v>
      </c>
      <c r="AF1124" s="346">
        <f>SUM(AF1114:AF1123)</f>
        <v>0</v>
      </c>
      <c r="AG1124" s="346">
        <f t="shared" ref="AG1124:AL1124" si="3432">SUM(AG1114:AG1123)</f>
        <v>0</v>
      </c>
      <c r="AH1124" s="346">
        <f t="shared" si="3432"/>
        <v>0</v>
      </c>
      <c r="AI1124" s="346">
        <f t="shared" si="3432"/>
        <v>0</v>
      </c>
      <c r="AJ1124" s="346">
        <f t="shared" si="3432"/>
        <v>0</v>
      </c>
      <c r="AK1124" s="346">
        <f t="shared" si="3432"/>
        <v>0</v>
      </c>
      <c r="AL1124" s="346">
        <f t="shared" si="3432"/>
        <v>0</v>
      </c>
      <c r="AM1124" s="407">
        <f>SUM(AM1114:AM1123)</f>
        <v>0</v>
      </c>
    </row>
    <row r="1125" spans="2:39" ht="15.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3">Z1111*Z1113</f>
        <v>0</v>
      </c>
      <c r="AA1125" s="347">
        <f>AA1111*AA1113</f>
        <v>0</v>
      </c>
      <c r="AB1125" s="347">
        <f t="shared" si="3433"/>
        <v>0</v>
      </c>
      <c r="AC1125" s="347">
        <f t="shared" si="3433"/>
        <v>0</v>
      </c>
      <c r="AD1125" s="347">
        <f t="shared" si="3433"/>
        <v>0</v>
      </c>
      <c r="AE1125" s="347">
        <f t="shared" si="3433"/>
        <v>0</v>
      </c>
      <c r="AF1125" s="347">
        <f t="shared" ref="AF1125:AL1125" si="3434">AF1111*AF1113</f>
        <v>0</v>
      </c>
      <c r="AG1125" s="347">
        <f t="shared" si="3434"/>
        <v>0</v>
      </c>
      <c r="AH1125" s="347">
        <f t="shared" si="3434"/>
        <v>0</v>
      </c>
      <c r="AI1125" s="347">
        <f t="shared" si="3434"/>
        <v>0</v>
      </c>
      <c r="AJ1125" s="347">
        <f t="shared" si="3434"/>
        <v>0</v>
      </c>
      <c r="AK1125" s="347">
        <f t="shared" si="3434"/>
        <v>0</v>
      </c>
      <c r="AL1125" s="347">
        <f t="shared" si="3434"/>
        <v>0</v>
      </c>
      <c r="AM1125" s="407">
        <f>SUM(Y1125:AL1125)</f>
        <v>0</v>
      </c>
    </row>
    <row r="1126" spans="2:39" ht="15.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ht="15.5">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588</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3" scale="58" fitToHeight="0" pageOrder="overThenDown" orientation="landscape" r:id="rId1"/>
  <headerFooter>
    <oddFooter>&amp;R&amp;P of &amp;N</oddFooter>
  </headerFooter>
  <rowBreaks count="1" manualBreakCount="1">
    <brk id="756" max="39" man="1"/>
  </rowBreaks>
  <colBreaks count="1" manualBreakCount="1">
    <brk id="24" max="1129" man="1"/>
  </col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AB238"/>
  <sheetViews>
    <sheetView view="pageBreakPreview" topLeftCell="A220" zoomScale="60" zoomScaleNormal="70" workbookViewId="0">
      <selection activeCell="J235" sqref="J235"/>
    </sheetView>
  </sheetViews>
  <sheetFormatPr defaultColWidth="9.08984375" defaultRowHeight="14.5" outlineLevelCol="1"/>
  <cols>
    <col min="1" max="1" width="4.54296875" style="12" customWidth="1"/>
    <col min="2" max="2" width="19.54296875" style="11" customWidth="1"/>
    <col min="3" max="3" width="30.90625" style="12" customWidth="1"/>
    <col min="4" max="4" width="5" style="12" customWidth="1"/>
    <col min="5" max="5" width="14.36328125" style="12" customWidth="1"/>
    <col min="6" max="6" width="15.08984375" style="12" customWidth="1"/>
    <col min="7" max="7" width="11.453125" style="12" customWidth="1"/>
    <col min="8" max="8" width="13" style="18" customWidth="1"/>
    <col min="9" max="10" width="14" style="12" customWidth="1"/>
    <col min="11" max="11" width="18" style="12" customWidth="1"/>
    <col min="12" max="12" width="19.08984375" style="12" customWidth="1"/>
    <col min="13" max="13" width="16.90625" style="12" customWidth="1"/>
    <col min="14" max="14" width="16" style="12" customWidth="1"/>
    <col min="15" max="15" width="14.54296875" style="12" customWidth="1"/>
    <col min="16" max="16" width="14.6328125" style="12" customWidth="1"/>
    <col min="17" max="17" width="14" style="12" hidden="1" customWidth="1" outlineLevel="1"/>
    <col min="18" max="18" width="15.6328125" style="12" hidden="1" customWidth="1" outlineLevel="1"/>
    <col min="19" max="19" width="14.08984375" style="12" hidden="1" customWidth="1" outlineLevel="1"/>
    <col min="20" max="22" width="15" style="12" hidden="1" customWidth="1" outlineLevel="1"/>
    <col min="23" max="23" width="13.453125" style="12" customWidth="1" collapsed="1"/>
    <col min="24" max="24" width="4.08984375" style="12" customWidth="1"/>
    <col min="25" max="16384" width="9.0898437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551</v>
      </c>
      <c r="D6" s="177"/>
      <c r="E6" s="177"/>
      <c r="F6" s="17"/>
      <c r="G6" s="177"/>
      <c r="H6" s="178"/>
      <c r="I6" s="179"/>
      <c r="J6" s="179"/>
      <c r="K6" s="179"/>
      <c r="L6" s="179"/>
      <c r="M6" s="179"/>
      <c r="N6" s="177"/>
      <c r="O6" s="177"/>
      <c r="P6" s="177"/>
      <c r="Q6" s="177"/>
      <c r="R6" s="177"/>
      <c r="S6" s="177"/>
      <c r="T6" s="177"/>
      <c r="U6" s="177"/>
      <c r="V6" s="177"/>
      <c r="W6" s="17"/>
    </row>
    <row r="7" spans="1:28" s="9" customFormat="1" ht="25.2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933" t="s">
        <v>665</v>
      </c>
      <c r="D8" s="933"/>
      <c r="E8" s="933"/>
      <c r="F8" s="933"/>
      <c r="G8" s="933"/>
      <c r="H8" s="933"/>
      <c r="I8" s="933"/>
      <c r="J8" s="933"/>
      <c r="K8" s="933"/>
      <c r="L8" s="933"/>
      <c r="M8" s="933"/>
      <c r="N8" s="933"/>
      <c r="O8" s="933"/>
      <c r="P8" s="933"/>
      <c r="Q8" s="933"/>
      <c r="R8" s="933"/>
      <c r="S8" s="933"/>
      <c r="T8" s="105"/>
      <c r="U8" s="105"/>
      <c r="V8" s="105"/>
      <c r="W8" s="105"/>
    </row>
    <row r="9" spans="1:28" s="9" customFormat="1" ht="47" customHeight="1">
      <c r="B9" s="55"/>
      <c r="C9" s="892" t="s">
        <v>676</v>
      </c>
      <c r="D9" s="892"/>
      <c r="E9" s="892"/>
      <c r="F9" s="892"/>
      <c r="G9" s="892"/>
      <c r="H9" s="892"/>
      <c r="I9" s="892"/>
      <c r="J9" s="892"/>
      <c r="K9" s="892"/>
      <c r="L9" s="892"/>
      <c r="M9" s="892"/>
      <c r="N9" s="892"/>
      <c r="O9" s="892"/>
      <c r="P9" s="892"/>
      <c r="Q9" s="892"/>
      <c r="R9" s="892"/>
      <c r="S9" s="892"/>
      <c r="T9" s="105"/>
      <c r="U9" s="105"/>
      <c r="V9" s="105"/>
      <c r="W9" s="105"/>
    </row>
    <row r="10" spans="1:28" s="9" customFormat="1" ht="38" customHeight="1">
      <c r="B10" s="88"/>
      <c r="C10" s="913" t="s">
        <v>677</v>
      </c>
      <c r="D10" s="892"/>
      <c r="E10" s="892"/>
      <c r="F10" s="892"/>
      <c r="G10" s="892"/>
      <c r="H10" s="892"/>
      <c r="I10" s="892"/>
      <c r="J10" s="892"/>
      <c r="K10" s="892"/>
      <c r="L10" s="892"/>
      <c r="M10" s="892"/>
      <c r="N10" s="892"/>
      <c r="O10" s="892"/>
      <c r="P10" s="892"/>
      <c r="Q10" s="892"/>
      <c r="R10" s="892"/>
      <c r="S10" s="892"/>
      <c r="T10" s="88"/>
      <c r="U10" s="88"/>
      <c r="V10" s="88"/>
    </row>
    <row r="11" spans="1:28" ht="32.4"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32" t="s">
        <v>235</v>
      </c>
      <c r="C12" s="932"/>
      <c r="D12" s="181"/>
      <c r="E12" s="182" t="s">
        <v>236</v>
      </c>
      <c r="F12" s="51"/>
      <c r="G12" s="51"/>
      <c r="H12" s="44"/>
      <c r="I12" s="51"/>
      <c r="K12" s="592"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 50 to 999 kW (I1 &amp; I4)</v>
      </c>
      <c r="L14" s="204" t="str">
        <f>'1.  LRAMVA Summary'!G52</f>
        <v>GS 1,000 to 4,999 kW (I2)</v>
      </c>
      <c r="M14" s="204" t="str">
        <f>'1.  LRAMVA Summary'!H52</f>
        <v>Large Use (I3)</v>
      </c>
      <c r="N14" s="204" t="str">
        <f>'1.  LRAMVA Summary'!I52</f>
        <v>Street Lighting</v>
      </c>
      <c r="O14" s="204" t="str">
        <f>'1.  LRAMVA Summary'!J52</f>
        <v>USL</v>
      </c>
      <c r="P14" s="204" t="str">
        <f>'1.  LRAMVA Summary'!K52</f>
        <v>Sentinel Lights</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7">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7">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27">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27">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7">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7">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7">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4">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4">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4">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4">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4">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2.18E-2</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v>2.18E-2</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719</v>
      </c>
      <c r="C55" s="233"/>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720</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13" t="s">
        <v>721</v>
      </c>
      <c r="C57" s="233"/>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B58" s="235" t="s">
        <v>722</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723</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724</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725</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726</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737</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738</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739</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740</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742</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743</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744</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745</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746</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213" t="s">
        <v>747</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213" t="s">
        <v>748</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749</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-1.8246148731587544</v>
      </c>
      <c r="J76" s="230">
        <f>(SUM('1.  LRAMVA Summary'!E$54:E$65)+SUM('1.  LRAMVA Summary'!E$66:E$67)*(MONTH($E76)-1)/12)*$H76</f>
        <v>-0.57491071792850323</v>
      </c>
      <c r="K76" s="230">
        <f>(SUM('1.  LRAMVA Summary'!F$54:F$65)+SUM('1.  LRAMVA Summary'!F$66:F$67)*(MONTH($E76)-1)/12)*$H76</f>
        <v>-2.3514688987062824</v>
      </c>
      <c r="L76" s="230">
        <f>(SUM('1.  LRAMVA Summary'!G$54:G$65)+SUM('1.  LRAMVA Summary'!G$66:G$67)*(MONTH($E76)-1)/12)*$H76</f>
        <v>2.0539391064087202</v>
      </c>
      <c r="M76" s="230">
        <f>(SUM('1.  LRAMVA Summary'!H$54:H$65)+SUM('1.  LRAMVA Summary'!H$66:H$67)*(MONTH($E76)-1)/12)*$H76</f>
        <v>-0.20782590808531859</v>
      </c>
      <c r="N76" s="230">
        <f>(SUM('1.  LRAMVA Summary'!I$54:I$65)+SUM('1.  LRAMVA Summary'!I$66:I$67)*(MONTH($E76)-1)/12)*$H76</f>
        <v>-3.4365920025290824</v>
      </c>
      <c r="O76" s="230">
        <f>(SUM('1.  LRAMVA Summary'!J$54:J$65)+SUM('1.  LRAMVA Summary'!J$66:J$67)*(MONTH($E76)-1)/12)*$H76</f>
        <v>-3.8345806451200642E-2</v>
      </c>
      <c r="P76" s="230">
        <f>(SUM('1.  LRAMVA Summary'!K$54:K$65)+SUM('1.  LRAMVA Summary'!K$66:K$67)*(MONTH($E76)-1)/12)*$H76</f>
        <v>-6.5292773668636597E-4</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-6.380472028187107</v>
      </c>
    </row>
    <row r="77" spans="2:23" s="9" customFormat="1" ht="15.5">
      <c r="B77" s="183" t="s">
        <v>182</v>
      </c>
      <c r="E77" s="214">
        <v>42064</v>
      </c>
      <c r="F77" s="214" t="s">
        <v>181</v>
      </c>
      <c r="G77" s="215" t="s">
        <v>65</v>
      </c>
      <c r="H77" s="229">
        <f t="shared" si="19"/>
        <v>1.225E-3</v>
      </c>
      <c r="I77" s="230">
        <f>(SUM('1.  LRAMVA Summary'!D$54:D$65)+SUM('1.  LRAMVA Summary'!D$66:D$67)*(MONTH($E77)-1)/12)*$H77</f>
        <v>-3.6492297463175087</v>
      </c>
      <c r="J77" s="230">
        <f>(SUM('1.  LRAMVA Summary'!E$54:E$65)+SUM('1.  LRAMVA Summary'!E$66:E$67)*(MONTH($E77)-1)/12)*$H77</f>
        <v>-1.1498214358570065</v>
      </c>
      <c r="K77" s="230">
        <f>(SUM('1.  LRAMVA Summary'!F$54:F$65)+SUM('1.  LRAMVA Summary'!F$66:F$67)*(MONTH($E77)-1)/12)*$H77</f>
        <v>-4.7029377974125648</v>
      </c>
      <c r="L77" s="230">
        <f>(SUM('1.  LRAMVA Summary'!G$54:G$65)+SUM('1.  LRAMVA Summary'!G$66:G$67)*(MONTH($E77)-1)/12)*$H77</f>
        <v>4.1078782128174405</v>
      </c>
      <c r="M77" s="230">
        <f>(SUM('1.  LRAMVA Summary'!H$54:H$65)+SUM('1.  LRAMVA Summary'!H$66:H$67)*(MONTH($E77)-1)/12)*$H77</f>
        <v>-0.41565181617063718</v>
      </c>
      <c r="N77" s="230">
        <f>(SUM('1.  LRAMVA Summary'!I$54:I$65)+SUM('1.  LRAMVA Summary'!I$66:I$67)*(MONTH($E77)-1)/12)*$H77</f>
        <v>-6.8731840050581647</v>
      </c>
      <c r="O77" s="230">
        <f>(SUM('1.  LRAMVA Summary'!J$54:J$65)+SUM('1.  LRAMVA Summary'!J$66:J$67)*(MONTH($E77)-1)/12)*$H77</f>
        <v>-7.6691612902401285E-2</v>
      </c>
      <c r="P77" s="230">
        <f>(SUM('1.  LRAMVA Summary'!K$54:K$65)+SUM('1.  LRAMVA Summary'!K$66:K$67)*(MONTH($E77)-1)/12)*$H77</f>
        <v>-1.3058554733727319E-3</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-12.760944056374214</v>
      </c>
    </row>
    <row r="78" spans="2:23" s="9" customFormat="1">
      <c r="B78" s="66"/>
      <c r="E78" s="214">
        <v>42095</v>
      </c>
      <c r="F78" s="214" t="s">
        <v>181</v>
      </c>
      <c r="G78" s="215" t="s">
        <v>66</v>
      </c>
      <c r="H78" s="229">
        <f>C$32/12</f>
        <v>9.1666666666666665E-4</v>
      </c>
      <c r="I78" s="230">
        <f>(SUM('1.  LRAMVA Summary'!D$54:D$65)+SUM('1.  LRAMVA Summary'!D$66:D$67)*(MONTH($E78)-1)/12)*$H78</f>
        <v>-4.0960742050502645</v>
      </c>
      <c r="J78" s="230">
        <f>(SUM('1.  LRAMVA Summary'!E$54:E$65)+SUM('1.  LRAMVA Summary'!E$66:E$67)*(MONTH($E78)-1)/12)*$H78</f>
        <v>-1.2906158973905175</v>
      </c>
      <c r="K78" s="230">
        <f>(SUM('1.  LRAMVA Summary'!F$54:F$65)+SUM('1.  LRAMVA Summary'!F$66:F$67)*(MONTH($E78)-1)/12)*$H78</f>
        <v>-5.2788077317896134</v>
      </c>
      <c r="L78" s="230">
        <f>(SUM('1.  LRAMVA Summary'!G$54:G$65)+SUM('1.  LRAMVA Summary'!G$66:G$67)*(MONTH($E78)-1)/12)*$H78</f>
        <v>4.610883708264474</v>
      </c>
      <c r="M78" s="230">
        <f>(SUM('1.  LRAMVA Summary'!H$54:H$65)+SUM('1.  LRAMVA Summary'!H$66:H$67)*(MONTH($E78)-1)/12)*$H78</f>
        <v>-0.46654795692622547</v>
      </c>
      <c r="N78" s="230">
        <f>(SUM('1.  LRAMVA Summary'!I$54:I$65)+SUM('1.  LRAMVA Summary'!I$66:I$67)*(MONTH($E78)-1)/12)*$H78</f>
        <v>-7.71479837302447</v>
      </c>
      <c r="O78" s="230">
        <f>(SUM('1.  LRAMVA Summary'!J$54:J$65)+SUM('1.  LRAMVA Summary'!J$66:J$67)*(MONTH($E78)-1)/12)*$H78</f>
        <v>-8.6082422645552478E-2</v>
      </c>
      <c r="P78" s="230">
        <f>(SUM('1.  LRAMVA Summary'!K$54:K$65)+SUM('1.  LRAMVA Summary'!K$66:K$67)*(MONTH($E78)-1)/12)*$H78</f>
        <v>-1.4657561435816376E-3</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-14.32350863470575</v>
      </c>
    </row>
    <row r="79" spans="2:23" s="9" customFormat="1">
      <c r="B79" s="66"/>
      <c r="E79" s="214">
        <v>42125</v>
      </c>
      <c r="F79" s="214" t="s">
        <v>181</v>
      </c>
      <c r="G79" s="215" t="s">
        <v>66</v>
      </c>
      <c r="H79" s="229">
        <f t="shared" ref="H79:H80" si="21">C$32/12</f>
        <v>9.1666666666666665E-4</v>
      </c>
      <c r="I79" s="230">
        <f>(SUM('1.  LRAMVA Summary'!D$54:D$65)+SUM('1.  LRAMVA Summary'!D$66:D$67)*(MONTH($E79)-1)/12)*$H79</f>
        <v>-5.4614322734003533</v>
      </c>
      <c r="J79" s="230">
        <f>(SUM('1.  LRAMVA Summary'!E$54:E$65)+SUM('1.  LRAMVA Summary'!E$66:E$67)*(MONTH($E79)-1)/12)*$H79</f>
        <v>-1.7208211965206899</v>
      </c>
      <c r="K79" s="230">
        <f>(SUM('1.  LRAMVA Summary'!F$54:F$65)+SUM('1.  LRAMVA Summary'!F$66:F$67)*(MONTH($E79)-1)/12)*$H79</f>
        <v>-7.0384103090528178</v>
      </c>
      <c r="L79" s="230">
        <f>(SUM('1.  LRAMVA Summary'!G$54:G$65)+SUM('1.  LRAMVA Summary'!G$66:G$67)*(MONTH($E79)-1)/12)*$H79</f>
        <v>6.1478449443526317</v>
      </c>
      <c r="M79" s="230">
        <f>(SUM('1.  LRAMVA Summary'!H$54:H$65)+SUM('1.  LRAMVA Summary'!H$66:H$67)*(MONTH($E79)-1)/12)*$H79</f>
        <v>-0.62206394256830055</v>
      </c>
      <c r="N79" s="230">
        <f>(SUM('1.  LRAMVA Summary'!I$54:I$65)+SUM('1.  LRAMVA Summary'!I$66:I$67)*(MONTH($E79)-1)/12)*$H79</f>
        <v>-10.286397830699293</v>
      </c>
      <c r="O79" s="230">
        <f>(SUM('1.  LRAMVA Summary'!J$54:J$65)+SUM('1.  LRAMVA Summary'!J$66:J$67)*(MONTH($E79)-1)/12)*$H79</f>
        <v>-0.1147765635274033</v>
      </c>
      <c r="P79" s="230">
        <f>(SUM('1.  LRAMVA Summary'!K$54:K$65)+SUM('1.  LRAMVA Summary'!K$66:K$67)*(MONTH($E79)-1)/12)*$H79</f>
        <v>-1.9543415247755169E-3</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-19.098011512941003</v>
      </c>
    </row>
    <row r="80" spans="2:23" s="9" customFormat="1">
      <c r="B80" s="66"/>
      <c r="E80" s="214">
        <v>42156</v>
      </c>
      <c r="F80" s="214" t="s">
        <v>181</v>
      </c>
      <c r="G80" s="215" t="s">
        <v>66</v>
      </c>
      <c r="H80" s="229">
        <f t="shared" si="21"/>
        <v>9.1666666666666665E-4</v>
      </c>
      <c r="I80" s="230">
        <f>(SUM('1.  LRAMVA Summary'!D$54:D$65)+SUM('1.  LRAMVA Summary'!D$66:D$67)*(MONTH($E80)-1)/12)*$H80</f>
        <v>-6.8267903417504412</v>
      </c>
      <c r="J80" s="230">
        <f>(SUM('1.  LRAMVA Summary'!E$54:E$65)+SUM('1.  LRAMVA Summary'!E$66:E$67)*(MONTH($E80)-1)/12)*$H80</f>
        <v>-2.1510264956508625</v>
      </c>
      <c r="K80" s="230">
        <f>(SUM('1.  LRAMVA Summary'!F$54:F$65)+SUM('1.  LRAMVA Summary'!F$66:F$67)*(MONTH($E80)-1)/12)*$H80</f>
        <v>-8.7980128863160214</v>
      </c>
      <c r="L80" s="230">
        <f>(SUM('1.  LRAMVA Summary'!G$54:G$65)+SUM('1.  LRAMVA Summary'!G$66:G$67)*(MONTH($E80)-1)/12)*$H80</f>
        <v>7.6848061804407903</v>
      </c>
      <c r="M80" s="230">
        <f>(SUM('1.  LRAMVA Summary'!H$54:H$65)+SUM('1.  LRAMVA Summary'!H$66:H$67)*(MONTH($E80)-1)/12)*$H80</f>
        <v>-0.77757992821037569</v>
      </c>
      <c r="N80" s="230">
        <f>(SUM('1.  LRAMVA Summary'!I$54:I$65)+SUM('1.  LRAMVA Summary'!I$66:I$67)*(MONTH($E80)-1)/12)*$H80</f>
        <v>-12.857997288374117</v>
      </c>
      <c r="O80" s="230">
        <f>(SUM('1.  LRAMVA Summary'!J$54:J$65)+SUM('1.  LRAMVA Summary'!J$66:J$67)*(MONTH($E80)-1)/12)*$H80</f>
        <v>-0.14347070440925414</v>
      </c>
      <c r="P80" s="230">
        <f>(SUM('1.  LRAMVA Summary'!K$54:K$65)+SUM('1.  LRAMVA Summary'!K$66:K$67)*(MONTH($E80)-1)/12)*$H80</f>
        <v>-2.4429269059693965E-3</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-23.872514391176246</v>
      </c>
    </row>
    <row r="81" spans="2:23" s="9" customFormat="1">
      <c r="B81" s="66"/>
      <c r="E81" s="214">
        <v>42186</v>
      </c>
      <c r="F81" s="214" t="s">
        <v>181</v>
      </c>
      <c r="G81" s="215" t="s">
        <v>68</v>
      </c>
      <c r="H81" s="229">
        <f>C$33/12</f>
        <v>9.1666666666666665E-4</v>
      </c>
      <c r="I81" s="230">
        <f>(SUM('1.  LRAMVA Summary'!D$54:D$65)+SUM('1.  LRAMVA Summary'!D$66:D$67)*(MONTH($E81)-1)/12)*$H81</f>
        <v>-8.1921484101005291</v>
      </c>
      <c r="J81" s="230">
        <f>(SUM('1.  LRAMVA Summary'!E$54:E$65)+SUM('1.  LRAMVA Summary'!E$66:E$67)*(MONTH($E81)-1)/12)*$H81</f>
        <v>-2.581231794781035</v>
      </c>
      <c r="K81" s="230">
        <f>(SUM('1.  LRAMVA Summary'!F$54:F$65)+SUM('1.  LRAMVA Summary'!F$66:F$67)*(MONTH($E81)-1)/12)*$H81</f>
        <v>-10.557615463579227</v>
      </c>
      <c r="L81" s="230">
        <f>(SUM('1.  LRAMVA Summary'!G$54:G$65)+SUM('1.  LRAMVA Summary'!G$66:G$67)*(MONTH($E81)-1)/12)*$H81</f>
        <v>9.221767416528948</v>
      </c>
      <c r="M81" s="230">
        <f>(SUM('1.  LRAMVA Summary'!H$54:H$65)+SUM('1.  LRAMVA Summary'!H$66:H$67)*(MONTH($E81)-1)/12)*$H81</f>
        <v>-0.93309591385245094</v>
      </c>
      <c r="N81" s="230">
        <f>(SUM('1.  LRAMVA Summary'!I$54:I$65)+SUM('1.  LRAMVA Summary'!I$66:I$67)*(MONTH($E81)-1)/12)*$H81</f>
        <v>-15.42959674604894</v>
      </c>
      <c r="O81" s="230">
        <f>(SUM('1.  LRAMVA Summary'!J$54:J$65)+SUM('1.  LRAMVA Summary'!J$66:J$67)*(MONTH($E81)-1)/12)*$H81</f>
        <v>-0.17216484529110496</v>
      </c>
      <c r="P81" s="230">
        <f>(SUM('1.  LRAMVA Summary'!K$54:K$65)+SUM('1.  LRAMVA Summary'!K$66:K$67)*(MONTH($E81)-1)/12)*$H81</f>
        <v>-2.9315122871632752E-3</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-28.647017269411499</v>
      </c>
    </row>
    <row r="82" spans="2:23" s="9" customFormat="1">
      <c r="B82" s="66"/>
      <c r="E82" s="214">
        <v>42217</v>
      </c>
      <c r="F82" s="214" t="s">
        <v>181</v>
      </c>
      <c r="G82" s="215" t="s">
        <v>68</v>
      </c>
      <c r="H82" s="229">
        <f t="shared" ref="H82:H83" si="22">C$33/12</f>
        <v>9.1666666666666665E-4</v>
      </c>
      <c r="I82" s="230">
        <f>(SUM('1.  LRAMVA Summary'!D$54:D$65)+SUM('1.  LRAMVA Summary'!D$66:D$67)*(MONTH($E82)-1)/12)*$H82</f>
        <v>-9.5575064784506178</v>
      </c>
      <c r="J82" s="230">
        <f>(SUM('1.  LRAMVA Summary'!E$54:E$65)+SUM('1.  LRAMVA Summary'!E$66:E$67)*(MONTH($E82)-1)/12)*$H82</f>
        <v>-3.0114370939112076</v>
      </c>
      <c r="K82" s="230">
        <f>(SUM('1.  LRAMVA Summary'!F$54:F$65)+SUM('1.  LRAMVA Summary'!F$66:F$67)*(MONTH($E82)-1)/12)*$H82</f>
        <v>-12.317218040842432</v>
      </c>
      <c r="L82" s="230">
        <f>(SUM('1.  LRAMVA Summary'!G$54:G$65)+SUM('1.  LRAMVA Summary'!G$66:G$67)*(MONTH($E82)-1)/12)*$H82</f>
        <v>10.758728652617105</v>
      </c>
      <c r="M82" s="230">
        <f>(SUM('1.  LRAMVA Summary'!H$54:H$65)+SUM('1.  LRAMVA Summary'!H$66:H$67)*(MONTH($E82)-1)/12)*$H82</f>
        <v>-1.088611899494526</v>
      </c>
      <c r="N82" s="230">
        <f>(SUM('1.  LRAMVA Summary'!I$54:I$65)+SUM('1.  LRAMVA Summary'!I$66:I$67)*(MONTH($E82)-1)/12)*$H82</f>
        <v>-18.001196203723765</v>
      </c>
      <c r="O82" s="230">
        <f>(SUM('1.  LRAMVA Summary'!J$54:J$65)+SUM('1.  LRAMVA Summary'!J$66:J$67)*(MONTH($E82)-1)/12)*$H82</f>
        <v>-0.20085898617295578</v>
      </c>
      <c r="P82" s="230">
        <f>(SUM('1.  LRAMVA Summary'!K$54:K$65)+SUM('1.  LRAMVA Summary'!K$66:K$67)*(MONTH($E82)-1)/12)*$H82</f>
        <v>-3.4200976683571548E-3</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-33.421520147646753</v>
      </c>
    </row>
    <row r="83" spans="2:23" s="9" customFormat="1">
      <c r="B83" s="66"/>
      <c r="E83" s="214">
        <v>42248</v>
      </c>
      <c r="F83" s="214" t="s">
        <v>181</v>
      </c>
      <c r="G83" s="215" t="s">
        <v>68</v>
      </c>
      <c r="H83" s="229">
        <f t="shared" si="22"/>
        <v>9.1666666666666665E-4</v>
      </c>
      <c r="I83" s="230">
        <f>(SUM('1.  LRAMVA Summary'!D$54:D$65)+SUM('1.  LRAMVA Summary'!D$66:D$67)*(MONTH($E83)-1)/12)*$H83</f>
        <v>-10.922864546800707</v>
      </c>
      <c r="J83" s="230">
        <f>(SUM('1.  LRAMVA Summary'!E$54:E$65)+SUM('1.  LRAMVA Summary'!E$66:E$67)*(MONTH($E83)-1)/12)*$H83</f>
        <v>-3.4416423930413798</v>
      </c>
      <c r="K83" s="230">
        <f>(SUM('1.  LRAMVA Summary'!F$54:F$65)+SUM('1.  LRAMVA Summary'!F$66:F$67)*(MONTH($E83)-1)/12)*$H83</f>
        <v>-14.076820618105636</v>
      </c>
      <c r="L83" s="230">
        <f>(SUM('1.  LRAMVA Summary'!G$54:G$65)+SUM('1.  LRAMVA Summary'!G$66:G$67)*(MONTH($E83)-1)/12)*$H83</f>
        <v>12.295689888705263</v>
      </c>
      <c r="M83" s="230">
        <f>(SUM('1.  LRAMVA Summary'!H$54:H$65)+SUM('1.  LRAMVA Summary'!H$66:H$67)*(MONTH($E83)-1)/12)*$H83</f>
        <v>-1.2441278851366011</v>
      </c>
      <c r="N83" s="230">
        <f>(SUM('1.  LRAMVA Summary'!I$54:I$65)+SUM('1.  LRAMVA Summary'!I$66:I$67)*(MONTH($E83)-1)/12)*$H83</f>
        <v>-20.572795661398587</v>
      </c>
      <c r="O83" s="230">
        <f>(SUM('1.  LRAMVA Summary'!J$54:J$65)+SUM('1.  LRAMVA Summary'!J$66:J$67)*(MONTH($E83)-1)/12)*$H83</f>
        <v>-0.2295531270548066</v>
      </c>
      <c r="P83" s="230">
        <f>(SUM('1.  LRAMVA Summary'!K$54:K$65)+SUM('1.  LRAMVA Summary'!K$66:K$67)*(MONTH($E83)-1)/12)*$H83</f>
        <v>-3.9086830495510339E-3</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-38.196023025882006</v>
      </c>
    </row>
    <row r="84" spans="2:23" s="9" customFormat="1">
      <c r="B84" s="66"/>
      <c r="E84" s="214">
        <v>42278</v>
      </c>
      <c r="F84" s="214" t="s">
        <v>181</v>
      </c>
      <c r="G84" s="215" t="s">
        <v>69</v>
      </c>
      <c r="H84" s="229">
        <f>C$34/12</f>
        <v>9.1666666666666665E-4</v>
      </c>
      <c r="I84" s="230">
        <f>(SUM('1.  LRAMVA Summary'!D$54:D$65)+SUM('1.  LRAMVA Summary'!D$66:D$67)*(MONTH($E84)-1)/12)*$H84</f>
        <v>-12.288222615150795</v>
      </c>
      <c r="J84" s="230">
        <f>(SUM('1.  LRAMVA Summary'!E$54:E$65)+SUM('1.  LRAMVA Summary'!E$66:E$67)*(MONTH($E84)-1)/12)*$H84</f>
        <v>-3.8718476921715523</v>
      </c>
      <c r="K84" s="230">
        <f>(SUM('1.  LRAMVA Summary'!F$54:F$65)+SUM('1.  LRAMVA Summary'!F$66:F$67)*(MONTH($E84)-1)/12)*$H84</f>
        <v>-15.836423195368841</v>
      </c>
      <c r="L84" s="230">
        <f>(SUM('1.  LRAMVA Summary'!G$54:G$65)+SUM('1.  LRAMVA Summary'!G$66:G$67)*(MONTH($E84)-1)/12)*$H84</f>
        <v>13.832651124793424</v>
      </c>
      <c r="M84" s="230">
        <f>(SUM('1.  LRAMVA Summary'!H$54:H$65)+SUM('1.  LRAMVA Summary'!H$66:H$67)*(MONTH($E84)-1)/12)*$H84</f>
        <v>-1.3996438707786765</v>
      </c>
      <c r="N84" s="230">
        <f>(SUM('1.  LRAMVA Summary'!I$54:I$65)+SUM('1.  LRAMVA Summary'!I$66:I$67)*(MONTH($E84)-1)/12)*$H84</f>
        <v>-23.144395119073412</v>
      </c>
      <c r="O84" s="230">
        <f>(SUM('1.  LRAMVA Summary'!J$54:J$65)+SUM('1.  LRAMVA Summary'!J$66:J$67)*(MONTH($E84)-1)/12)*$H84</f>
        <v>-0.25824726793665742</v>
      </c>
      <c r="P84" s="230">
        <f>(SUM('1.  LRAMVA Summary'!K$54:K$65)+SUM('1.  LRAMVA Summary'!K$66:K$67)*(MONTH($E84)-1)/12)*$H84</f>
        <v>-4.3972684307449139E-3</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-42.970525904117252</v>
      </c>
    </row>
    <row r="85" spans="2:23" s="9" customFormat="1">
      <c r="B85" s="66"/>
      <c r="E85" s="214">
        <v>42309</v>
      </c>
      <c r="F85" s="214" t="s">
        <v>181</v>
      </c>
      <c r="G85" s="215" t="s">
        <v>69</v>
      </c>
      <c r="H85" s="229">
        <f t="shared" ref="H85:H86" si="23">C$34/12</f>
        <v>9.1666666666666665E-4</v>
      </c>
      <c r="I85" s="230">
        <f>(SUM('1.  LRAMVA Summary'!D$54:D$65)+SUM('1.  LRAMVA Summary'!D$66:D$67)*(MONTH($E85)-1)/12)*$H85</f>
        <v>-13.653580683500882</v>
      </c>
      <c r="J85" s="230">
        <f>(SUM('1.  LRAMVA Summary'!E$54:E$65)+SUM('1.  LRAMVA Summary'!E$66:E$67)*(MONTH($E85)-1)/12)*$H85</f>
        <v>-4.3020529913017249</v>
      </c>
      <c r="K85" s="230">
        <f>(SUM('1.  LRAMVA Summary'!F$54:F$65)+SUM('1.  LRAMVA Summary'!F$66:F$67)*(MONTH($E85)-1)/12)*$H85</f>
        <v>-17.596025772632043</v>
      </c>
      <c r="L85" s="230">
        <f>(SUM('1.  LRAMVA Summary'!G$54:G$65)+SUM('1.  LRAMVA Summary'!G$66:G$67)*(MONTH($E85)-1)/12)*$H85</f>
        <v>15.369612360881581</v>
      </c>
      <c r="M85" s="230">
        <f>(SUM('1.  LRAMVA Summary'!H$54:H$65)+SUM('1.  LRAMVA Summary'!H$66:H$67)*(MONTH($E85)-1)/12)*$H85</f>
        <v>-1.5551598564207514</v>
      </c>
      <c r="N85" s="230">
        <f>(SUM('1.  LRAMVA Summary'!I$54:I$65)+SUM('1.  LRAMVA Summary'!I$66:I$67)*(MONTH($E85)-1)/12)*$H85</f>
        <v>-25.715994576748233</v>
      </c>
      <c r="O85" s="230">
        <f>(SUM('1.  LRAMVA Summary'!J$54:J$65)+SUM('1.  LRAMVA Summary'!J$66:J$67)*(MONTH($E85)-1)/12)*$H85</f>
        <v>-0.28694140881850827</v>
      </c>
      <c r="P85" s="230">
        <f>(SUM('1.  LRAMVA Summary'!K$54:K$65)+SUM('1.  LRAMVA Summary'!K$66:K$67)*(MONTH($E85)-1)/12)*$H85</f>
        <v>-4.885853811938793E-3</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-47.745028782352492</v>
      </c>
    </row>
    <row r="86" spans="2:23" s="9" customFormat="1">
      <c r="B86" s="66"/>
      <c r="E86" s="214">
        <v>42339</v>
      </c>
      <c r="F86" s="214" t="s">
        <v>181</v>
      </c>
      <c r="G86" s="215" t="s">
        <v>69</v>
      </c>
      <c r="H86" s="229">
        <f t="shared" si="23"/>
        <v>9.1666666666666665E-4</v>
      </c>
      <c r="I86" s="230">
        <f>(SUM('1.  LRAMVA Summary'!D$54:D$65)+SUM('1.  LRAMVA Summary'!D$66:D$67)*(MONTH($E86)-1)/12)*$H86</f>
        <v>-15.018938751850971</v>
      </c>
      <c r="J86" s="230">
        <f>(SUM('1.  LRAMVA Summary'!E$54:E$65)+SUM('1.  LRAMVA Summary'!E$66:E$67)*(MONTH($E86)-1)/12)*$H86</f>
        <v>-4.7322582904318979</v>
      </c>
      <c r="K86" s="230">
        <f>(SUM('1.  LRAMVA Summary'!F$54:F$65)+SUM('1.  LRAMVA Summary'!F$66:F$67)*(MONTH($E86)-1)/12)*$H86</f>
        <v>-19.355628349895252</v>
      </c>
      <c r="L86" s="230">
        <f>(SUM('1.  LRAMVA Summary'!G$54:G$65)+SUM('1.  LRAMVA Summary'!G$66:G$67)*(MONTH($E86)-1)/12)*$H86</f>
        <v>16.906573596969739</v>
      </c>
      <c r="M86" s="230">
        <f>(SUM('1.  LRAMVA Summary'!H$54:H$65)+SUM('1.  LRAMVA Summary'!H$66:H$67)*(MONTH($E86)-1)/12)*$H86</f>
        <v>-1.7106758420628265</v>
      </c>
      <c r="N86" s="230">
        <f>(SUM('1.  LRAMVA Summary'!I$54:I$65)+SUM('1.  LRAMVA Summary'!I$66:I$67)*(MONTH($E86)-1)/12)*$H86</f>
        <v>-28.287594034423059</v>
      </c>
      <c r="O86" s="230">
        <f>(SUM('1.  LRAMVA Summary'!J$54:J$65)+SUM('1.  LRAMVA Summary'!J$66:J$67)*(MONTH($E86)-1)/12)*$H86</f>
        <v>-0.31563554970035906</v>
      </c>
      <c r="P86" s="230">
        <f>(SUM('1.  LRAMVA Summary'!K$54:K$65)+SUM('1.  LRAMVA Summary'!K$66:K$67)*(MONTH($E86)-1)/12)*$H86</f>
        <v>-5.3744391931326721E-3</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-52.519531660587759</v>
      </c>
    </row>
    <row r="87" spans="2:23" s="9" customFormat="1" ht="15" thickBot="1">
      <c r="B87" s="66"/>
      <c r="E87" s="216" t="s">
        <v>465</v>
      </c>
      <c r="F87" s="216"/>
      <c r="G87" s="217"/>
      <c r="H87" s="218"/>
      <c r="I87" s="219">
        <f>SUM(I74:I86)</f>
        <v>-91.491402925531816</v>
      </c>
      <c r="J87" s="219">
        <f>SUM(J74:J86)</f>
        <v>-28.827665998986376</v>
      </c>
      <c r="K87" s="219">
        <f t="shared" ref="K87:O87" si="24">SUM(K74:K86)</f>
        <v>-117.90936906370074</v>
      </c>
      <c r="L87" s="219">
        <f t="shared" si="24"/>
        <v>102.99037519278011</v>
      </c>
      <c r="M87" s="219">
        <f t="shared" si="24"/>
        <v>-10.420984819706689</v>
      </c>
      <c r="N87" s="219">
        <f t="shared" si="24"/>
        <v>-172.32054184110112</v>
      </c>
      <c r="O87" s="219">
        <f t="shared" si="24"/>
        <v>-1.9227682949102038</v>
      </c>
      <c r="P87" s="219">
        <f t="shared" ref="P87:V87" si="25">SUM(P74:P86)</f>
        <v>-3.273966222527349E-2</v>
      </c>
      <c r="Q87" s="219">
        <f t="shared" si="25"/>
        <v>0</v>
      </c>
      <c r="R87" s="219">
        <f t="shared" si="25"/>
        <v>0</v>
      </c>
      <c r="S87" s="219">
        <f t="shared" si="25"/>
        <v>0</v>
      </c>
      <c r="T87" s="219">
        <f t="shared" si="25"/>
        <v>0</v>
      </c>
      <c r="U87" s="219">
        <f t="shared" si="25"/>
        <v>0</v>
      </c>
      <c r="V87" s="219">
        <f t="shared" si="25"/>
        <v>0</v>
      </c>
      <c r="W87" s="219">
        <f>SUM(W74:W86)</f>
        <v>-319.9350974133821</v>
      </c>
    </row>
    <row r="88" spans="2:23" s="9" customFormat="1" ht="1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-91.491402925531816</v>
      </c>
      <c r="J89" s="228">
        <f t="shared" ref="J89" si="26">J87+J88</f>
        <v>-28.827665998986376</v>
      </c>
      <c r="K89" s="228">
        <f t="shared" ref="K89" si="27">K87+K88</f>
        <v>-117.90936906370074</v>
      </c>
      <c r="L89" s="228">
        <f t="shared" ref="L89" si="28">L87+L88</f>
        <v>102.99037519278011</v>
      </c>
      <c r="M89" s="228">
        <f t="shared" ref="M89" si="29">M87+M88</f>
        <v>-10.420984819706689</v>
      </c>
      <c r="N89" s="228">
        <f t="shared" ref="N89" si="30">N87+N88</f>
        <v>-172.32054184110112</v>
      </c>
      <c r="O89" s="228">
        <f t="shared" ref="O89:U89" si="31">O87+O88</f>
        <v>-1.9227682949102038</v>
      </c>
      <c r="P89" s="228">
        <f t="shared" si="31"/>
        <v>-3.273966222527349E-2</v>
      </c>
      <c r="Q89" s="228">
        <f t="shared" si="31"/>
        <v>0</v>
      </c>
      <c r="R89" s="228">
        <f t="shared" si="31"/>
        <v>0</v>
      </c>
      <c r="S89" s="228">
        <f t="shared" si="31"/>
        <v>0</v>
      </c>
      <c r="T89" s="228">
        <f t="shared" si="31"/>
        <v>0</v>
      </c>
      <c r="U89" s="228">
        <f t="shared" si="31"/>
        <v>0</v>
      </c>
      <c r="V89" s="228">
        <f t="shared" ref="V89" si="32">V87+V88</f>
        <v>0</v>
      </c>
      <c r="W89" s="228">
        <f t="shared" ref="W89" si="33">W87+W88</f>
        <v>-319.9350974133821</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4.0623605350906757</v>
      </c>
      <c r="J91" s="230">
        <f>(SUM('1.  LRAMVA Summary'!E$54:E$68)+SUM('1.  LRAMVA Summary'!E$69:E$70)*(MONTH($E91)-1)/12)*$H91</f>
        <v>1.1910807248666713</v>
      </c>
      <c r="K91" s="230">
        <f>(SUM('1.  LRAMVA Summary'!F$54:F$68)+SUM('1.  LRAMVA Summary'!F$69:F$70)*(MONTH($E91)-1)/12)*$H91</f>
        <v>-3.507813343227149</v>
      </c>
      <c r="L91" s="230">
        <f>(SUM('1.  LRAMVA Summary'!G$54:G$68)+SUM('1.  LRAMVA Summary'!G$69:G$70)*(MONTH($E91)-1)/12)*$H91</f>
        <v>1.3316486554829428</v>
      </c>
      <c r="M91" s="230">
        <f>(SUM('1.  LRAMVA Summary'!H$54:H$68)+SUM('1.  LRAMVA Summary'!H$69:H$70)*(MONTH($E91)-1)/12)*$H91</f>
        <v>-0.28503437139140064</v>
      </c>
      <c r="N91" s="230">
        <f>(SUM('1.  LRAMVA Summary'!I$54:I$68)+SUM('1.  LRAMVA Summary'!I$69:I$70)*(MONTH($E91)-1)/12)*$H91</f>
        <v>-22.567063779895545</v>
      </c>
      <c r="O91" s="230">
        <f>(SUM('1.  LRAMVA Summary'!J$54:J$68)+SUM('1.  LRAMVA Summary'!J$69:J$70)*(MONTH($E91)-1)/12)*$H91</f>
        <v>-6.785748993060832E-2</v>
      </c>
      <c r="P91" s="230">
        <f>(SUM('1.  LRAMVA Summary'!K$54:K$68)+SUM('1.  LRAMVA Summary'!K$69:K$70)*(MONTH($E91)-1)/12)*$H91</f>
        <v>-1.0314461767035048E-3</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-19.843710515181119</v>
      </c>
    </row>
    <row r="92" spans="2:23" s="9" customFormat="1" ht="14.25" customHeight="1">
      <c r="B92" s="66"/>
      <c r="E92" s="214">
        <v>42430</v>
      </c>
      <c r="F92" s="214" t="s">
        <v>183</v>
      </c>
      <c r="G92" s="215" t="s">
        <v>65</v>
      </c>
      <c r="H92" s="229">
        <f t="shared" si="34"/>
        <v>9.1666666666666665E-4</v>
      </c>
      <c r="I92" s="230">
        <f>(SUM('1.  LRAMVA Summary'!D$54:D$68)+SUM('1.  LRAMVA Summary'!D$69:D$70)*(MONTH($E92)-1)/12)*$H92</f>
        <v>8.1247210701813515</v>
      </c>
      <c r="J92" s="230">
        <f>(SUM('1.  LRAMVA Summary'!E$54:E$68)+SUM('1.  LRAMVA Summary'!E$69:E$70)*(MONTH($E92)-1)/12)*$H92</f>
        <v>2.3821614497333425</v>
      </c>
      <c r="K92" s="230">
        <f>(SUM('1.  LRAMVA Summary'!F$54:F$68)+SUM('1.  LRAMVA Summary'!F$69:F$70)*(MONTH($E92)-1)/12)*$H92</f>
        <v>-7.015626686454298</v>
      </c>
      <c r="L92" s="230">
        <f>(SUM('1.  LRAMVA Summary'!G$54:G$68)+SUM('1.  LRAMVA Summary'!G$69:G$70)*(MONTH($E92)-1)/12)*$H92</f>
        <v>2.6632973109658855</v>
      </c>
      <c r="M92" s="230">
        <f>(SUM('1.  LRAMVA Summary'!H$54:H$68)+SUM('1.  LRAMVA Summary'!H$69:H$70)*(MONTH($E92)-1)/12)*$H92</f>
        <v>-0.57006874278280129</v>
      </c>
      <c r="N92" s="230">
        <f>(SUM('1.  LRAMVA Summary'!I$54:I$68)+SUM('1.  LRAMVA Summary'!I$69:I$70)*(MONTH($E92)-1)/12)*$H92</f>
        <v>-45.134127559791089</v>
      </c>
      <c r="O92" s="230">
        <f>(SUM('1.  LRAMVA Summary'!J$54:J$68)+SUM('1.  LRAMVA Summary'!J$69:J$70)*(MONTH($E92)-1)/12)*$H92</f>
        <v>-0.13571497986121664</v>
      </c>
      <c r="P92" s="230">
        <f>(SUM('1.  LRAMVA Summary'!K$54:K$68)+SUM('1.  LRAMVA Summary'!K$69:K$70)*(MONTH($E92)-1)/12)*$H92</f>
        <v>-2.0628923534070096E-3</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-39.687421030362238</v>
      </c>
    </row>
    <row r="93" spans="2:23" s="8" customFormat="1">
      <c r="B93" s="239"/>
      <c r="D93" s="9"/>
      <c r="E93" s="214">
        <v>42461</v>
      </c>
      <c r="F93" s="214" t="s">
        <v>183</v>
      </c>
      <c r="G93" s="215" t="s">
        <v>66</v>
      </c>
      <c r="H93" s="229">
        <f>$C$36/12</f>
        <v>9.1666666666666665E-4</v>
      </c>
      <c r="I93" s="230">
        <f>(SUM('1.  LRAMVA Summary'!D$54:D$68)+SUM('1.  LRAMVA Summary'!D$69:D$70)*(MONTH($E93)-1)/12)*$H93</f>
        <v>12.187081605272029</v>
      </c>
      <c r="J93" s="230">
        <f>(SUM('1.  LRAMVA Summary'!E$54:E$68)+SUM('1.  LRAMVA Summary'!E$69:E$70)*(MONTH($E93)-1)/12)*$H93</f>
        <v>3.573242174600014</v>
      </c>
      <c r="K93" s="230">
        <f>(SUM('1.  LRAMVA Summary'!F$54:F$68)+SUM('1.  LRAMVA Summary'!F$69:F$70)*(MONTH($E93)-1)/12)*$H93</f>
        <v>-10.523440029681449</v>
      </c>
      <c r="L93" s="230">
        <f>(SUM('1.  LRAMVA Summary'!G$54:G$68)+SUM('1.  LRAMVA Summary'!G$69:G$70)*(MONTH($E93)-1)/12)*$H93</f>
        <v>3.9949459664488285</v>
      </c>
      <c r="M93" s="230">
        <f>(SUM('1.  LRAMVA Summary'!H$54:H$68)+SUM('1.  LRAMVA Summary'!H$69:H$70)*(MONTH($E93)-1)/12)*$H93</f>
        <v>-0.85510311417420182</v>
      </c>
      <c r="N93" s="230">
        <f>(SUM('1.  LRAMVA Summary'!I$54:I$68)+SUM('1.  LRAMVA Summary'!I$69:I$70)*(MONTH($E93)-1)/12)*$H93</f>
        <v>-67.70119133968663</v>
      </c>
      <c r="O93" s="230">
        <f>(SUM('1.  LRAMVA Summary'!J$54:J$68)+SUM('1.  LRAMVA Summary'!J$69:J$70)*(MONTH($E93)-1)/12)*$H93</f>
        <v>-0.20357246979182494</v>
      </c>
      <c r="P93" s="230">
        <f>(SUM('1.  LRAMVA Summary'!K$54:K$68)+SUM('1.  LRAMVA Summary'!K$69:K$70)*(MONTH($E93)-1)/12)*$H93</f>
        <v>-3.0943385301105139E-3</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-59.531131545543346</v>
      </c>
    </row>
    <row r="94" spans="2:23" s="9" customFormat="1">
      <c r="B94" s="66"/>
      <c r="E94" s="214">
        <v>42491</v>
      </c>
      <c r="F94" s="214" t="s">
        <v>183</v>
      </c>
      <c r="G94" s="215" t="s">
        <v>66</v>
      </c>
      <c r="H94" s="229">
        <f t="shared" ref="H94:H95" si="36">$C$36/12</f>
        <v>9.1666666666666665E-4</v>
      </c>
      <c r="I94" s="230">
        <f>(SUM('1.  LRAMVA Summary'!D$54:D$68)+SUM('1.  LRAMVA Summary'!D$69:D$70)*(MONTH($E94)-1)/12)*$H94</f>
        <v>16.249442140362703</v>
      </c>
      <c r="J94" s="230">
        <f>(SUM('1.  LRAMVA Summary'!E$54:E$68)+SUM('1.  LRAMVA Summary'!E$69:E$70)*(MONTH($E94)-1)/12)*$H94</f>
        <v>4.7643228994666851</v>
      </c>
      <c r="K94" s="230">
        <f>(SUM('1.  LRAMVA Summary'!F$54:F$68)+SUM('1.  LRAMVA Summary'!F$69:F$70)*(MONTH($E94)-1)/12)*$H94</f>
        <v>-14.031253372908596</v>
      </c>
      <c r="L94" s="230">
        <f>(SUM('1.  LRAMVA Summary'!G$54:G$68)+SUM('1.  LRAMVA Summary'!G$69:G$70)*(MONTH($E94)-1)/12)*$H94</f>
        <v>5.326594621931771</v>
      </c>
      <c r="M94" s="230">
        <f>(SUM('1.  LRAMVA Summary'!H$54:H$68)+SUM('1.  LRAMVA Summary'!H$69:H$70)*(MONTH($E94)-1)/12)*$H94</f>
        <v>-1.1401374855656026</v>
      </c>
      <c r="N94" s="230">
        <f>(SUM('1.  LRAMVA Summary'!I$54:I$68)+SUM('1.  LRAMVA Summary'!I$69:I$70)*(MONTH($E94)-1)/12)*$H94</f>
        <v>-90.268255119582179</v>
      </c>
      <c r="O94" s="230">
        <f>(SUM('1.  LRAMVA Summary'!J$54:J$68)+SUM('1.  LRAMVA Summary'!J$69:J$70)*(MONTH($E94)-1)/12)*$H94</f>
        <v>-0.27142995972243328</v>
      </c>
      <c r="P94" s="230">
        <f>(SUM('1.  LRAMVA Summary'!K$54:K$68)+SUM('1.  LRAMVA Summary'!K$69:K$70)*(MONTH($E94)-1)/12)*$H94</f>
        <v>-4.1257847068140192E-3</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-79.374842060724475</v>
      </c>
    </row>
    <row r="95" spans="2:23" s="238" customFormat="1">
      <c r="B95" s="237"/>
      <c r="D95" s="9"/>
      <c r="E95" s="214">
        <v>42522</v>
      </c>
      <c r="F95" s="214" t="s">
        <v>183</v>
      </c>
      <c r="G95" s="215" t="s">
        <v>66</v>
      </c>
      <c r="H95" s="229">
        <f t="shared" si="36"/>
        <v>9.1666666666666665E-4</v>
      </c>
      <c r="I95" s="230">
        <f>(SUM('1.  LRAMVA Summary'!D$54:D$68)+SUM('1.  LRAMVA Summary'!D$69:D$70)*(MONTH($E95)-1)/12)*$H95</f>
        <v>20.311802675453379</v>
      </c>
      <c r="J95" s="230">
        <f>(SUM('1.  LRAMVA Summary'!E$54:E$68)+SUM('1.  LRAMVA Summary'!E$69:E$70)*(MONTH($E95)-1)/12)*$H95</f>
        <v>5.9554036243333579</v>
      </c>
      <c r="K95" s="230">
        <f>(SUM('1.  LRAMVA Summary'!F$54:F$68)+SUM('1.  LRAMVA Summary'!F$69:F$70)*(MONTH($E95)-1)/12)*$H95</f>
        <v>-17.539066716135746</v>
      </c>
      <c r="L95" s="230">
        <f>(SUM('1.  LRAMVA Summary'!G$54:G$68)+SUM('1.  LRAMVA Summary'!G$69:G$70)*(MONTH($E95)-1)/12)*$H95</f>
        <v>6.658243277414714</v>
      </c>
      <c r="M95" s="230">
        <f>(SUM('1.  LRAMVA Summary'!H$54:H$68)+SUM('1.  LRAMVA Summary'!H$69:H$70)*(MONTH($E95)-1)/12)*$H95</f>
        <v>-1.4251718569570031</v>
      </c>
      <c r="N95" s="230">
        <f>(SUM('1.  LRAMVA Summary'!I$54:I$68)+SUM('1.  LRAMVA Summary'!I$69:I$70)*(MONTH($E95)-1)/12)*$H95</f>
        <v>-112.83531889947771</v>
      </c>
      <c r="O95" s="230">
        <f>(SUM('1.  LRAMVA Summary'!J$54:J$68)+SUM('1.  LRAMVA Summary'!J$69:J$70)*(MONTH($E95)-1)/12)*$H95</f>
        <v>-0.33928744965304164</v>
      </c>
      <c r="P95" s="230">
        <f>(SUM('1.  LRAMVA Summary'!K$54:K$68)+SUM('1.  LRAMVA Summary'!K$69:K$70)*(MONTH($E95)-1)/12)*$H95</f>
        <v>-5.1572308835175235E-3</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-99.218552575905562</v>
      </c>
    </row>
    <row r="96" spans="2:23" s="9" customFormat="1">
      <c r="B96" s="66"/>
      <c r="E96" s="214">
        <v>42552</v>
      </c>
      <c r="F96" s="214" t="s">
        <v>183</v>
      </c>
      <c r="G96" s="215" t="s">
        <v>68</v>
      </c>
      <c r="H96" s="229">
        <f>$C$37/12</f>
        <v>9.1666666666666665E-4</v>
      </c>
      <c r="I96" s="230">
        <f>(SUM('1.  LRAMVA Summary'!D$54:D$68)+SUM('1.  LRAMVA Summary'!D$69:D$70)*(MONTH($E96)-1)/12)*$H96</f>
        <v>24.374163210544058</v>
      </c>
      <c r="J96" s="230">
        <f>(SUM('1.  LRAMVA Summary'!E$54:E$68)+SUM('1.  LRAMVA Summary'!E$69:E$70)*(MONTH($E96)-1)/12)*$H96</f>
        <v>7.1464843492000281</v>
      </c>
      <c r="K96" s="230">
        <f>(SUM('1.  LRAMVA Summary'!F$54:F$68)+SUM('1.  LRAMVA Summary'!F$69:F$70)*(MONTH($E96)-1)/12)*$H96</f>
        <v>-21.046880059362898</v>
      </c>
      <c r="L96" s="230">
        <f>(SUM('1.  LRAMVA Summary'!G$54:G$68)+SUM('1.  LRAMVA Summary'!G$69:G$70)*(MONTH($E96)-1)/12)*$H96</f>
        <v>7.989891932897657</v>
      </c>
      <c r="M96" s="230">
        <f>(SUM('1.  LRAMVA Summary'!H$54:H$68)+SUM('1.  LRAMVA Summary'!H$69:H$70)*(MONTH($E96)-1)/12)*$H96</f>
        <v>-1.7102062283484036</v>
      </c>
      <c r="N96" s="230">
        <f>(SUM('1.  LRAMVA Summary'!I$54:I$68)+SUM('1.  LRAMVA Summary'!I$69:I$70)*(MONTH($E96)-1)/12)*$H96</f>
        <v>-135.40238267937326</v>
      </c>
      <c r="O96" s="230">
        <f>(SUM('1.  LRAMVA Summary'!J$54:J$68)+SUM('1.  LRAMVA Summary'!J$69:J$70)*(MONTH($E96)-1)/12)*$H96</f>
        <v>-0.40714493958364989</v>
      </c>
      <c r="P96" s="230">
        <f>(SUM('1.  LRAMVA Summary'!K$54:K$68)+SUM('1.  LRAMVA Summary'!K$69:K$70)*(MONTH($E96)-1)/12)*$H96</f>
        <v>-6.1886770602210279E-3</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-119.06226309108669</v>
      </c>
    </row>
    <row r="97" spans="2:23" s="9" customFormat="1">
      <c r="B97" s="66"/>
      <c r="E97" s="214">
        <v>42583</v>
      </c>
      <c r="F97" s="214" t="s">
        <v>183</v>
      </c>
      <c r="G97" s="215" t="s">
        <v>68</v>
      </c>
      <c r="H97" s="229">
        <f t="shared" ref="H97:H98" si="37">$C$37/12</f>
        <v>9.1666666666666665E-4</v>
      </c>
      <c r="I97" s="230">
        <f>(SUM('1.  LRAMVA Summary'!D$54:D$68)+SUM('1.  LRAMVA Summary'!D$69:D$70)*(MONTH($E97)-1)/12)*$H97</f>
        <v>28.436523745634734</v>
      </c>
      <c r="J97" s="230">
        <f>(SUM('1.  LRAMVA Summary'!E$54:E$68)+SUM('1.  LRAMVA Summary'!E$69:E$70)*(MONTH($E97)-1)/12)*$H97</f>
        <v>8.3375650740666991</v>
      </c>
      <c r="K97" s="230">
        <f>(SUM('1.  LRAMVA Summary'!F$54:F$68)+SUM('1.  LRAMVA Summary'!F$69:F$70)*(MONTH($E97)-1)/12)*$H97</f>
        <v>-24.554693402590047</v>
      </c>
      <c r="L97" s="230">
        <f>(SUM('1.  LRAMVA Summary'!G$54:G$68)+SUM('1.  LRAMVA Summary'!G$69:G$70)*(MONTH($E97)-1)/12)*$H97</f>
        <v>9.3215405883805982</v>
      </c>
      <c r="M97" s="230">
        <f>(SUM('1.  LRAMVA Summary'!H$54:H$68)+SUM('1.  LRAMVA Summary'!H$69:H$70)*(MONTH($E97)-1)/12)*$H97</f>
        <v>-1.9952405997398042</v>
      </c>
      <c r="N97" s="230">
        <f>(SUM('1.  LRAMVA Summary'!I$54:I$68)+SUM('1.  LRAMVA Summary'!I$69:I$70)*(MONTH($E97)-1)/12)*$H97</f>
        <v>-157.96944645926882</v>
      </c>
      <c r="O97" s="230">
        <f>(SUM('1.  LRAMVA Summary'!J$54:J$68)+SUM('1.  LRAMVA Summary'!J$69:J$70)*(MONTH($E97)-1)/12)*$H97</f>
        <v>-0.47500242951425825</v>
      </c>
      <c r="P97" s="230">
        <f>(SUM('1.  LRAMVA Summary'!K$54:K$68)+SUM('1.  LRAMVA Summary'!K$69:K$70)*(MONTH($E97)-1)/12)*$H97</f>
        <v>-7.2201232369245331E-3</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-138.90597360626782</v>
      </c>
    </row>
    <row r="98" spans="2:23" s="9" customFormat="1">
      <c r="B98" s="66"/>
      <c r="E98" s="214">
        <v>42614</v>
      </c>
      <c r="F98" s="214" t="s">
        <v>183</v>
      </c>
      <c r="G98" s="215" t="s">
        <v>68</v>
      </c>
      <c r="H98" s="229">
        <f t="shared" si="37"/>
        <v>9.1666666666666665E-4</v>
      </c>
      <c r="I98" s="230">
        <f>(SUM('1.  LRAMVA Summary'!D$54:D$68)+SUM('1.  LRAMVA Summary'!D$69:D$70)*(MONTH($E98)-1)/12)*$H98</f>
        <v>32.498884280725406</v>
      </c>
      <c r="J98" s="230">
        <f>(SUM('1.  LRAMVA Summary'!E$54:E$68)+SUM('1.  LRAMVA Summary'!E$69:E$70)*(MONTH($E98)-1)/12)*$H98</f>
        <v>9.5286457989333702</v>
      </c>
      <c r="K98" s="230">
        <f>(SUM('1.  LRAMVA Summary'!F$54:F$68)+SUM('1.  LRAMVA Summary'!F$69:F$70)*(MONTH($E98)-1)/12)*$H98</f>
        <v>-28.062506745817192</v>
      </c>
      <c r="L98" s="230">
        <f>(SUM('1.  LRAMVA Summary'!G$54:G$68)+SUM('1.  LRAMVA Summary'!G$69:G$70)*(MONTH($E98)-1)/12)*$H98</f>
        <v>10.653189243863542</v>
      </c>
      <c r="M98" s="230">
        <f>(SUM('1.  LRAMVA Summary'!H$54:H$68)+SUM('1.  LRAMVA Summary'!H$69:H$70)*(MONTH($E98)-1)/12)*$H98</f>
        <v>-2.2802749711312051</v>
      </c>
      <c r="N98" s="230">
        <f>(SUM('1.  LRAMVA Summary'!I$54:I$68)+SUM('1.  LRAMVA Summary'!I$69:I$70)*(MONTH($E98)-1)/12)*$H98</f>
        <v>-180.53651023916436</v>
      </c>
      <c r="O98" s="230">
        <f>(SUM('1.  LRAMVA Summary'!J$54:J$68)+SUM('1.  LRAMVA Summary'!J$69:J$70)*(MONTH($E98)-1)/12)*$H98</f>
        <v>-0.54285991944486656</v>
      </c>
      <c r="P98" s="230">
        <f>(SUM('1.  LRAMVA Summary'!K$54:K$68)+SUM('1.  LRAMVA Summary'!K$69:K$70)*(MONTH($E98)-1)/12)*$H98</f>
        <v>-8.2515694136280383E-3</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-158.74968412144895</v>
      </c>
    </row>
    <row r="99" spans="2:23" s="9" customFormat="1">
      <c r="B99" s="66"/>
      <c r="E99" s="214">
        <v>42644</v>
      </c>
      <c r="F99" s="214" t="s">
        <v>183</v>
      </c>
      <c r="G99" s="215" t="s">
        <v>69</v>
      </c>
      <c r="H99" s="210">
        <f>$C$38/12</f>
        <v>9.1666666666666665E-4</v>
      </c>
      <c r="I99" s="230">
        <f>(SUM('1.  LRAMVA Summary'!D$54:D$68)+SUM('1.  LRAMVA Summary'!D$69:D$70)*(MONTH($E99)-1)/12)*$H99</f>
        <v>36.561244815816082</v>
      </c>
      <c r="J99" s="230">
        <f>(SUM('1.  LRAMVA Summary'!E$54:E$68)+SUM('1.  LRAMVA Summary'!E$69:E$70)*(MONTH($E99)-1)/12)*$H99</f>
        <v>10.719726523800041</v>
      </c>
      <c r="K99" s="230">
        <f>(SUM('1.  LRAMVA Summary'!F$54:F$68)+SUM('1.  LRAMVA Summary'!F$69:F$70)*(MONTH($E99)-1)/12)*$H99</f>
        <v>-31.570320089044341</v>
      </c>
      <c r="L99" s="230">
        <f>(SUM('1.  LRAMVA Summary'!G$54:G$68)+SUM('1.  LRAMVA Summary'!G$69:G$70)*(MONTH($E99)-1)/12)*$H99</f>
        <v>11.984837899346484</v>
      </c>
      <c r="M99" s="230">
        <f>(SUM('1.  LRAMVA Summary'!H$54:H$68)+SUM('1.  LRAMVA Summary'!H$69:H$70)*(MONTH($E99)-1)/12)*$H99</f>
        <v>-2.5653093425226055</v>
      </c>
      <c r="N99" s="230">
        <f>(SUM('1.  LRAMVA Summary'!I$54:I$68)+SUM('1.  LRAMVA Summary'!I$69:I$70)*(MONTH($E99)-1)/12)*$H99</f>
        <v>-203.10357401905989</v>
      </c>
      <c r="O99" s="230">
        <f>(SUM('1.  LRAMVA Summary'!J$54:J$68)+SUM('1.  LRAMVA Summary'!J$69:J$70)*(MONTH($E99)-1)/12)*$H99</f>
        <v>-0.61071740937547492</v>
      </c>
      <c r="P99" s="230">
        <f>(SUM('1.  LRAMVA Summary'!K$54:K$68)+SUM('1.  LRAMVA Summary'!K$69:K$70)*(MONTH($E99)-1)/12)*$H99</f>
        <v>-9.283015590331541E-3</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-178.59339463663005</v>
      </c>
    </row>
    <row r="100" spans="2:23" s="9" customFormat="1">
      <c r="B100" s="66"/>
      <c r="E100" s="214">
        <v>42675</v>
      </c>
      <c r="F100" s="214" t="s">
        <v>183</v>
      </c>
      <c r="G100" s="215" t="s">
        <v>69</v>
      </c>
      <c r="H100" s="210">
        <f t="shared" ref="H100:H101" si="38">$C$38/12</f>
        <v>9.1666666666666665E-4</v>
      </c>
      <c r="I100" s="230">
        <f>(SUM('1.  LRAMVA Summary'!D$54:D$68)+SUM('1.  LRAMVA Summary'!D$69:D$70)*(MONTH($E100)-1)/12)*$H100</f>
        <v>40.623605350906757</v>
      </c>
      <c r="J100" s="230">
        <f>(SUM('1.  LRAMVA Summary'!E$54:E$68)+SUM('1.  LRAMVA Summary'!E$69:E$70)*(MONTH($E100)-1)/12)*$H100</f>
        <v>11.910807248666716</v>
      </c>
      <c r="K100" s="230">
        <f>(SUM('1.  LRAMVA Summary'!F$54:F$68)+SUM('1.  LRAMVA Summary'!F$69:F$70)*(MONTH($E100)-1)/12)*$H100</f>
        <v>-35.078133432271493</v>
      </c>
      <c r="L100" s="230">
        <f>(SUM('1.  LRAMVA Summary'!G$54:G$68)+SUM('1.  LRAMVA Summary'!G$69:G$70)*(MONTH($E100)-1)/12)*$H100</f>
        <v>13.316486554829428</v>
      </c>
      <c r="M100" s="230">
        <f>(SUM('1.  LRAMVA Summary'!H$54:H$68)+SUM('1.  LRAMVA Summary'!H$69:H$70)*(MONTH($E100)-1)/12)*$H100</f>
        <v>-2.8503437139140062</v>
      </c>
      <c r="N100" s="230">
        <f>(SUM('1.  LRAMVA Summary'!I$54:I$68)+SUM('1.  LRAMVA Summary'!I$69:I$70)*(MONTH($E100)-1)/12)*$H100</f>
        <v>-225.67063779895543</v>
      </c>
      <c r="O100" s="230">
        <f>(SUM('1.  LRAMVA Summary'!J$54:J$68)+SUM('1.  LRAMVA Summary'!J$69:J$70)*(MONTH($E100)-1)/12)*$H100</f>
        <v>-0.67857489930608328</v>
      </c>
      <c r="P100" s="230">
        <f>(SUM('1.  LRAMVA Summary'!K$54:K$68)+SUM('1.  LRAMVA Summary'!K$69:K$70)*(MONTH($E100)-1)/12)*$H100</f>
        <v>-1.0314461767035047E-2</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-198.43710515181112</v>
      </c>
    </row>
    <row r="101" spans="2:23" s="9" customFormat="1">
      <c r="B101" s="66"/>
      <c r="E101" s="214">
        <v>42705</v>
      </c>
      <c r="F101" s="214" t="s">
        <v>183</v>
      </c>
      <c r="G101" s="215" t="s">
        <v>69</v>
      </c>
      <c r="H101" s="210">
        <f t="shared" si="38"/>
        <v>9.1666666666666665E-4</v>
      </c>
      <c r="I101" s="230">
        <f>(SUM('1.  LRAMVA Summary'!D$54:D$68)+SUM('1.  LRAMVA Summary'!D$69:D$70)*(MONTH($E101)-1)/12)*$H101</f>
        <v>44.685965885997433</v>
      </c>
      <c r="J101" s="230">
        <f>(SUM('1.  LRAMVA Summary'!E$54:E$68)+SUM('1.  LRAMVA Summary'!E$69:E$70)*(MONTH($E101)-1)/12)*$H101</f>
        <v>13.101887973533385</v>
      </c>
      <c r="K101" s="230">
        <f>(SUM('1.  LRAMVA Summary'!F$54:F$68)+SUM('1.  LRAMVA Summary'!F$69:F$70)*(MONTH($E101)-1)/12)*$H101</f>
        <v>-38.585946775498641</v>
      </c>
      <c r="L101" s="230">
        <f>(SUM('1.  LRAMVA Summary'!G$54:G$68)+SUM('1.  LRAMVA Summary'!G$69:G$70)*(MONTH($E101)-1)/12)*$H101</f>
        <v>14.64813521031237</v>
      </c>
      <c r="M101" s="230">
        <f>(SUM('1.  LRAMVA Summary'!H$54:H$68)+SUM('1.  LRAMVA Summary'!H$69:H$70)*(MONTH($E101)-1)/12)*$H101</f>
        <v>-3.135378085305407</v>
      </c>
      <c r="N101" s="230">
        <f>(SUM('1.  LRAMVA Summary'!I$54:I$68)+SUM('1.  LRAMVA Summary'!I$69:I$70)*(MONTH($E101)-1)/12)*$H101</f>
        <v>-248.23770157885096</v>
      </c>
      <c r="O101" s="230">
        <f>(SUM('1.  LRAMVA Summary'!J$54:J$68)+SUM('1.  LRAMVA Summary'!J$69:J$70)*(MONTH($E101)-1)/12)*$H101</f>
        <v>-0.74643238923669142</v>
      </c>
      <c r="P101" s="230">
        <f>(SUM('1.  LRAMVA Summary'!K$54:K$68)+SUM('1.  LRAMVA Summary'!K$69:K$70)*(MONTH($E101)-1)/12)*$H101</f>
        <v>-1.1345907943738551E-2</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-218.28081566699225</v>
      </c>
    </row>
    <row r="102" spans="2:23" s="9" customFormat="1" ht="15" thickBot="1">
      <c r="B102" s="66"/>
      <c r="E102" s="216" t="s">
        <v>466</v>
      </c>
      <c r="F102" s="216"/>
      <c r="G102" s="217"/>
      <c r="H102" s="218"/>
      <c r="I102" s="219">
        <f>SUM(I89:I101)</f>
        <v>176.62439239045278</v>
      </c>
      <c r="J102" s="219">
        <f>SUM(J89:J101)</f>
        <v>49.783661842213938</v>
      </c>
      <c r="K102" s="219">
        <f t="shared" ref="K102:O102" si="39">SUM(K89:K101)</f>
        <v>-349.42504971669263</v>
      </c>
      <c r="L102" s="219">
        <f t="shared" si="39"/>
        <v>190.87918645465433</v>
      </c>
      <c r="M102" s="219">
        <f t="shared" si="39"/>
        <v>-29.233253331539139</v>
      </c>
      <c r="N102" s="219">
        <f t="shared" si="39"/>
        <v>-1661.7467513142069</v>
      </c>
      <c r="O102" s="219">
        <f t="shared" si="39"/>
        <v>-6.401362630330353</v>
      </c>
      <c r="P102" s="219">
        <f t="shared" ref="P102:V102" si="40">SUM(P89:P101)</f>
        <v>-0.10081510988770478</v>
      </c>
      <c r="Q102" s="219">
        <f t="shared" si="40"/>
        <v>0</v>
      </c>
      <c r="R102" s="219">
        <f t="shared" si="40"/>
        <v>0</v>
      </c>
      <c r="S102" s="219">
        <f t="shared" si="40"/>
        <v>0</v>
      </c>
      <c r="T102" s="219">
        <f t="shared" si="40"/>
        <v>0</v>
      </c>
      <c r="U102" s="219">
        <f t="shared" si="40"/>
        <v>0</v>
      </c>
      <c r="V102" s="219">
        <f t="shared" si="40"/>
        <v>0</v>
      </c>
      <c r="W102" s="219">
        <f>SUM(W89:W101)</f>
        <v>-1629.619991415336</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176.62439239045278</v>
      </c>
      <c r="J104" s="228">
        <f t="shared" ref="J104" si="41">J102+J103</f>
        <v>49.783661842213938</v>
      </c>
      <c r="K104" s="228">
        <f t="shared" ref="K104" si="42">K102+K103</f>
        <v>-349.42504971669263</v>
      </c>
      <c r="L104" s="228">
        <f t="shared" ref="L104" si="43">L102+L103</f>
        <v>190.87918645465433</v>
      </c>
      <c r="M104" s="228">
        <f t="shared" ref="M104" si="44">M102+M103</f>
        <v>-29.233253331539139</v>
      </c>
      <c r="N104" s="228">
        <f t="shared" ref="N104" si="45">N102+N103</f>
        <v>-1661.7467513142069</v>
      </c>
      <c r="O104" s="228">
        <f t="shared" ref="O104:V104" si="46">O102+O103</f>
        <v>-6.401362630330353</v>
      </c>
      <c r="P104" s="228">
        <f t="shared" si="46"/>
        <v>-0.10081510988770478</v>
      </c>
      <c r="Q104" s="228">
        <f t="shared" si="46"/>
        <v>0</v>
      </c>
      <c r="R104" s="228">
        <f t="shared" si="46"/>
        <v>0</v>
      </c>
      <c r="S104" s="228">
        <f t="shared" si="46"/>
        <v>0</v>
      </c>
      <c r="T104" s="228">
        <f t="shared" si="46"/>
        <v>0</v>
      </c>
      <c r="U104" s="228">
        <f t="shared" si="46"/>
        <v>0</v>
      </c>
      <c r="V104" s="228">
        <f t="shared" si="46"/>
        <v>0</v>
      </c>
      <c r="W104" s="228">
        <f t="shared" ref="W104" si="47">W102+W103</f>
        <v>-1629.619991415336</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14.282011177124723</v>
      </c>
      <c r="J106" s="230">
        <f>(SUM('1.  LRAMVA Summary'!E$54:E$71)+SUM('1.  LRAMVA Summary'!E$72:E$73)*(MONTH($E106)-1)/12)*$H106</f>
        <v>2.0932875406395821</v>
      </c>
      <c r="K106" s="230">
        <f>(SUM('1.  LRAMVA Summary'!F$54:F$71)+SUM('1.  LRAMVA Summary'!F$72:F$73)*(MONTH($E106)-1)/12)*$H106</f>
        <v>-3.6869842027009776</v>
      </c>
      <c r="L106" s="230">
        <f>(SUM('1.  LRAMVA Summary'!G$54:G$71)+SUM('1.  LRAMVA Summary'!G$72:G$73)*(MONTH($E106)-1)/12)*$H106</f>
        <v>1.1363041041110267</v>
      </c>
      <c r="M106" s="230">
        <f>(SUM('1.  LRAMVA Summary'!H$54:H$71)+SUM('1.  LRAMVA Summary'!H$72:H$73)*(MONTH($E106)-1)/12)*$H106</f>
        <v>-0.33183026513349012</v>
      </c>
      <c r="N106" s="230">
        <f>(SUM('1.  LRAMVA Summary'!I$54:I$71)+SUM('1.  LRAMVA Summary'!I$72:I$73)*(MONTH($E106)-1)/12)*$H106</f>
        <v>7.8694575959999993</v>
      </c>
      <c r="O106" s="230">
        <f>(SUM('1.  LRAMVA Summary'!J$54:J$71)+SUM('1.  LRAMVA Summary'!J$72:J$73)*(MONTH($E106)-1)/12)*$H106</f>
        <v>-9.4064350842069086E-2</v>
      </c>
      <c r="P106" s="230">
        <f>(SUM('1.  LRAMVA Summary'!K$54:K$71)+SUM('1.  LRAMVA Summary'!K$72:K$73)*(MONTH($E106)-1)/12)*$H106</f>
        <v>-1.3807556127729862E-3</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21.266800843586026</v>
      </c>
    </row>
    <row r="107" spans="2:23" s="9" customFormat="1">
      <c r="B107" s="66"/>
      <c r="E107" s="214">
        <v>42795</v>
      </c>
      <c r="F107" s="214" t="s">
        <v>184</v>
      </c>
      <c r="G107" s="215" t="s">
        <v>65</v>
      </c>
      <c r="H107" s="240">
        <f t="shared" si="48"/>
        <v>9.1666666666666665E-4</v>
      </c>
      <c r="I107" s="230">
        <f>(SUM('1.  LRAMVA Summary'!D$54:D$71)+SUM('1.  LRAMVA Summary'!D$72:D$73)*(MONTH($E107)-1)/12)*$H107</f>
        <v>28.564022354249445</v>
      </c>
      <c r="J107" s="230">
        <f>(SUM('1.  LRAMVA Summary'!E$54:E$71)+SUM('1.  LRAMVA Summary'!E$72:E$73)*(MONTH($E107)-1)/12)*$H107</f>
        <v>4.1865750812791642</v>
      </c>
      <c r="K107" s="230">
        <f>(SUM('1.  LRAMVA Summary'!F$54:F$71)+SUM('1.  LRAMVA Summary'!F$72:F$73)*(MONTH($E107)-1)/12)*$H107</f>
        <v>-7.3739684054019552</v>
      </c>
      <c r="L107" s="230">
        <f>(SUM('1.  LRAMVA Summary'!G$54:G$71)+SUM('1.  LRAMVA Summary'!G$72:G$73)*(MONTH($E107)-1)/12)*$H107</f>
        <v>2.2726082082220533</v>
      </c>
      <c r="M107" s="230">
        <f>(SUM('1.  LRAMVA Summary'!H$54:H$71)+SUM('1.  LRAMVA Summary'!H$72:H$73)*(MONTH($E107)-1)/12)*$H107</f>
        <v>-0.66366053026698024</v>
      </c>
      <c r="N107" s="230">
        <f>(SUM('1.  LRAMVA Summary'!I$54:I$71)+SUM('1.  LRAMVA Summary'!I$72:I$73)*(MONTH($E107)-1)/12)*$H107</f>
        <v>15.738915191999999</v>
      </c>
      <c r="O107" s="230">
        <f>(SUM('1.  LRAMVA Summary'!J$54:J$71)+SUM('1.  LRAMVA Summary'!J$72:J$73)*(MONTH($E107)-1)/12)*$H107</f>
        <v>-0.18812870168413817</v>
      </c>
      <c r="P107" s="230">
        <f>(SUM('1.  LRAMVA Summary'!K$54:K$71)+SUM('1.  LRAMVA Summary'!K$72:K$73)*(MONTH($E107)-1)/12)*$H107</f>
        <v>-2.7615112255459724E-3</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42.533601687172052</v>
      </c>
    </row>
    <row r="108" spans="2:23" s="8" customFormat="1">
      <c r="B108" s="239"/>
      <c r="E108" s="214">
        <v>42826</v>
      </c>
      <c r="F108" s="214" t="s">
        <v>184</v>
      </c>
      <c r="G108" s="215" t="s">
        <v>66</v>
      </c>
      <c r="H108" s="240">
        <f>$C$40/12</f>
        <v>9.1666666666666665E-4</v>
      </c>
      <c r="I108" s="230">
        <f>(SUM('1.  LRAMVA Summary'!D$54:D$71)+SUM('1.  LRAMVA Summary'!D$72:D$73)*(MONTH($E108)-1)/12)*$H108</f>
        <v>42.846033531374175</v>
      </c>
      <c r="J108" s="230">
        <f>(SUM('1.  LRAMVA Summary'!E$54:E$71)+SUM('1.  LRAMVA Summary'!E$72:E$73)*(MONTH($E108)-1)/12)*$H108</f>
        <v>6.2798626219187472</v>
      </c>
      <c r="K108" s="230">
        <f>(SUM('1.  LRAMVA Summary'!F$54:F$71)+SUM('1.  LRAMVA Summary'!F$72:F$73)*(MONTH($E108)-1)/12)*$H108</f>
        <v>-11.060952608102934</v>
      </c>
      <c r="L108" s="230">
        <f>(SUM('1.  LRAMVA Summary'!G$54:G$71)+SUM('1.  LRAMVA Summary'!G$72:G$73)*(MONTH($E108)-1)/12)*$H108</f>
        <v>3.4089123123330798</v>
      </c>
      <c r="M108" s="230">
        <f>(SUM('1.  LRAMVA Summary'!H$54:H$71)+SUM('1.  LRAMVA Summary'!H$72:H$73)*(MONTH($E108)-1)/12)*$H108</f>
        <v>-0.99549079540047047</v>
      </c>
      <c r="N108" s="230">
        <f>(SUM('1.  LRAMVA Summary'!I$54:I$71)+SUM('1.  LRAMVA Summary'!I$72:I$73)*(MONTH($E108)-1)/12)*$H108</f>
        <v>23.608372787999997</v>
      </c>
      <c r="O108" s="230">
        <f>(SUM('1.  LRAMVA Summary'!J$54:J$71)+SUM('1.  LRAMVA Summary'!J$72:J$73)*(MONTH($E108)-1)/12)*$H108</f>
        <v>-0.2821930525262073</v>
      </c>
      <c r="P108" s="230">
        <f>(SUM('1.  LRAMVA Summary'!K$54:K$71)+SUM('1.  LRAMVA Summary'!K$72:K$73)*(MONTH($E108)-1)/12)*$H108</f>
        <v>-4.1422668383189589E-3</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63.80040253075807</v>
      </c>
    </row>
    <row r="109" spans="2:23" s="9" customFormat="1">
      <c r="B109" s="66"/>
      <c r="E109" s="214">
        <v>42856</v>
      </c>
      <c r="F109" s="214" t="s">
        <v>184</v>
      </c>
      <c r="G109" s="215" t="s">
        <v>66</v>
      </c>
      <c r="H109" s="240">
        <f t="shared" ref="H109:H110" si="50">$C$40/12</f>
        <v>9.1666666666666665E-4</v>
      </c>
      <c r="I109" s="230">
        <f>(SUM('1.  LRAMVA Summary'!D$54:D$71)+SUM('1.  LRAMVA Summary'!D$72:D$73)*(MONTH($E109)-1)/12)*$H109</f>
        <v>57.128044708498891</v>
      </c>
      <c r="J109" s="230">
        <f>(SUM('1.  LRAMVA Summary'!E$54:E$71)+SUM('1.  LRAMVA Summary'!E$72:E$73)*(MONTH($E109)-1)/12)*$H109</f>
        <v>8.3731501625583284</v>
      </c>
      <c r="K109" s="230">
        <f>(SUM('1.  LRAMVA Summary'!F$54:F$71)+SUM('1.  LRAMVA Summary'!F$72:F$73)*(MONTH($E109)-1)/12)*$H109</f>
        <v>-14.74793681080391</v>
      </c>
      <c r="L109" s="230">
        <f>(SUM('1.  LRAMVA Summary'!G$54:G$71)+SUM('1.  LRAMVA Summary'!G$72:G$73)*(MONTH($E109)-1)/12)*$H109</f>
        <v>4.5452164164441067</v>
      </c>
      <c r="M109" s="230">
        <f>(SUM('1.  LRAMVA Summary'!H$54:H$71)+SUM('1.  LRAMVA Summary'!H$72:H$73)*(MONTH($E109)-1)/12)*$H109</f>
        <v>-1.3273210605339605</v>
      </c>
      <c r="N109" s="230">
        <f>(SUM('1.  LRAMVA Summary'!I$54:I$71)+SUM('1.  LRAMVA Summary'!I$72:I$73)*(MONTH($E109)-1)/12)*$H109</f>
        <v>31.477830383999997</v>
      </c>
      <c r="O109" s="230">
        <f>(SUM('1.  LRAMVA Summary'!J$54:J$71)+SUM('1.  LRAMVA Summary'!J$72:J$73)*(MONTH($E109)-1)/12)*$H109</f>
        <v>-0.37625740336827634</v>
      </c>
      <c r="P109" s="230">
        <f>(SUM('1.  LRAMVA Summary'!K$54:K$71)+SUM('1.  LRAMVA Summary'!K$72:K$73)*(MONTH($E109)-1)/12)*$H109</f>
        <v>-5.5230224510919449E-3</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85.067203374344103</v>
      </c>
    </row>
    <row r="110" spans="2:23" s="238" customFormat="1">
      <c r="B110" s="237"/>
      <c r="E110" s="214">
        <v>42887</v>
      </c>
      <c r="F110" s="214" t="s">
        <v>184</v>
      </c>
      <c r="G110" s="215" t="s">
        <v>66</v>
      </c>
      <c r="H110" s="240">
        <f t="shared" si="50"/>
        <v>9.1666666666666665E-4</v>
      </c>
      <c r="I110" s="230">
        <f>(SUM('1.  LRAMVA Summary'!D$54:D$71)+SUM('1.  LRAMVA Summary'!D$72:D$73)*(MONTH($E110)-1)/12)*$H110</f>
        <v>71.410055885623606</v>
      </c>
      <c r="J110" s="230">
        <f>(SUM('1.  LRAMVA Summary'!E$54:E$71)+SUM('1.  LRAMVA Summary'!E$72:E$73)*(MONTH($E110)-1)/12)*$H110</f>
        <v>10.466437703197911</v>
      </c>
      <c r="K110" s="230">
        <f>(SUM('1.  LRAMVA Summary'!F$54:F$71)+SUM('1.  LRAMVA Summary'!F$72:F$73)*(MONTH($E110)-1)/12)*$H110</f>
        <v>-18.434921013504884</v>
      </c>
      <c r="L110" s="230">
        <f>(SUM('1.  LRAMVA Summary'!G$54:G$71)+SUM('1.  LRAMVA Summary'!G$72:G$73)*(MONTH($E110)-1)/12)*$H110</f>
        <v>5.6815205205551322</v>
      </c>
      <c r="M110" s="230">
        <f>(SUM('1.  LRAMVA Summary'!H$54:H$71)+SUM('1.  LRAMVA Summary'!H$72:H$73)*(MONTH($E110)-1)/12)*$H110</f>
        <v>-1.6591513256674506</v>
      </c>
      <c r="N110" s="230">
        <f>(SUM('1.  LRAMVA Summary'!I$54:I$71)+SUM('1.  LRAMVA Summary'!I$72:I$73)*(MONTH($E110)-1)/12)*$H110</f>
        <v>39.347287979999997</v>
      </c>
      <c r="O110" s="230">
        <f>(SUM('1.  LRAMVA Summary'!J$54:J$71)+SUM('1.  LRAMVA Summary'!J$72:J$73)*(MONTH($E110)-1)/12)*$H110</f>
        <v>-0.47032175421034544</v>
      </c>
      <c r="P110" s="230">
        <f>(SUM('1.  LRAMVA Summary'!K$54:K$71)+SUM('1.  LRAMVA Summary'!K$72:K$73)*(MONTH($E110)-1)/12)*$H110</f>
        <v>-6.9037780638649309E-3</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106.33400421793012</v>
      </c>
    </row>
    <row r="111" spans="2:23" s="9" customFormat="1">
      <c r="B111" s="66"/>
      <c r="E111" s="214">
        <v>42917</v>
      </c>
      <c r="F111" s="214" t="s">
        <v>184</v>
      </c>
      <c r="G111" s="215" t="s">
        <v>68</v>
      </c>
      <c r="H111" s="240">
        <f>$C$41/12</f>
        <v>9.1666666666666665E-4</v>
      </c>
      <c r="I111" s="230">
        <f>(SUM('1.  LRAMVA Summary'!D$54:D$71)+SUM('1.  LRAMVA Summary'!D$72:D$73)*(MONTH($E111)-1)/12)*$H111</f>
        <v>85.69206706274835</v>
      </c>
      <c r="J111" s="230">
        <f>(SUM('1.  LRAMVA Summary'!E$54:E$71)+SUM('1.  LRAMVA Summary'!E$72:E$73)*(MONTH($E111)-1)/12)*$H111</f>
        <v>12.559725243837494</v>
      </c>
      <c r="K111" s="230">
        <f>(SUM('1.  LRAMVA Summary'!F$54:F$71)+SUM('1.  LRAMVA Summary'!F$72:F$73)*(MONTH($E111)-1)/12)*$H111</f>
        <v>-22.121905216205867</v>
      </c>
      <c r="L111" s="230">
        <f>(SUM('1.  LRAMVA Summary'!G$54:G$71)+SUM('1.  LRAMVA Summary'!G$72:G$73)*(MONTH($E111)-1)/12)*$H111</f>
        <v>6.8178246246661596</v>
      </c>
      <c r="M111" s="230">
        <f>(SUM('1.  LRAMVA Summary'!H$54:H$71)+SUM('1.  LRAMVA Summary'!H$72:H$73)*(MONTH($E111)-1)/12)*$H111</f>
        <v>-1.9909815908009409</v>
      </c>
      <c r="N111" s="230">
        <f>(SUM('1.  LRAMVA Summary'!I$54:I$71)+SUM('1.  LRAMVA Summary'!I$72:I$73)*(MONTH($E111)-1)/12)*$H111</f>
        <v>47.216745575999994</v>
      </c>
      <c r="O111" s="230">
        <f>(SUM('1.  LRAMVA Summary'!J$54:J$71)+SUM('1.  LRAMVA Summary'!J$72:J$73)*(MONTH($E111)-1)/12)*$H111</f>
        <v>-0.5643861050524146</v>
      </c>
      <c r="P111" s="230">
        <f>(SUM('1.  LRAMVA Summary'!K$54:K$71)+SUM('1.  LRAMVA Summary'!K$72:K$73)*(MONTH($E111)-1)/12)*$H111</f>
        <v>-8.2845336766379177E-3</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127.60080506151614</v>
      </c>
    </row>
    <row r="112" spans="2:23" s="9" customFormat="1">
      <c r="B112" s="66"/>
      <c r="E112" s="214">
        <v>42948</v>
      </c>
      <c r="F112" s="214" t="s">
        <v>184</v>
      </c>
      <c r="G112" s="215" t="s">
        <v>68</v>
      </c>
      <c r="H112" s="240">
        <f t="shared" ref="H112:H113" si="51">$C$41/12</f>
        <v>9.1666666666666665E-4</v>
      </c>
      <c r="I112" s="230">
        <f>(SUM('1.  LRAMVA Summary'!D$54:D$71)+SUM('1.  LRAMVA Summary'!D$72:D$73)*(MONTH($E112)-1)/12)*$H112</f>
        <v>99.974078239873066</v>
      </c>
      <c r="J112" s="230">
        <f>(SUM('1.  LRAMVA Summary'!E$54:E$71)+SUM('1.  LRAMVA Summary'!E$72:E$73)*(MONTH($E112)-1)/12)*$H112</f>
        <v>14.653012784477076</v>
      </c>
      <c r="K112" s="230">
        <f>(SUM('1.  LRAMVA Summary'!F$54:F$71)+SUM('1.  LRAMVA Summary'!F$72:F$73)*(MONTH($E112)-1)/12)*$H112</f>
        <v>-25.808889418906844</v>
      </c>
      <c r="L112" s="230">
        <f>(SUM('1.  LRAMVA Summary'!G$54:G$71)+SUM('1.  LRAMVA Summary'!G$72:G$73)*(MONTH($E112)-1)/12)*$H112</f>
        <v>7.9541287287771851</v>
      </c>
      <c r="M112" s="230">
        <f>(SUM('1.  LRAMVA Summary'!H$54:H$71)+SUM('1.  LRAMVA Summary'!H$72:H$73)*(MONTH($E112)-1)/12)*$H112</f>
        <v>-2.3228118559344311</v>
      </c>
      <c r="N112" s="230">
        <f>(SUM('1.  LRAMVA Summary'!I$54:I$71)+SUM('1.  LRAMVA Summary'!I$72:I$73)*(MONTH($E112)-1)/12)*$H112</f>
        <v>55.086203171999998</v>
      </c>
      <c r="O112" s="230">
        <f>(SUM('1.  LRAMVA Summary'!J$54:J$71)+SUM('1.  LRAMVA Summary'!J$72:J$73)*(MONTH($E112)-1)/12)*$H112</f>
        <v>-0.6584504558944837</v>
      </c>
      <c r="P112" s="230">
        <f>(SUM('1.  LRAMVA Summary'!K$54:K$71)+SUM('1.  LRAMVA Summary'!K$72:K$73)*(MONTH($E112)-1)/12)*$H112</f>
        <v>-9.665289289410902E-3</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148.86760590510212</v>
      </c>
    </row>
    <row r="113" spans="2:23" s="9" customFormat="1">
      <c r="B113" s="66"/>
      <c r="E113" s="214">
        <v>42979</v>
      </c>
      <c r="F113" s="214" t="s">
        <v>184</v>
      </c>
      <c r="G113" s="215" t="s">
        <v>68</v>
      </c>
      <c r="H113" s="240">
        <f t="shared" si="51"/>
        <v>9.1666666666666665E-4</v>
      </c>
      <c r="I113" s="230">
        <f>(SUM('1.  LRAMVA Summary'!D$54:D$71)+SUM('1.  LRAMVA Summary'!D$72:D$73)*(MONTH($E113)-1)/12)*$H113</f>
        <v>114.25608941699778</v>
      </c>
      <c r="J113" s="230">
        <f>(SUM('1.  LRAMVA Summary'!E$54:E$71)+SUM('1.  LRAMVA Summary'!E$72:E$73)*(MONTH($E113)-1)/12)*$H113</f>
        <v>16.746300325116657</v>
      </c>
      <c r="K113" s="230">
        <f>(SUM('1.  LRAMVA Summary'!F$54:F$71)+SUM('1.  LRAMVA Summary'!F$72:F$73)*(MONTH($E113)-1)/12)*$H113</f>
        <v>-29.495873621607821</v>
      </c>
      <c r="L113" s="230">
        <f>(SUM('1.  LRAMVA Summary'!G$54:G$71)+SUM('1.  LRAMVA Summary'!G$72:G$73)*(MONTH($E113)-1)/12)*$H113</f>
        <v>9.0904328328882134</v>
      </c>
      <c r="M113" s="230">
        <f>(SUM('1.  LRAMVA Summary'!H$54:H$71)+SUM('1.  LRAMVA Summary'!H$72:H$73)*(MONTH($E113)-1)/12)*$H113</f>
        <v>-2.654642121067921</v>
      </c>
      <c r="N113" s="230">
        <f>(SUM('1.  LRAMVA Summary'!I$54:I$71)+SUM('1.  LRAMVA Summary'!I$72:I$73)*(MONTH($E113)-1)/12)*$H113</f>
        <v>62.955660767999994</v>
      </c>
      <c r="O113" s="230">
        <f>(SUM('1.  LRAMVA Summary'!J$54:J$71)+SUM('1.  LRAMVA Summary'!J$72:J$73)*(MONTH($E113)-1)/12)*$H113</f>
        <v>-0.75251480673655269</v>
      </c>
      <c r="P113" s="230">
        <f>(SUM('1.  LRAMVA Summary'!K$54:K$71)+SUM('1.  LRAMVA Summary'!K$72:K$73)*(MONTH($E113)-1)/12)*$H113</f>
        <v>-1.104604490218389E-2</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170.13440674868821</v>
      </c>
    </row>
    <row r="114" spans="2:23" s="9" customFormat="1">
      <c r="B114" s="66"/>
      <c r="E114" s="214">
        <v>43009</v>
      </c>
      <c r="F114" s="214" t="s">
        <v>184</v>
      </c>
      <c r="G114" s="215" t="s">
        <v>69</v>
      </c>
      <c r="H114" s="240">
        <f>$C$42/12</f>
        <v>1.25E-3</v>
      </c>
      <c r="I114" s="230">
        <f>(SUM('1.  LRAMVA Summary'!D$54:D$71)+SUM('1.  LRAMVA Summary'!D$72:D$73)*(MONTH($E114)-1)/12)*$H114</f>
        <v>175.27922808289429</v>
      </c>
      <c r="J114" s="230">
        <f>(SUM('1.  LRAMVA Summary'!E$54:E$71)+SUM('1.  LRAMVA Summary'!E$72:E$73)*(MONTH($E114)-1)/12)*$H114</f>
        <v>25.690347089667597</v>
      </c>
      <c r="K114" s="230">
        <f>(SUM('1.  LRAMVA Summary'!F$54:F$71)+SUM('1.  LRAMVA Summary'!F$72:F$73)*(MONTH($E114)-1)/12)*$H114</f>
        <v>-45.249351578602898</v>
      </c>
      <c r="L114" s="230">
        <f>(SUM('1.  LRAMVA Summary'!G$54:G$71)+SUM('1.  LRAMVA Summary'!G$72:G$73)*(MONTH($E114)-1)/12)*$H114</f>
        <v>13.945550368635324</v>
      </c>
      <c r="M114" s="230">
        <f>(SUM('1.  LRAMVA Summary'!H$54:H$71)+SUM('1.  LRAMVA Summary'!H$72:H$73)*(MONTH($E114)-1)/12)*$H114</f>
        <v>-4.0724623448201065</v>
      </c>
      <c r="N114" s="230">
        <f>(SUM('1.  LRAMVA Summary'!I$54:I$71)+SUM('1.  LRAMVA Summary'!I$72:I$73)*(MONTH($E114)-1)/12)*$H114</f>
        <v>96.579706859999988</v>
      </c>
      <c r="O114" s="230">
        <f>(SUM('1.  LRAMVA Summary'!J$54:J$71)+SUM('1.  LRAMVA Summary'!J$72:J$73)*(MONTH($E114)-1)/12)*$H114</f>
        <v>-1.154426123970848</v>
      </c>
      <c r="P114" s="230">
        <f>(SUM('1.  LRAMVA Summary'!K$54:K$71)+SUM('1.  LRAMVA Summary'!K$72:K$73)*(MONTH($E114)-1)/12)*$H114</f>
        <v>-1.6945637065850287E-2</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261.00164671673747</v>
      </c>
    </row>
    <row r="115" spans="2:23" s="9" customFormat="1">
      <c r="B115" s="66"/>
      <c r="E115" s="214">
        <v>43040</v>
      </c>
      <c r="F115" s="214" t="s">
        <v>184</v>
      </c>
      <c r="G115" s="215" t="s">
        <v>69</v>
      </c>
      <c r="H115" s="240">
        <f t="shared" ref="H115:H116" si="52">$C$42/12</f>
        <v>1.25E-3</v>
      </c>
      <c r="I115" s="230">
        <f>(SUM('1.  LRAMVA Summary'!D$54:D$71)+SUM('1.  LRAMVA Summary'!D$72:D$73)*(MONTH($E115)-1)/12)*$H115</f>
        <v>194.75469786988256</v>
      </c>
      <c r="J115" s="230">
        <f>(SUM('1.  LRAMVA Summary'!E$54:E$71)+SUM('1.  LRAMVA Summary'!E$72:E$73)*(MONTH($E115)-1)/12)*$H115</f>
        <v>28.544830099630669</v>
      </c>
      <c r="K115" s="230">
        <f>(SUM('1.  LRAMVA Summary'!F$54:F$71)+SUM('1.  LRAMVA Summary'!F$72:F$73)*(MONTH($E115)-1)/12)*$H115</f>
        <v>-50.277057309558778</v>
      </c>
      <c r="L115" s="230">
        <f>(SUM('1.  LRAMVA Summary'!G$54:G$71)+SUM('1.  LRAMVA Summary'!G$72:G$73)*(MONTH($E115)-1)/12)*$H115</f>
        <v>15.495055965150362</v>
      </c>
      <c r="M115" s="230">
        <f>(SUM('1.  LRAMVA Summary'!H$54:H$71)+SUM('1.  LRAMVA Summary'!H$72:H$73)*(MONTH($E115)-1)/12)*$H115</f>
        <v>-4.524958160911229</v>
      </c>
      <c r="N115" s="230">
        <f>(SUM('1.  LRAMVA Summary'!I$54:I$71)+SUM('1.  LRAMVA Summary'!I$72:I$73)*(MONTH($E115)-1)/12)*$H115</f>
        <v>107.31078539999999</v>
      </c>
      <c r="O115" s="230">
        <f>(SUM('1.  LRAMVA Summary'!J$54:J$71)+SUM('1.  LRAMVA Summary'!J$72:J$73)*(MONTH($E115)-1)/12)*$H115</f>
        <v>-1.2826956933009421</v>
      </c>
      <c r="P115" s="230">
        <f>(SUM('1.  LRAMVA Summary'!K$54:K$71)+SUM('1.  LRAMVA Summary'!K$72:K$73)*(MONTH($E115)-1)/12)*$H115</f>
        <v>-1.8828485628722542E-2</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290.00182968526394</v>
      </c>
    </row>
    <row r="116" spans="2:23" s="9" customFormat="1">
      <c r="B116" s="66"/>
      <c r="E116" s="214">
        <v>43070</v>
      </c>
      <c r="F116" s="214" t="s">
        <v>184</v>
      </c>
      <c r="G116" s="215" t="s">
        <v>69</v>
      </c>
      <c r="H116" s="240">
        <f t="shared" si="52"/>
        <v>1.25E-3</v>
      </c>
      <c r="I116" s="230">
        <f>(SUM('1.  LRAMVA Summary'!D$54:D$71)+SUM('1.  LRAMVA Summary'!D$72:D$73)*(MONTH($E116)-1)/12)*$H116</f>
        <v>214.23016765687083</v>
      </c>
      <c r="J116" s="230">
        <f>(SUM('1.  LRAMVA Summary'!E$54:E$71)+SUM('1.  LRAMVA Summary'!E$72:E$73)*(MONTH($E116)-1)/12)*$H116</f>
        <v>31.399313109593731</v>
      </c>
      <c r="K116" s="230">
        <f>(SUM('1.  LRAMVA Summary'!F$54:F$71)+SUM('1.  LRAMVA Summary'!F$72:F$73)*(MONTH($E116)-1)/12)*$H116</f>
        <v>-55.304763040514665</v>
      </c>
      <c r="L116" s="230">
        <f>(SUM('1.  LRAMVA Summary'!G$54:G$71)+SUM('1.  LRAMVA Summary'!G$72:G$73)*(MONTH($E116)-1)/12)*$H116</f>
        <v>17.044561561665397</v>
      </c>
      <c r="M116" s="230">
        <f>(SUM('1.  LRAMVA Summary'!H$54:H$71)+SUM('1.  LRAMVA Summary'!H$72:H$73)*(MONTH($E116)-1)/12)*$H116</f>
        <v>-4.9774539770023516</v>
      </c>
      <c r="N116" s="230">
        <f>(SUM('1.  LRAMVA Summary'!I$54:I$71)+SUM('1.  LRAMVA Summary'!I$72:I$73)*(MONTH($E116)-1)/12)*$H116</f>
        <v>118.04186393999998</v>
      </c>
      <c r="O116" s="230">
        <f>(SUM('1.  LRAMVA Summary'!J$54:J$71)+SUM('1.  LRAMVA Summary'!J$72:J$73)*(MONTH($E116)-1)/12)*$H116</f>
        <v>-1.4109652626310365</v>
      </c>
      <c r="P116" s="230">
        <f>(SUM('1.  LRAMVA Summary'!K$54:K$71)+SUM('1.  LRAMVA Summary'!K$72:K$73)*(MONTH($E116)-1)/12)*$H116</f>
        <v>-2.0711334191594793E-2</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319.0020126537903</v>
      </c>
    </row>
    <row r="117" spans="2:23" s="9" customFormat="1" ht="15" thickBot="1">
      <c r="B117" s="66"/>
      <c r="E117" s="216" t="s">
        <v>467</v>
      </c>
      <c r="F117" s="216"/>
      <c r="G117" s="217"/>
      <c r="H117" s="218"/>
      <c r="I117" s="219">
        <f>SUM(I104:I116)</f>
        <v>1275.0408883765906</v>
      </c>
      <c r="J117" s="219">
        <f>SUM(J104:J116)</f>
        <v>210.77650360413088</v>
      </c>
      <c r="K117" s="219">
        <f t="shared" ref="K117:O117" si="53">SUM(K104:K116)</f>
        <v>-632.9876529426042</v>
      </c>
      <c r="L117" s="219">
        <f t="shared" si="53"/>
        <v>278.27130209810235</v>
      </c>
      <c r="M117" s="219">
        <f t="shared" si="53"/>
        <v>-54.754017359078475</v>
      </c>
      <c r="N117" s="219">
        <f t="shared" si="53"/>
        <v>-1056.513921658207</v>
      </c>
      <c r="O117" s="219">
        <f t="shared" si="53"/>
        <v>-13.635766340547667</v>
      </c>
      <c r="P117" s="219">
        <f t="shared" ref="P117:V117" si="54">SUM(P104:P116)</f>
        <v>-0.20700776883369992</v>
      </c>
      <c r="Q117" s="219">
        <f t="shared" si="54"/>
        <v>0</v>
      </c>
      <c r="R117" s="219">
        <f t="shared" si="54"/>
        <v>0</v>
      </c>
      <c r="S117" s="219">
        <f t="shared" si="54"/>
        <v>0</v>
      </c>
      <c r="T117" s="219">
        <f t="shared" si="54"/>
        <v>0</v>
      </c>
      <c r="U117" s="219">
        <f t="shared" si="54"/>
        <v>0</v>
      </c>
      <c r="V117" s="219">
        <f t="shared" si="54"/>
        <v>0</v>
      </c>
      <c r="W117" s="219">
        <f>SUM(W104:W116)</f>
        <v>5.9903280095527407</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1275.0408883765906</v>
      </c>
      <c r="J119" s="228">
        <f t="shared" ref="J119" si="55">J117+J118</f>
        <v>210.77650360413088</v>
      </c>
      <c r="K119" s="228">
        <f t="shared" ref="K119" si="56">K117+K118</f>
        <v>-632.9876529426042</v>
      </c>
      <c r="L119" s="228">
        <f t="shared" ref="L119" si="57">L117+L118</f>
        <v>278.27130209810235</v>
      </c>
      <c r="M119" s="228">
        <f t="shared" ref="M119" si="58">M117+M118</f>
        <v>-54.754017359078475</v>
      </c>
      <c r="N119" s="228">
        <f t="shared" ref="N119" si="59">N117+N118</f>
        <v>-1056.513921658207</v>
      </c>
      <c r="O119" s="228">
        <f t="shared" ref="O119:V119" si="60">O117+O118</f>
        <v>-13.635766340547667</v>
      </c>
      <c r="P119" s="228">
        <f t="shared" si="60"/>
        <v>-0.20700776883369992</v>
      </c>
      <c r="Q119" s="228">
        <f t="shared" si="60"/>
        <v>0</v>
      </c>
      <c r="R119" s="228">
        <f t="shared" si="60"/>
        <v>0</v>
      </c>
      <c r="S119" s="228">
        <f t="shared" si="60"/>
        <v>0</v>
      </c>
      <c r="T119" s="228">
        <f t="shared" si="60"/>
        <v>0</v>
      </c>
      <c r="U119" s="228">
        <f t="shared" si="60"/>
        <v>0</v>
      </c>
      <c r="V119" s="228">
        <f t="shared" si="60"/>
        <v>0</v>
      </c>
      <c r="W119" s="228">
        <f t="shared" ref="W119" si="61">W117+W118</f>
        <v>5.9903280095527407</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9.5094735106426533</v>
      </c>
      <c r="J121" s="230">
        <f>(SUM('1.  LRAMVA Summary'!E$54:E$74)+SUM('1.  LRAMVA Summary'!E$75:E$76)*(MONTH($E121)-1)/12)*$H121</f>
        <v>2.3036850225239598</v>
      </c>
      <c r="K121" s="230">
        <f>(SUM('1.  LRAMVA Summary'!F$54:F$74)+SUM('1.  LRAMVA Summary'!F$75:F$76)*(MONTH($E121)-1)/12)*$H121</f>
        <v>-7.3056410752460224</v>
      </c>
      <c r="L121" s="230">
        <f>(SUM('1.  LRAMVA Summary'!G$54:G$74)+SUM('1.  LRAMVA Summary'!G$75:G$76)*(MONTH($E121)-1)/12)*$H121</f>
        <v>1.1573415471111563</v>
      </c>
      <c r="M121" s="230">
        <f>(SUM('1.  LRAMVA Summary'!H$54:H$74)+SUM('1.  LRAMVA Summary'!H$75:H$76)*(MONTH($E121)-1)/12)*$H121</f>
        <v>-0.67675391687033126</v>
      </c>
      <c r="N121" s="230">
        <f>(SUM('1.  LRAMVA Summary'!I$54:I$74)+SUM('1.  LRAMVA Summary'!I$75:I$76)*(MONTH($E121)-1)/12)*$H121</f>
        <v>11.0989166925</v>
      </c>
      <c r="O121" s="230">
        <f>(SUM('1.  LRAMVA Summary'!J$54:J$74)+SUM('1.  LRAMVA Summary'!J$75:J$76)*(MONTH($E121)-1)/12)*$H121</f>
        <v>-0.18225084046140136</v>
      </c>
      <c r="P121" s="230">
        <f>(SUM('1.  LRAMVA Summary'!K$54:K$74)+SUM('1.  LRAMVA Summary'!K$75:K$76)*(MONTH($E121)-1)/12)*$H121</f>
        <v>-2.5888732584330798E-3</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15.902182066941581</v>
      </c>
    </row>
    <row r="122" spans="2:23" s="9" customFormat="1">
      <c r="B122" s="66"/>
      <c r="E122" s="214">
        <v>43160</v>
      </c>
      <c r="F122" s="214" t="s">
        <v>185</v>
      </c>
      <c r="G122" s="215" t="s">
        <v>65</v>
      </c>
      <c r="H122" s="240">
        <f t="shared" si="62"/>
        <v>1.25E-3</v>
      </c>
      <c r="I122" s="230">
        <f>(SUM('1.  LRAMVA Summary'!D$54:D$74)+SUM('1.  LRAMVA Summary'!D$75:D$76)*(MONTH($E122)-1)/12)*$H122</f>
        <v>19.018947021285307</v>
      </c>
      <c r="J122" s="230">
        <f>(SUM('1.  LRAMVA Summary'!E$54:E$74)+SUM('1.  LRAMVA Summary'!E$75:E$76)*(MONTH($E122)-1)/12)*$H122</f>
        <v>4.6073700450479196</v>
      </c>
      <c r="K122" s="230">
        <f>(SUM('1.  LRAMVA Summary'!F$54:F$74)+SUM('1.  LRAMVA Summary'!F$75:F$76)*(MONTH($E122)-1)/12)*$H122</f>
        <v>-14.611282150492045</v>
      </c>
      <c r="L122" s="230">
        <f>(SUM('1.  LRAMVA Summary'!G$54:G$74)+SUM('1.  LRAMVA Summary'!G$75:G$76)*(MONTH($E122)-1)/12)*$H122</f>
        <v>2.3146830942223127</v>
      </c>
      <c r="M122" s="230">
        <f>(SUM('1.  LRAMVA Summary'!H$54:H$74)+SUM('1.  LRAMVA Summary'!H$75:H$76)*(MONTH($E122)-1)/12)*$H122</f>
        <v>-1.3535078337406625</v>
      </c>
      <c r="N122" s="230">
        <f>(SUM('1.  LRAMVA Summary'!I$54:I$74)+SUM('1.  LRAMVA Summary'!I$75:I$76)*(MONTH($E122)-1)/12)*$H122</f>
        <v>22.197833384999999</v>
      </c>
      <c r="O122" s="230">
        <f>(SUM('1.  LRAMVA Summary'!J$54:J$74)+SUM('1.  LRAMVA Summary'!J$75:J$76)*(MONTH($E122)-1)/12)*$H122</f>
        <v>-0.36450168092280272</v>
      </c>
      <c r="P122" s="230">
        <f>(SUM('1.  LRAMVA Summary'!K$54:K$74)+SUM('1.  LRAMVA Summary'!K$75:K$76)*(MONTH($E122)-1)/12)*$H122</f>
        <v>-5.1777465168661597E-3</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31.804364133883162</v>
      </c>
    </row>
    <row r="123" spans="2:23" s="8" customFormat="1">
      <c r="B123" s="239"/>
      <c r="E123" s="214">
        <v>43191</v>
      </c>
      <c r="F123" s="214" t="s">
        <v>185</v>
      </c>
      <c r="G123" s="215" t="s">
        <v>66</v>
      </c>
      <c r="H123" s="240">
        <f>$C$44/12</f>
        <v>1.575E-3</v>
      </c>
      <c r="I123" s="230">
        <f>(SUM('1.  LRAMVA Summary'!D$54:D$74)+SUM('1.  LRAMVA Summary'!D$75:D$76)*(MONTH($E123)-1)/12)*$H123</f>
        <v>35.945809870229233</v>
      </c>
      <c r="J123" s="230">
        <f>(SUM('1.  LRAMVA Summary'!E$54:E$74)+SUM('1.  LRAMVA Summary'!E$75:E$76)*(MONTH($E123)-1)/12)*$H123</f>
        <v>8.7079293851405666</v>
      </c>
      <c r="K123" s="230">
        <f>(SUM('1.  LRAMVA Summary'!F$54:F$74)+SUM('1.  LRAMVA Summary'!F$75:F$76)*(MONTH($E123)-1)/12)*$H123</f>
        <v>-27.615323264429968</v>
      </c>
      <c r="L123" s="230">
        <f>(SUM('1.  LRAMVA Summary'!G$54:G$74)+SUM('1.  LRAMVA Summary'!G$75:G$76)*(MONTH($E123)-1)/12)*$H123</f>
        <v>4.3747510480801708</v>
      </c>
      <c r="M123" s="230">
        <f>(SUM('1.  LRAMVA Summary'!H$54:H$74)+SUM('1.  LRAMVA Summary'!H$75:H$76)*(MONTH($E123)-1)/12)*$H123</f>
        <v>-2.5581298057698523</v>
      </c>
      <c r="N123" s="230">
        <f>(SUM('1.  LRAMVA Summary'!I$54:I$74)+SUM('1.  LRAMVA Summary'!I$75:I$76)*(MONTH($E123)-1)/12)*$H123</f>
        <v>41.953905097650001</v>
      </c>
      <c r="O123" s="230">
        <f>(SUM('1.  LRAMVA Summary'!J$54:J$74)+SUM('1.  LRAMVA Summary'!J$75:J$76)*(MONTH($E123)-1)/12)*$H123</f>
        <v>-0.68890817694409723</v>
      </c>
      <c r="P123" s="230">
        <f>(SUM('1.  LRAMVA Summary'!K$54:K$74)+SUM('1.  LRAMVA Summary'!K$75:K$76)*(MONTH($E123)-1)/12)*$H123</f>
        <v>-9.7859409168770412E-3</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60.110248213039178</v>
      </c>
    </row>
    <row r="124" spans="2:23" s="9" customFormat="1">
      <c r="B124" s="66"/>
      <c r="E124" s="214">
        <v>43221</v>
      </c>
      <c r="F124" s="214" t="s">
        <v>185</v>
      </c>
      <c r="G124" s="215" t="s">
        <v>66</v>
      </c>
      <c r="H124" s="240">
        <f t="shared" ref="H124:H125" si="64">$C$44/12</f>
        <v>1.575E-3</v>
      </c>
      <c r="I124" s="230">
        <f>(SUM('1.  LRAMVA Summary'!D$54:D$74)+SUM('1.  LRAMVA Summary'!D$75:D$76)*(MONTH($E124)-1)/12)*$H124</f>
        <v>47.927746493638971</v>
      </c>
      <c r="J124" s="230">
        <f>(SUM('1.  LRAMVA Summary'!E$54:E$74)+SUM('1.  LRAMVA Summary'!E$75:E$76)*(MONTH($E124)-1)/12)*$H124</f>
        <v>11.610572513520756</v>
      </c>
      <c r="K124" s="230">
        <f>(SUM('1.  LRAMVA Summary'!F$54:F$74)+SUM('1.  LRAMVA Summary'!F$75:F$76)*(MONTH($E124)-1)/12)*$H124</f>
        <v>-36.820431019239955</v>
      </c>
      <c r="L124" s="230">
        <f>(SUM('1.  LRAMVA Summary'!G$54:G$74)+SUM('1.  LRAMVA Summary'!G$75:G$76)*(MONTH($E124)-1)/12)*$H124</f>
        <v>5.8330013974402277</v>
      </c>
      <c r="M124" s="230">
        <f>(SUM('1.  LRAMVA Summary'!H$54:H$74)+SUM('1.  LRAMVA Summary'!H$75:H$76)*(MONTH($E124)-1)/12)*$H124</f>
        <v>-3.4108397410264697</v>
      </c>
      <c r="N124" s="230">
        <f>(SUM('1.  LRAMVA Summary'!I$54:I$74)+SUM('1.  LRAMVA Summary'!I$75:I$76)*(MONTH($E124)-1)/12)*$H124</f>
        <v>55.938540130199996</v>
      </c>
      <c r="O124" s="230">
        <f>(SUM('1.  LRAMVA Summary'!J$54:J$74)+SUM('1.  LRAMVA Summary'!J$75:J$76)*(MONTH($E124)-1)/12)*$H124</f>
        <v>-0.91854423592546286</v>
      </c>
      <c r="P124" s="230">
        <f>(SUM('1.  LRAMVA Summary'!K$54:K$74)+SUM('1.  LRAMVA Summary'!K$75:K$76)*(MONTH($E124)-1)/12)*$H124</f>
        <v>-1.3047921222502722E-2</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80.146997617385551</v>
      </c>
    </row>
    <row r="125" spans="2:23" s="238" customFormat="1">
      <c r="B125" s="237"/>
      <c r="E125" s="214">
        <v>43252</v>
      </c>
      <c r="F125" s="214" t="s">
        <v>185</v>
      </c>
      <c r="G125" s="215" t="s">
        <v>66</v>
      </c>
      <c r="H125" s="240">
        <f t="shared" si="64"/>
        <v>1.575E-3</v>
      </c>
      <c r="I125" s="230">
        <f>(SUM('1.  LRAMVA Summary'!D$54:D$74)+SUM('1.  LRAMVA Summary'!D$75:D$76)*(MONTH($E125)-1)/12)*$H125</f>
        <v>59.909683117048708</v>
      </c>
      <c r="J125" s="230">
        <f>(SUM('1.  LRAMVA Summary'!E$54:E$74)+SUM('1.  LRAMVA Summary'!E$75:E$76)*(MONTH($E125)-1)/12)*$H125</f>
        <v>14.513215641900945</v>
      </c>
      <c r="K125" s="230">
        <f>(SUM('1.  LRAMVA Summary'!F$54:F$74)+SUM('1.  LRAMVA Summary'!F$75:F$76)*(MONTH($E125)-1)/12)*$H125</f>
        <v>-46.025538774049942</v>
      </c>
      <c r="L125" s="230">
        <f>(SUM('1.  LRAMVA Summary'!G$54:G$74)+SUM('1.  LRAMVA Summary'!G$75:G$76)*(MONTH($E125)-1)/12)*$H125</f>
        <v>7.2912517468002855</v>
      </c>
      <c r="M125" s="230">
        <f>(SUM('1.  LRAMVA Summary'!H$54:H$74)+SUM('1.  LRAMVA Summary'!H$75:H$76)*(MONTH($E125)-1)/12)*$H125</f>
        <v>-4.2635496762830876</v>
      </c>
      <c r="N125" s="230">
        <f>(SUM('1.  LRAMVA Summary'!I$54:I$74)+SUM('1.  LRAMVA Summary'!I$75:I$76)*(MONTH($E125)-1)/12)*$H125</f>
        <v>69.923175162749999</v>
      </c>
      <c r="O125" s="230">
        <f>(SUM('1.  LRAMVA Summary'!J$54:J$74)+SUM('1.  LRAMVA Summary'!J$75:J$76)*(MONTH($E125)-1)/12)*$H125</f>
        <v>-1.1481802949068287</v>
      </c>
      <c r="P125" s="230">
        <f>(SUM('1.  LRAMVA Summary'!K$54:K$74)+SUM('1.  LRAMVA Summary'!K$75:K$76)*(MONTH($E125)-1)/12)*$H125</f>
        <v>-1.6309901528128404E-2</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100.18374702173196</v>
      </c>
    </row>
    <row r="126" spans="2:23" s="9" customFormat="1">
      <c r="B126" s="66"/>
      <c r="E126" s="214">
        <v>43282</v>
      </c>
      <c r="F126" s="214" t="s">
        <v>185</v>
      </c>
      <c r="G126" s="215" t="s">
        <v>68</v>
      </c>
      <c r="H126" s="240">
        <f>$C$45/12</f>
        <v>1.575E-3</v>
      </c>
      <c r="I126" s="230">
        <f>(SUM('1.  LRAMVA Summary'!D$54:D$74)+SUM('1.  LRAMVA Summary'!D$75:D$76)*(MONTH($E126)-1)/12)*$H126</f>
        <v>71.891619740458466</v>
      </c>
      <c r="J126" s="230">
        <f>(SUM('1.  LRAMVA Summary'!E$54:E$74)+SUM('1.  LRAMVA Summary'!E$75:E$76)*(MONTH($E126)-1)/12)*$H126</f>
        <v>17.415858770281133</v>
      </c>
      <c r="K126" s="230">
        <f>(SUM('1.  LRAMVA Summary'!F$54:F$74)+SUM('1.  LRAMVA Summary'!F$75:F$76)*(MONTH($E126)-1)/12)*$H126</f>
        <v>-55.230646528859936</v>
      </c>
      <c r="L126" s="230">
        <f>(SUM('1.  LRAMVA Summary'!G$54:G$74)+SUM('1.  LRAMVA Summary'!G$75:G$76)*(MONTH($E126)-1)/12)*$H126</f>
        <v>8.7495020961603416</v>
      </c>
      <c r="M126" s="230">
        <f>(SUM('1.  LRAMVA Summary'!H$54:H$74)+SUM('1.  LRAMVA Summary'!H$75:H$76)*(MONTH($E126)-1)/12)*$H126</f>
        <v>-5.1162596115397045</v>
      </c>
      <c r="N126" s="230">
        <f>(SUM('1.  LRAMVA Summary'!I$54:I$74)+SUM('1.  LRAMVA Summary'!I$75:I$76)*(MONTH($E126)-1)/12)*$H126</f>
        <v>83.907810195300002</v>
      </c>
      <c r="O126" s="230">
        <f>(SUM('1.  LRAMVA Summary'!J$54:J$74)+SUM('1.  LRAMVA Summary'!J$75:J$76)*(MONTH($E126)-1)/12)*$H126</f>
        <v>-1.3778163538881945</v>
      </c>
      <c r="P126" s="230">
        <f>(SUM('1.  LRAMVA Summary'!K$54:K$74)+SUM('1.  LRAMVA Summary'!K$75:K$76)*(MONTH($E126)-1)/12)*$H126</f>
        <v>-1.9571881833754082E-2</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120.22049642607836</v>
      </c>
    </row>
    <row r="127" spans="2:23" s="9" customFormat="1">
      <c r="B127" s="66"/>
      <c r="E127" s="214">
        <v>43313</v>
      </c>
      <c r="F127" s="214" t="s">
        <v>185</v>
      </c>
      <c r="G127" s="215" t="s">
        <v>68</v>
      </c>
      <c r="H127" s="240">
        <f t="shared" ref="H127:H128" si="65">$C$45/12</f>
        <v>1.575E-3</v>
      </c>
      <c r="I127" s="230">
        <f>(SUM('1.  LRAMVA Summary'!D$54:D$74)+SUM('1.  LRAMVA Summary'!D$75:D$76)*(MONTH($E127)-1)/12)*$H127</f>
        <v>83.873556363868204</v>
      </c>
      <c r="J127" s="230">
        <f>(SUM('1.  LRAMVA Summary'!E$54:E$74)+SUM('1.  LRAMVA Summary'!E$75:E$76)*(MONTH($E127)-1)/12)*$H127</f>
        <v>20.318501898661324</v>
      </c>
      <c r="K127" s="230">
        <f>(SUM('1.  LRAMVA Summary'!F$54:F$74)+SUM('1.  LRAMVA Summary'!F$75:F$76)*(MONTH($E127)-1)/12)*$H127</f>
        <v>-64.435754283669922</v>
      </c>
      <c r="L127" s="230">
        <f>(SUM('1.  LRAMVA Summary'!G$54:G$74)+SUM('1.  LRAMVA Summary'!G$75:G$76)*(MONTH($E127)-1)/12)*$H127</f>
        <v>10.207752445520399</v>
      </c>
      <c r="M127" s="230">
        <f>(SUM('1.  LRAMVA Summary'!H$54:H$74)+SUM('1.  LRAMVA Summary'!H$75:H$76)*(MONTH($E127)-1)/12)*$H127</f>
        <v>-5.9689695467963224</v>
      </c>
      <c r="N127" s="230">
        <f>(SUM('1.  LRAMVA Summary'!I$54:I$74)+SUM('1.  LRAMVA Summary'!I$75:I$76)*(MONTH($E127)-1)/12)*$H127</f>
        <v>97.892445227850004</v>
      </c>
      <c r="O127" s="230">
        <f>(SUM('1.  LRAMVA Summary'!J$54:J$74)+SUM('1.  LRAMVA Summary'!J$75:J$76)*(MONTH($E127)-1)/12)*$H127</f>
        <v>-1.60745241286956</v>
      </c>
      <c r="P127" s="230">
        <f>(SUM('1.  LRAMVA Summary'!K$54:K$74)+SUM('1.  LRAMVA Summary'!K$75:K$76)*(MONTH($E127)-1)/12)*$H127</f>
        <v>-2.2833862139379761E-2</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140.25724583042475</v>
      </c>
    </row>
    <row r="128" spans="2:23" s="9" customFormat="1">
      <c r="B128" s="66"/>
      <c r="E128" s="214">
        <v>43344</v>
      </c>
      <c r="F128" s="214" t="s">
        <v>185</v>
      </c>
      <c r="G128" s="215" t="s">
        <v>68</v>
      </c>
      <c r="H128" s="240">
        <f t="shared" si="65"/>
        <v>1.575E-3</v>
      </c>
      <c r="I128" s="230">
        <f>(SUM('1.  LRAMVA Summary'!D$54:D$74)+SUM('1.  LRAMVA Summary'!D$75:D$76)*(MONTH($E128)-1)/12)*$H128</f>
        <v>95.855492987277941</v>
      </c>
      <c r="J128" s="230">
        <f>(SUM('1.  LRAMVA Summary'!E$54:E$74)+SUM('1.  LRAMVA Summary'!E$75:E$76)*(MONTH($E128)-1)/12)*$H128</f>
        <v>23.221145027041512</v>
      </c>
      <c r="K128" s="230">
        <f>(SUM('1.  LRAMVA Summary'!F$54:F$74)+SUM('1.  LRAMVA Summary'!F$75:F$76)*(MONTH($E128)-1)/12)*$H128</f>
        <v>-73.640862038479909</v>
      </c>
      <c r="L128" s="230">
        <f>(SUM('1.  LRAMVA Summary'!G$54:G$74)+SUM('1.  LRAMVA Summary'!G$75:G$76)*(MONTH($E128)-1)/12)*$H128</f>
        <v>11.666002794880455</v>
      </c>
      <c r="M128" s="230">
        <f>(SUM('1.  LRAMVA Summary'!H$54:H$74)+SUM('1.  LRAMVA Summary'!H$75:H$76)*(MONTH($E128)-1)/12)*$H128</f>
        <v>-6.8216794820529394</v>
      </c>
      <c r="N128" s="230">
        <f>(SUM('1.  LRAMVA Summary'!I$54:I$74)+SUM('1.  LRAMVA Summary'!I$75:I$76)*(MONTH($E128)-1)/12)*$H128</f>
        <v>111.87708026039999</v>
      </c>
      <c r="O128" s="230">
        <f>(SUM('1.  LRAMVA Summary'!J$54:J$74)+SUM('1.  LRAMVA Summary'!J$75:J$76)*(MONTH($E128)-1)/12)*$H128</f>
        <v>-1.8370884718509257</v>
      </c>
      <c r="P128" s="230">
        <f>(SUM('1.  LRAMVA Summary'!K$54:K$74)+SUM('1.  LRAMVA Summary'!K$75:K$76)*(MONTH($E128)-1)/12)*$H128</f>
        <v>-2.6095842445005443E-2</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160.2939952347711</v>
      </c>
    </row>
    <row r="129" spans="2:23" s="9" customFormat="1">
      <c r="B129" s="66"/>
      <c r="E129" s="214">
        <v>43374</v>
      </c>
      <c r="F129" s="214" t="s">
        <v>185</v>
      </c>
      <c r="G129" s="215" t="s">
        <v>69</v>
      </c>
      <c r="H129" s="240">
        <f>$C$46/12</f>
        <v>1.8083333333333335E-3</v>
      </c>
      <c r="I129" s="230">
        <f>(SUM('1.  LRAMVA Summary'!D$54:D$74)+SUM('1.  LRAMVA Summary'!D$75:D$76)*(MONTH($E129)-1)/12)*$H129</f>
        <v>123.81334510856733</v>
      </c>
      <c r="J129" s="230">
        <f>(SUM('1.  LRAMVA Summary'!E$54:E$74)+SUM('1.  LRAMVA Summary'!E$75:E$76)*(MONTH($E129)-1)/12)*$H129</f>
        <v>29.993978993261955</v>
      </c>
      <c r="K129" s="230">
        <f>(SUM('1.  LRAMVA Summary'!F$54:F$74)+SUM('1.  LRAMVA Summary'!F$75:F$76)*(MONTH($E129)-1)/12)*$H129</f>
        <v>-95.119446799703226</v>
      </c>
      <c r="L129" s="230">
        <f>(SUM('1.  LRAMVA Summary'!G$54:G$74)+SUM('1.  LRAMVA Summary'!G$75:G$76)*(MONTH($E129)-1)/12)*$H129</f>
        <v>15.068586943387256</v>
      </c>
      <c r="M129" s="230">
        <f>(SUM('1.  LRAMVA Summary'!H$54:H$74)+SUM('1.  LRAMVA Summary'!H$75:H$76)*(MONTH($E129)-1)/12)*$H129</f>
        <v>-8.8113359976517138</v>
      </c>
      <c r="N129" s="230">
        <f>(SUM('1.  LRAMVA Summary'!I$54:I$74)+SUM('1.  LRAMVA Summary'!I$75:I$76)*(MONTH($E129)-1)/12)*$H129</f>
        <v>144.50789533635</v>
      </c>
      <c r="O129" s="230">
        <f>(SUM('1.  LRAMVA Summary'!J$54:J$74)+SUM('1.  LRAMVA Summary'!J$75:J$76)*(MONTH($E129)-1)/12)*$H129</f>
        <v>-2.3729059428074462</v>
      </c>
      <c r="P129" s="230">
        <f>(SUM('1.  LRAMVA Summary'!K$54:K$74)+SUM('1.  LRAMVA Summary'!K$75:K$76)*(MONTH($E129)-1)/12)*$H129</f>
        <v>-3.3707129824798704E-2</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207.04641051157938</v>
      </c>
    </row>
    <row r="130" spans="2:23" s="9" customFormat="1">
      <c r="B130" s="66"/>
      <c r="E130" s="214">
        <v>43405</v>
      </c>
      <c r="F130" s="214" t="s">
        <v>185</v>
      </c>
      <c r="G130" s="215" t="s">
        <v>69</v>
      </c>
      <c r="H130" s="240">
        <f t="shared" ref="H130:H131" si="66">$C$46/12</f>
        <v>1.8083333333333335E-3</v>
      </c>
      <c r="I130" s="230">
        <f>(SUM('1.  LRAMVA Summary'!D$54:D$74)+SUM('1.  LRAMVA Summary'!D$75:D$76)*(MONTH($E130)-1)/12)*$H130</f>
        <v>137.5703834539637</v>
      </c>
      <c r="J130" s="230">
        <f>(SUM('1.  LRAMVA Summary'!E$54:E$74)+SUM('1.  LRAMVA Summary'!E$75:E$76)*(MONTH($E130)-1)/12)*$H130</f>
        <v>33.326643325846618</v>
      </c>
      <c r="K130" s="230">
        <f>(SUM('1.  LRAMVA Summary'!F$54:F$74)+SUM('1.  LRAMVA Summary'!F$75:F$76)*(MONTH($E130)-1)/12)*$H130</f>
        <v>-105.68827422189247</v>
      </c>
      <c r="L130" s="230">
        <f>(SUM('1.  LRAMVA Summary'!G$54:G$74)+SUM('1.  LRAMVA Summary'!G$75:G$76)*(MONTH($E130)-1)/12)*$H130</f>
        <v>16.742874381541398</v>
      </c>
      <c r="M130" s="230">
        <f>(SUM('1.  LRAMVA Summary'!H$54:H$74)+SUM('1.  LRAMVA Summary'!H$75:H$76)*(MONTH($E130)-1)/12)*$H130</f>
        <v>-9.7903733307241261</v>
      </c>
      <c r="N130" s="230">
        <f>(SUM('1.  LRAMVA Summary'!I$54:I$74)+SUM('1.  LRAMVA Summary'!I$75:I$76)*(MONTH($E130)-1)/12)*$H130</f>
        <v>160.56432815150004</v>
      </c>
      <c r="O130" s="230">
        <f>(SUM('1.  LRAMVA Summary'!J$54:J$74)+SUM('1.  LRAMVA Summary'!J$75:J$76)*(MONTH($E130)-1)/12)*$H130</f>
        <v>-2.6365621586749399</v>
      </c>
      <c r="P130" s="230">
        <f>(SUM('1.  LRAMVA Summary'!K$54:K$74)+SUM('1.  LRAMVA Summary'!K$75:K$76)*(MONTH($E130)-1)/12)*$H130</f>
        <v>-3.7452366471998559E-2</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230.05156723508824</v>
      </c>
    </row>
    <row r="131" spans="2:23" s="9" customFormat="1">
      <c r="B131" s="66"/>
      <c r="E131" s="214">
        <v>43435</v>
      </c>
      <c r="F131" s="214" t="s">
        <v>185</v>
      </c>
      <c r="G131" s="215" t="s">
        <v>69</v>
      </c>
      <c r="H131" s="240">
        <f t="shared" si="66"/>
        <v>1.8083333333333335E-3</v>
      </c>
      <c r="I131" s="230">
        <f>(SUM('1.  LRAMVA Summary'!D$54:D$74)+SUM('1.  LRAMVA Summary'!D$75:D$76)*(MONTH($E131)-1)/12)*$H131</f>
        <v>151.32742179936008</v>
      </c>
      <c r="J131" s="230">
        <f>(SUM('1.  LRAMVA Summary'!E$54:E$74)+SUM('1.  LRAMVA Summary'!E$75:E$76)*(MONTH($E131)-1)/12)*$H131</f>
        <v>36.659307658431281</v>
      </c>
      <c r="K131" s="230">
        <f>(SUM('1.  LRAMVA Summary'!F$54:F$74)+SUM('1.  LRAMVA Summary'!F$75:F$76)*(MONTH($E131)-1)/12)*$H131</f>
        <v>-116.25710164408171</v>
      </c>
      <c r="L131" s="230">
        <f>(SUM('1.  LRAMVA Summary'!G$54:G$74)+SUM('1.  LRAMVA Summary'!G$75:G$76)*(MONTH($E131)-1)/12)*$H131</f>
        <v>18.417161819695533</v>
      </c>
      <c r="M131" s="230">
        <f>(SUM('1.  LRAMVA Summary'!H$54:H$74)+SUM('1.  LRAMVA Summary'!H$75:H$76)*(MONTH($E131)-1)/12)*$H131</f>
        <v>-10.76941066379654</v>
      </c>
      <c r="N131" s="230">
        <f>(SUM('1.  LRAMVA Summary'!I$54:I$74)+SUM('1.  LRAMVA Summary'!I$75:I$76)*(MONTH($E131)-1)/12)*$H131</f>
        <v>176.62076096665001</v>
      </c>
      <c r="O131" s="230">
        <f>(SUM('1.  LRAMVA Summary'!J$54:J$74)+SUM('1.  LRAMVA Summary'!J$75:J$76)*(MONTH($E131)-1)/12)*$H131</f>
        <v>-2.9002183745424341</v>
      </c>
      <c r="P131" s="230">
        <f>(SUM('1.  LRAMVA Summary'!K$54:K$74)+SUM('1.  LRAMVA Summary'!K$75:K$76)*(MONTH($E131)-1)/12)*$H131</f>
        <v>-4.1197603119198414E-2</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253.05672395859702</v>
      </c>
    </row>
    <row r="132" spans="2:23" s="9" customFormat="1" ht="15" thickBot="1">
      <c r="B132" s="66"/>
      <c r="E132" s="216" t="s">
        <v>468</v>
      </c>
      <c r="F132" s="216"/>
      <c r="G132" s="217"/>
      <c r="H132" s="218"/>
      <c r="I132" s="219">
        <f>SUM(I119:I131)</f>
        <v>2111.6843678429314</v>
      </c>
      <c r="J132" s="219">
        <f>SUM(J119:J131)</f>
        <v>413.45471188578887</v>
      </c>
      <c r="K132" s="219">
        <f t="shared" ref="K132:O132" si="67">SUM(K119:K131)</f>
        <v>-1275.7379547427493</v>
      </c>
      <c r="L132" s="219">
        <f t="shared" si="67"/>
        <v>380.09421141294189</v>
      </c>
      <c r="M132" s="219">
        <f t="shared" si="67"/>
        <v>-114.29482696533022</v>
      </c>
      <c r="N132" s="219">
        <f t="shared" si="67"/>
        <v>-80.031231052056881</v>
      </c>
      <c r="O132" s="219">
        <f t="shared" si="67"/>
        <v>-29.670195284341759</v>
      </c>
      <c r="P132" s="219">
        <f t="shared" ref="P132:V132" si="68">SUM(P119:P131)</f>
        <v>-0.43477683811064227</v>
      </c>
      <c r="Q132" s="219">
        <f t="shared" si="68"/>
        <v>0</v>
      </c>
      <c r="R132" s="219">
        <f t="shared" si="68"/>
        <v>0</v>
      </c>
      <c r="S132" s="219">
        <f t="shared" si="68"/>
        <v>0</v>
      </c>
      <c r="T132" s="219">
        <f t="shared" si="68"/>
        <v>0</v>
      </c>
      <c r="U132" s="219">
        <f t="shared" si="68"/>
        <v>0</v>
      </c>
      <c r="V132" s="219">
        <f t="shared" si="68"/>
        <v>0</v>
      </c>
      <c r="W132" s="219">
        <f>SUM(W119:W131)</f>
        <v>1405.064306259073</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2111.6843678429314</v>
      </c>
      <c r="J134" s="228">
        <f t="shared" ref="J134" si="69">J132+J133</f>
        <v>413.45471188578887</v>
      </c>
      <c r="K134" s="228">
        <f t="shared" ref="K134" si="70">K132+K133</f>
        <v>-1275.7379547427493</v>
      </c>
      <c r="L134" s="228">
        <f t="shared" ref="L134" si="71">L132+L133</f>
        <v>380.09421141294189</v>
      </c>
      <c r="M134" s="228">
        <f t="shared" ref="M134" si="72">M132+M133</f>
        <v>-114.29482696533022</v>
      </c>
      <c r="N134" s="228">
        <f t="shared" ref="N134" si="73">N132+N133</f>
        <v>-80.031231052056881</v>
      </c>
      <c r="O134" s="228">
        <f t="shared" ref="O134:V134" si="74">O132+O133</f>
        <v>-29.670195284341759</v>
      </c>
      <c r="P134" s="228">
        <f t="shared" si="74"/>
        <v>-0.43477683811064227</v>
      </c>
      <c r="Q134" s="228">
        <f t="shared" si="74"/>
        <v>0</v>
      </c>
      <c r="R134" s="228">
        <f t="shared" si="74"/>
        <v>0</v>
      </c>
      <c r="S134" s="228">
        <f t="shared" si="74"/>
        <v>0</v>
      </c>
      <c r="T134" s="228">
        <f t="shared" si="74"/>
        <v>0</v>
      </c>
      <c r="U134" s="228">
        <f t="shared" si="74"/>
        <v>0</v>
      </c>
      <c r="V134" s="228">
        <f t="shared" si="74"/>
        <v>0</v>
      </c>
      <c r="W134" s="228">
        <f>W132+W133</f>
        <v>1405.064306259073</v>
      </c>
    </row>
    <row r="135" spans="2:23" s="9" customFormat="1">
      <c r="B135" s="66"/>
      <c r="E135" s="214">
        <v>43466</v>
      </c>
      <c r="F135" s="214" t="s">
        <v>186</v>
      </c>
      <c r="G135" s="215" t="s">
        <v>65</v>
      </c>
      <c r="H135" s="240">
        <f>$C$47/12</f>
        <v>2.0416666666666669E-3</v>
      </c>
      <c r="I135" s="230">
        <f>(SUM('1.  LRAMVA Summary'!D$54:D$77)+SUM('1.  LRAMVA Summary'!D$78:D$79)*(MONTH($E135)-1)/12)*$H135</f>
        <v>186.38568080859602</v>
      </c>
      <c r="J135" s="230">
        <f>(SUM('1.  LRAMVA Summary'!E$54:E$77)+SUM('1.  LRAMVA Summary'!E$78:E$79)*(MONTH($E135)-1)/12)*$H135</f>
        <v>45.152226441469615</v>
      </c>
      <c r="K135" s="230">
        <f>(SUM('1.  LRAMVA Summary'!F$54:F$77)+SUM('1.  LRAMVA Summary'!F$78:F$79)*(MONTH($E135)-1)/12)*$H135</f>
        <v>-143.19056507482208</v>
      </c>
      <c r="L135" s="230">
        <f>(SUM('1.  LRAMVA Summary'!G$54:G$77)+SUM('1.  LRAMVA Summary'!G$78:G$79)*(MONTH($E135)-1)/12)*$H135</f>
        <v>22.683894323378667</v>
      </c>
      <c r="M135" s="230">
        <f>(SUM('1.  LRAMVA Summary'!H$54:H$77)+SUM('1.  LRAMVA Summary'!H$78:H$79)*(MONTH($E135)-1)/12)*$H135</f>
        <v>-13.264376770658496</v>
      </c>
      <c r="N135" s="230">
        <f>(SUM('1.  LRAMVA Summary'!I$54:I$77)+SUM('1.  LRAMVA Summary'!I$78:I$79)*(MONTH($E135)-1)/12)*$H135</f>
        <v>217.53876717300002</v>
      </c>
      <c r="O135" s="230">
        <f>(SUM('1.  LRAMVA Summary'!J$54:J$77)+SUM('1.  LRAMVA Summary'!J$78:J$79)*(MONTH($E135)-1)/12)*$H135</f>
        <v>-3.5721164730434674</v>
      </c>
      <c r="P135" s="230">
        <f>(SUM('1.  LRAMVA Summary'!K$54:K$77)+SUM('1.  LRAMVA Summary'!K$78:K$79)*(MONTH($E135)-1)/12)*$H135</f>
        <v>-5.0741915865288367E-2</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311.68276851205502</v>
      </c>
    </row>
    <row r="136" spans="2:23" s="9" customFormat="1">
      <c r="B136" s="66"/>
      <c r="E136" s="214">
        <v>43497</v>
      </c>
      <c r="F136" s="214" t="s">
        <v>186</v>
      </c>
      <c r="G136" s="215" t="s">
        <v>65</v>
      </c>
      <c r="H136" s="240">
        <f t="shared" ref="H136:H137" si="75">$C$47/12</f>
        <v>2.0416666666666669E-3</v>
      </c>
      <c r="I136" s="230">
        <f>(SUM('1.  LRAMVA Summary'!D$54:D$77)+SUM('1.  LRAMVA Summary'!D$78:D$79)*(MONTH($E136)-1)/12)*$H136</f>
        <v>190.09327282459867</v>
      </c>
      <c r="J136" s="230">
        <f>(SUM('1.  LRAMVA Summary'!E$54:E$77)+SUM('1.  LRAMVA Summary'!E$78:E$79)*(MONTH($E136)-1)/12)*$H136</f>
        <v>43.695494766077886</v>
      </c>
      <c r="K136" s="230">
        <f>(SUM('1.  LRAMVA Summary'!F$54:F$77)+SUM('1.  LRAMVA Summary'!F$78:F$79)*(MONTH($E136)-1)/12)*$H136</f>
        <v>-164.49810819455723</v>
      </c>
      <c r="L136" s="230">
        <f>(SUM('1.  LRAMVA Summary'!G$54:G$77)+SUM('1.  LRAMVA Summary'!G$78:G$79)*(MONTH($E136)-1)/12)*$H136</f>
        <v>23.63972288629374</v>
      </c>
      <c r="M136" s="230">
        <f>(SUM('1.  LRAMVA Summary'!H$54:H$77)+SUM('1.  LRAMVA Summary'!H$78:H$79)*(MONTH($E136)-1)/12)*$H136</f>
        <v>-14.893524562470898</v>
      </c>
      <c r="N136" s="230">
        <f>(SUM('1.  LRAMVA Summary'!I$54:I$77)+SUM('1.  LRAMVA Summary'!I$78:I$79)*(MONTH($E136)-1)/12)*$H136</f>
        <v>236.39281706950001</v>
      </c>
      <c r="O136" s="230">
        <f>(SUM('1.  LRAMVA Summary'!J$54:J$77)+SUM('1.  LRAMVA Summary'!J$78:J$79)*(MONTH($E136)-1)/12)*$H136</f>
        <v>-3.997804070151219</v>
      </c>
      <c r="P136" s="230">
        <f>(SUM('1.  LRAMVA Summary'!K$54:K$77)+SUM('1.  LRAMVA Summary'!K$78:K$79)*(MONTH($E136)-1)/12)*$H136</f>
        <v>-5.657215864605588E-2</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310.37529856064486</v>
      </c>
    </row>
    <row r="137" spans="2:23" s="9" customFormat="1">
      <c r="B137" s="66"/>
      <c r="E137" s="214">
        <v>43525</v>
      </c>
      <c r="F137" s="214" t="s">
        <v>186</v>
      </c>
      <c r="G137" s="215" t="s">
        <v>65</v>
      </c>
      <c r="H137" s="240">
        <f t="shared" si="75"/>
        <v>2.0416666666666669E-3</v>
      </c>
      <c r="I137" s="230">
        <f>(SUM('1.  LRAMVA Summary'!D$54:D$77)+SUM('1.  LRAMVA Summary'!D$78:D$79)*(MONTH($E137)-1)/12)*$H137</f>
        <v>193.80086484060135</v>
      </c>
      <c r="J137" s="230">
        <f>(SUM('1.  LRAMVA Summary'!E$54:E$77)+SUM('1.  LRAMVA Summary'!E$78:E$79)*(MONTH($E137)-1)/12)*$H137</f>
        <v>42.238763090686149</v>
      </c>
      <c r="K137" s="230">
        <f>(SUM('1.  LRAMVA Summary'!F$54:F$77)+SUM('1.  LRAMVA Summary'!F$78:F$79)*(MONTH($E137)-1)/12)*$H137</f>
        <v>-185.80565131429236</v>
      </c>
      <c r="L137" s="230">
        <f>(SUM('1.  LRAMVA Summary'!G$54:G$77)+SUM('1.  LRAMVA Summary'!G$78:G$79)*(MONTH($E137)-1)/12)*$H137</f>
        <v>24.595551449208816</v>
      </c>
      <c r="M137" s="230">
        <f>(SUM('1.  LRAMVA Summary'!H$54:H$77)+SUM('1.  LRAMVA Summary'!H$78:H$79)*(MONTH($E137)-1)/12)*$H137</f>
        <v>-16.522672354283298</v>
      </c>
      <c r="N137" s="230">
        <f>(SUM('1.  LRAMVA Summary'!I$54:I$77)+SUM('1.  LRAMVA Summary'!I$78:I$79)*(MONTH($E137)-1)/12)*$H137</f>
        <v>255.24686696600006</v>
      </c>
      <c r="O137" s="230">
        <f>(SUM('1.  LRAMVA Summary'!J$54:J$77)+SUM('1.  LRAMVA Summary'!J$78:J$79)*(MONTH($E137)-1)/12)*$H137</f>
        <v>-4.4234916672589701</v>
      </c>
      <c r="P137" s="230">
        <f>(SUM('1.  LRAMVA Summary'!K$54:K$77)+SUM('1.  LRAMVA Summary'!K$78:K$79)*(MONTH($E137)-1)/12)*$H137</f>
        <v>-6.2402401426823392E-2</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309.06782860923488</v>
      </c>
    </row>
    <row r="138" spans="2:23" s="8" customFormat="1">
      <c r="B138" s="239"/>
      <c r="E138" s="214">
        <v>43556</v>
      </c>
      <c r="F138" s="214" t="s">
        <v>186</v>
      </c>
      <c r="G138" s="215" t="s">
        <v>66</v>
      </c>
      <c r="H138" s="240">
        <f>$C$48/12</f>
        <v>1.8166666666666667E-3</v>
      </c>
      <c r="I138" s="230">
        <f>(SUM('1.  LRAMVA Summary'!D$54:D$77)+SUM('1.  LRAMVA Summary'!D$78:D$79)*(MONTH($E138)-1)/12)*$H138</f>
        <v>175.74221875403944</v>
      </c>
      <c r="J138" s="230">
        <f>(SUM('1.  LRAMVA Summary'!E$54:E$77)+SUM('1.  LRAMVA Summary'!E$78:E$79)*(MONTH($E138)-1)/12)*$H138</f>
        <v>36.287685096057892</v>
      </c>
      <c r="K138" s="230">
        <f>(SUM('1.  LRAMVA Summary'!F$54:F$77)+SUM('1.  LRAMVA Summary'!F$78:F$79)*(MONTH($E138)-1)/12)*$H138</f>
        <v>-184.28847504742043</v>
      </c>
      <c r="L138" s="230">
        <f>(SUM('1.  LRAMVA Summary'!G$54:G$77)+SUM('1.  LRAMVA Summary'!G$78:G$79)*(MONTH($E138)-1)/12)*$H138</f>
        <v>22.73551364344085</v>
      </c>
      <c r="M138" s="230">
        <f>(SUM('1.  LRAMVA Summary'!H$54:H$77)+SUM('1.  LRAMVA Summary'!H$78:H$79)*(MONTH($E138)-1)/12)*$H138</f>
        <v>-16.151415476934137</v>
      </c>
      <c r="N138" s="230">
        <f>(SUM('1.  LRAMVA Summary'!I$54:I$77)+SUM('1.  LRAMVA Summary'!I$78:I$79)*(MONTH($E138)-1)/12)*$H138</f>
        <v>243.89387704500004</v>
      </c>
      <c r="O138" s="230">
        <f>(SUM('1.  LRAMVA Summary'!J$54:J$77)+SUM('1.  LRAMVA Summary'!J$78:J$79)*(MONTH($E138)-1)/12)*$H138</f>
        <v>-4.3147799168650831</v>
      </c>
      <c r="P138" s="230">
        <f>(SUM('1.  LRAMVA Summary'!K$54:K$77)+SUM('1.  LRAMVA Summary'!K$78:K$79)*(MONTH($E138)-1)/12)*$H138</f>
        <v>-6.0713128315325778E-2</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273.84391096900322</v>
      </c>
    </row>
    <row r="139" spans="2:23" s="9" customFormat="1">
      <c r="B139" s="66"/>
      <c r="E139" s="214">
        <v>43586</v>
      </c>
      <c r="F139" s="214" t="s">
        <v>186</v>
      </c>
      <c r="G139" s="215" t="s">
        <v>66</v>
      </c>
      <c r="H139" s="240">
        <f>$C$48/12</f>
        <v>1.8166666666666667E-3</v>
      </c>
      <c r="I139" s="230">
        <f>(SUM('1.  LRAMVA Summary'!D$54:D$77)+SUM('1.  LRAMVA Summary'!D$78:D$79)*(MONTH($E139)-1)/12)*$H139</f>
        <v>179.04121899684998</v>
      </c>
      <c r="J139" s="230">
        <f>(SUM('1.  LRAMVA Summary'!E$54:E$77)+SUM('1.  LRAMVA Summary'!E$78:E$79)*(MONTH($E139)-1)/12)*$H139</f>
        <v>34.991491197137904</v>
      </c>
      <c r="K139" s="230">
        <f>(SUM('1.  LRAMVA Summary'!F$54:F$77)+SUM('1.  LRAMVA Summary'!F$78:F$79)*(MONTH($E139)-1)/12)*$H139</f>
        <v>-203.24783994579701</v>
      </c>
      <c r="L139" s="230">
        <f>(SUM('1.  LRAMVA Summary'!G$54:G$77)+SUM('1.  LRAMVA Summary'!G$78:G$79)*(MONTH($E139)-1)/12)*$H139</f>
        <v>23.586005997381612</v>
      </c>
      <c r="M139" s="230">
        <f>(SUM('1.  LRAMVA Summary'!H$54:H$77)+SUM('1.  LRAMVA Summary'!H$78:H$79)*(MONTH($E139)-1)/12)*$H139</f>
        <v>-17.601024532505985</v>
      </c>
      <c r="N139" s="230">
        <f>(SUM('1.  LRAMVA Summary'!I$54:I$77)+SUM('1.  LRAMVA Summary'!I$78:I$79)*(MONTH($E139)-1)/12)*$H139</f>
        <v>260.67013368760007</v>
      </c>
      <c r="O139" s="230">
        <f>(SUM('1.  LRAMVA Summary'!J$54:J$77)+SUM('1.  LRAMVA Summary'!J$78:J$79)*(MONTH($E139)-1)/12)*$H139</f>
        <v>-4.6935550032711637</v>
      </c>
      <c r="P139" s="230">
        <f>(SUM('1.  LRAMVA Summary'!K$54:K$77)+SUM('1.  LRAMVA Summary'!K$78:K$79)*(MONTH($E139)-1)/12)*$H139</f>
        <v>-6.5900854544743398E-2</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272.68052954285065</v>
      </c>
    </row>
    <row r="140" spans="2:23" s="9" customFormat="1">
      <c r="B140" s="66"/>
      <c r="E140" s="214">
        <v>43617</v>
      </c>
      <c r="F140" s="214" t="s">
        <v>186</v>
      </c>
      <c r="G140" s="215" t="s">
        <v>66</v>
      </c>
      <c r="H140" s="240">
        <f t="shared" ref="H140" si="77">$C$48/12</f>
        <v>1.8166666666666667E-3</v>
      </c>
      <c r="I140" s="230">
        <f>(SUM('1.  LRAMVA Summary'!D$54:D$77)+SUM('1.  LRAMVA Summary'!D$78:D$79)*(MONTH($E140)-1)/12)*$H140</f>
        <v>182.34021923966051</v>
      </c>
      <c r="J140" s="230">
        <f>(SUM('1.  LRAMVA Summary'!E$54:E$77)+SUM('1.  LRAMVA Summary'!E$78:E$79)*(MONTH($E140)-1)/12)*$H140</f>
        <v>33.695297298217916</v>
      </c>
      <c r="K140" s="230">
        <f>(SUM('1.  LRAMVA Summary'!F$54:F$77)+SUM('1.  LRAMVA Summary'!F$78:F$79)*(MONTH($E140)-1)/12)*$H140</f>
        <v>-222.20720484417359</v>
      </c>
      <c r="L140" s="230">
        <f>(SUM('1.  LRAMVA Summary'!G$54:G$77)+SUM('1.  LRAMVA Summary'!G$78:G$79)*(MONTH($E140)-1)/12)*$H140</f>
        <v>24.436498351322374</v>
      </c>
      <c r="M140" s="230">
        <f>(SUM('1.  LRAMVA Summary'!H$54:H$77)+SUM('1.  LRAMVA Summary'!H$78:H$79)*(MONTH($E140)-1)/12)*$H140</f>
        <v>-19.050633588077837</v>
      </c>
      <c r="N140" s="230">
        <f>(SUM('1.  LRAMVA Summary'!I$54:I$77)+SUM('1.  LRAMVA Summary'!I$78:I$79)*(MONTH($E140)-1)/12)*$H140</f>
        <v>277.44639033020002</v>
      </c>
      <c r="O140" s="230">
        <f>(SUM('1.  LRAMVA Summary'!J$54:J$77)+SUM('1.  LRAMVA Summary'!J$78:J$79)*(MONTH($E140)-1)/12)*$H140</f>
        <v>-5.0723300896772452</v>
      </c>
      <c r="P140" s="230">
        <f>(SUM('1.  LRAMVA Summary'!K$54:K$77)+SUM('1.  LRAMVA Summary'!K$78:K$79)*(MONTH($E140)-1)/12)*$H140</f>
        <v>-7.1088580774161012E-2</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271.51714811669797</v>
      </c>
    </row>
    <row r="141" spans="2:23" s="9" customFormat="1">
      <c r="B141" s="66"/>
      <c r="E141" s="214">
        <v>43647</v>
      </c>
      <c r="F141" s="214" t="s">
        <v>186</v>
      </c>
      <c r="G141" s="215" t="s">
        <v>68</v>
      </c>
      <c r="H141" s="240">
        <f>$C$49/12</f>
        <v>1.8166666666666667E-3</v>
      </c>
      <c r="I141" s="230">
        <f>(SUM('1.  LRAMVA Summary'!D$54:D$77)+SUM('1.  LRAMVA Summary'!D$78:D$79)*(MONTH($E141)-1)/12)*$H141</f>
        <v>185.63921948247102</v>
      </c>
      <c r="J141" s="230">
        <f>(SUM('1.  LRAMVA Summary'!E$54:E$77)+SUM('1.  LRAMVA Summary'!E$78:E$79)*(MONTH($E141)-1)/12)*$H141</f>
        <v>32.399103399297928</v>
      </c>
      <c r="K141" s="230">
        <f>(SUM('1.  LRAMVA Summary'!F$54:F$77)+SUM('1.  LRAMVA Summary'!F$78:F$79)*(MONTH($E141)-1)/12)*$H141</f>
        <v>-241.16656974255017</v>
      </c>
      <c r="L141" s="230">
        <f>(SUM('1.  LRAMVA Summary'!G$54:G$77)+SUM('1.  LRAMVA Summary'!G$78:G$79)*(MONTH($E141)-1)/12)*$H141</f>
        <v>25.286990705263133</v>
      </c>
      <c r="M141" s="230">
        <f>(SUM('1.  LRAMVA Summary'!H$54:H$77)+SUM('1.  LRAMVA Summary'!H$78:H$79)*(MONTH($E141)-1)/12)*$H141</f>
        <v>-20.500242643649688</v>
      </c>
      <c r="N141" s="230">
        <f>(SUM('1.  LRAMVA Summary'!I$54:I$77)+SUM('1.  LRAMVA Summary'!I$78:I$79)*(MONTH($E141)-1)/12)*$H141</f>
        <v>294.22264697280002</v>
      </c>
      <c r="O141" s="230">
        <f>(SUM('1.  LRAMVA Summary'!J$54:J$77)+SUM('1.  LRAMVA Summary'!J$78:J$79)*(MONTH($E141)-1)/12)*$H141</f>
        <v>-5.4511051760833258</v>
      </c>
      <c r="P141" s="230">
        <f>(SUM('1.  LRAMVA Summary'!K$54:K$77)+SUM('1.  LRAMVA Summary'!K$78:K$79)*(MONTH($E141)-1)/12)*$H141</f>
        <v>-7.6276307003578639E-2</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270.35376669054534</v>
      </c>
    </row>
    <row r="142" spans="2:23" s="9" customFormat="1">
      <c r="B142" s="66"/>
      <c r="E142" s="214">
        <v>43678</v>
      </c>
      <c r="F142" s="214" t="s">
        <v>186</v>
      </c>
      <c r="G142" s="215" t="s">
        <v>68</v>
      </c>
      <c r="H142" s="240">
        <f t="shared" ref="H142" si="78">$C$49/12</f>
        <v>1.8166666666666667E-3</v>
      </c>
      <c r="I142" s="230">
        <f>(SUM('1.  LRAMVA Summary'!D$54:D$77)+SUM('1.  LRAMVA Summary'!D$78:D$79)*(MONTH($E142)-1)/12)*$H142</f>
        <v>188.93821972528156</v>
      </c>
      <c r="J142" s="230">
        <f>(SUM('1.  LRAMVA Summary'!E$54:E$77)+SUM('1.  LRAMVA Summary'!E$78:E$79)*(MONTH($E142)-1)/12)*$H142</f>
        <v>31.10290950037794</v>
      </c>
      <c r="K142" s="230">
        <f>(SUM('1.  LRAMVA Summary'!F$54:F$77)+SUM('1.  LRAMVA Summary'!F$78:F$79)*(MONTH($E142)-1)/12)*$H142</f>
        <v>-260.12593464092674</v>
      </c>
      <c r="L142" s="230">
        <f>(SUM('1.  LRAMVA Summary'!G$54:G$77)+SUM('1.  LRAMVA Summary'!G$78:G$79)*(MONTH($E142)-1)/12)*$H142</f>
        <v>26.137483059203895</v>
      </c>
      <c r="M142" s="230">
        <f>(SUM('1.  LRAMVA Summary'!H$54:H$77)+SUM('1.  LRAMVA Summary'!H$78:H$79)*(MONTH($E142)-1)/12)*$H142</f>
        <v>-21.949851699221544</v>
      </c>
      <c r="N142" s="230">
        <f>(SUM('1.  LRAMVA Summary'!I$54:I$77)+SUM('1.  LRAMVA Summary'!I$78:I$79)*(MONTH($E142)-1)/12)*$H142</f>
        <v>310.99890361540002</v>
      </c>
      <c r="O142" s="230">
        <f>(SUM('1.  LRAMVA Summary'!J$54:J$77)+SUM('1.  LRAMVA Summary'!J$78:J$79)*(MONTH($E142)-1)/12)*$H142</f>
        <v>-5.8298802624894073</v>
      </c>
      <c r="P142" s="230">
        <f>(SUM('1.  LRAMVA Summary'!K$54:K$77)+SUM('1.  LRAMVA Summary'!K$78:K$79)*(MONTH($E142)-1)/12)*$H142</f>
        <v>-8.1464033232996252E-2</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269.19038526439277</v>
      </c>
    </row>
    <row r="143" spans="2:23" s="9" customFormat="1">
      <c r="B143" s="66"/>
      <c r="E143" s="214">
        <v>43709</v>
      </c>
      <c r="F143" s="214" t="s">
        <v>186</v>
      </c>
      <c r="G143" s="215" t="s">
        <v>68</v>
      </c>
      <c r="H143" s="240">
        <f>$C$49/12</f>
        <v>1.8166666666666667E-3</v>
      </c>
      <c r="I143" s="230">
        <f>(SUM('1.  LRAMVA Summary'!D$54:D$77)+SUM('1.  LRAMVA Summary'!D$78:D$79)*(MONTH($E143)-1)/12)*$H143</f>
        <v>192.23721996809209</v>
      </c>
      <c r="J143" s="230">
        <f>(SUM('1.  LRAMVA Summary'!E$54:E$77)+SUM('1.  LRAMVA Summary'!E$78:E$79)*(MONTH($E143)-1)/12)*$H143</f>
        <v>29.806715601457949</v>
      </c>
      <c r="K143" s="230">
        <f>(SUM('1.  LRAMVA Summary'!F$54:F$77)+SUM('1.  LRAMVA Summary'!F$78:F$79)*(MONTH($E143)-1)/12)*$H143</f>
        <v>-279.08529953930332</v>
      </c>
      <c r="L143" s="230">
        <f>(SUM('1.  LRAMVA Summary'!G$54:G$77)+SUM('1.  LRAMVA Summary'!G$78:G$79)*(MONTH($E143)-1)/12)*$H143</f>
        <v>26.987975413144653</v>
      </c>
      <c r="M143" s="230">
        <f>(SUM('1.  LRAMVA Summary'!H$54:H$77)+SUM('1.  LRAMVA Summary'!H$78:H$79)*(MONTH($E143)-1)/12)*$H143</f>
        <v>-23.399460754793392</v>
      </c>
      <c r="N143" s="230">
        <f>(SUM('1.  LRAMVA Summary'!I$54:I$77)+SUM('1.  LRAMVA Summary'!I$78:I$79)*(MONTH($E143)-1)/12)*$H143</f>
        <v>327.77516025800008</v>
      </c>
      <c r="O143" s="230">
        <f>(SUM('1.  LRAMVA Summary'!J$54:J$77)+SUM('1.  LRAMVA Summary'!J$78:J$79)*(MONTH($E143)-1)/12)*$H143</f>
        <v>-6.2086553488954879</v>
      </c>
      <c r="P143" s="230">
        <f>(SUM('1.  LRAMVA Summary'!K$54:K$77)+SUM('1.  LRAMVA Summary'!K$78:K$79)*(MONTH($E143)-1)/12)*$H143</f>
        <v>-8.665175946241388E-2</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268.02700383824015</v>
      </c>
    </row>
    <row r="144" spans="2:23" s="9" customFormat="1">
      <c r="B144" s="66"/>
      <c r="E144" s="214">
        <v>43739</v>
      </c>
      <c r="F144" s="214" t="s">
        <v>186</v>
      </c>
      <c r="G144" s="215" t="s">
        <v>69</v>
      </c>
      <c r="H144" s="240">
        <f>$C$50/12</f>
        <v>1.8166666666666667E-3</v>
      </c>
      <c r="I144" s="230">
        <f>(SUM('1.  LRAMVA Summary'!D$54:D$77)+SUM('1.  LRAMVA Summary'!D$78:D$79)*(MONTH($E144)-1)/12)*$H144</f>
        <v>195.5362202109026</v>
      </c>
      <c r="J144" s="230">
        <f>(SUM('1.  LRAMVA Summary'!E$54:E$77)+SUM('1.  LRAMVA Summary'!E$78:E$79)*(MONTH($E144)-1)/12)*$H144</f>
        <v>28.510521702537961</v>
      </c>
      <c r="K144" s="230">
        <f>(SUM('1.  LRAMVA Summary'!F$54:F$77)+SUM('1.  LRAMVA Summary'!F$78:F$79)*(MONTH($E144)-1)/12)*$H144</f>
        <v>-298.04466443767996</v>
      </c>
      <c r="L144" s="230">
        <f>(SUM('1.  LRAMVA Summary'!G$54:G$77)+SUM('1.  LRAMVA Summary'!G$78:G$79)*(MONTH($E144)-1)/12)*$H144</f>
        <v>27.838467767085419</v>
      </c>
      <c r="M144" s="230">
        <f>(SUM('1.  LRAMVA Summary'!H$54:H$77)+SUM('1.  LRAMVA Summary'!H$78:H$79)*(MONTH($E144)-1)/12)*$H144</f>
        <v>-24.849069810365243</v>
      </c>
      <c r="N144" s="230">
        <f>(SUM('1.  LRAMVA Summary'!I$54:I$77)+SUM('1.  LRAMVA Summary'!I$78:I$79)*(MONTH($E144)-1)/12)*$H144</f>
        <v>344.55141690060003</v>
      </c>
      <c r="O144" s="230">
        <f>(SUM('1.  LRAMVA Summary'!J$54:J$77)+SUM('1.  LRAMVA Summary'!J$78:J$79)*(MONTH($E144)-1)/12)*$H144</f>
        <v>-6.5874304353015694</v>
      </c>
      <c r="P144" s="230">
        <f>(SUM('1.  LRAMVA Summary'!K$54:K$77)+SUM('1.  LRAMVA Summary'!K$78:K$79)*(MONTH($E144)-1)/12)*$H144</f>
        <v>-9.1839485691831479E-2</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266.86362241208747</v>
      </c>
    </row>
    <row r="145" spans="2:23" s="9" customFormat="1">
      <c r="B145" s="66"/>
      <c r="E145" s="214">
        <v>43770</v>
      </c>
      <c r="F145" s="214" t="s">
        <v>186</v>
      </c>
      <c r="G145" s="215" t="s">
        <v>69</v>
      </c>
      <c r="H145" s="240">
        <f t="shared" ref="H145:H146" si="79">$C$50/12</f>
        <v>1.8166666666666667E-3</v>
      </c>
      <c r="I145" s="230">
        <f>(SUM('1.  LRAMVA Summary'!D$54:D$77)+SUM('1.  LRAMVA Summary'!D$78:D$79)*(MONTH($E145)-1)/12)*$H145</f>
        <v>198.83522045371313</v>
      </c>
      <c r="J145" s="230">
        <f>(SUM('1.  LRAMVA Summary'!E$54:E$77)+SUM('1.  LRAMVA Summary'!E$78:E$79)*(MONTH($E145)-1)/12)*$H145</f>
        <v>27.214327803617973</v>
      </c>
      <c r="K145" s="230">
        <f>(SUM('1.  LRAMVA Summary'!F$54:F$77)+SUM('1.  LRAMVA Summary'!F$78:F$79)*(MONTH($E145)-1)/12)*$H145</f>
        <v>-317.00402933605653</v>
      </c>
      <c r="L145" s="230">
        <f>(SUM('1.  LRAMVA Summary'!G$54:G$77)+SUM('1.  LRAMVA Summary'!G$78:G$79)*(MONTH($E145)-1)/12)*$H145</f>
        <v>28.688960121026177</v>
      </c>
      <c r="M145" s="230">
        <f>(SUM('1.  LRAMVA Summary'!H$54:H$77)+SUM('1.  LRAMVA Summary'!H$78:H$79)*(MONTH($E145)-1)/12)*$H145</f>
        <v>-26.298678865937099</v>
      </c>
      <c r="N145" s="230">
        <f>(SUM('1.  LRAMVA Summary'!I$54:I$77)+SUM('1.  LRAMVA Summary'!I$78:I$79)*(MONTH($E145)-1)/12)*$H145</f>
        <v>361.32767354320009</v>
      </c>
      <c r="O145" s="230">
        <f>(SUM('1.  LRAMVA Summary'!J$54:J$77)+SUM('1.  LRAMVA Summary'!J$78:J$79)*(MONTH($E145)-1)/12)*$H145</f>
        <v>-6.96620552170765</v>
      </c>
      <c r="P145" s="230">
        <f>(SUM('1.  LRAMVA Summary'!K$54:K$77)+SUM('1.  LRAMVA Summary'!K$78:K$79)*(MONTH($E145)-1)/12)*$H145</f>
        <v>-9.7027211921249121E-2</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265.70024098593484</v>
      </c>
    </row>
    <row r="146" spans="2:23" s="9" customFormat="1">
      <c r="B146" s="66"/>
      <c r="E146" s="214">
        <v>43800</v>
      </c>
      <c r="F146" s="214" t="s">
        <v>186</v>
      </c>
      <c r="G146" s="215" t="s">
        <v>69</v>
      </c>
      <c r="H146" s="240">
        <f t="shared" si="79"/>
        <v>1.8166666666666667E-3</v>
      </c>
      <c r="I146" s="230">
        <f>(SUM('1.  LRAMVA Summary'!D$54:D$77)+SUM('1.  LRAMVA Summary'!D$78:D$79)*(MONTH($E146)-1)/12)*$H146</f>
        <v>202.13422069652364</v>
      </c>
      <c r="J146" s="230">
        <f>(SUM('1.  LRAMVA Summary'!E$54:E$77)+SUM('1.  LRAMVA Summary'!E$78:E$79)*(MONTH($E146)-1)/12)*$H146</f>
        <v>25.918133904697985</v>
      </c>
      <c r="K146" s="230">
        <f>(SUM('1.  LRAMVA Summary'!F$54:F$77)+SUM('1.  LRAMVA Summary'!F$78:F$79)*(MONTH($E146)-1)/12)*$H146</f>
        <v>-335.96339423443311</v>
      </c>
      <c r="L146" s="230">
        <f>(SUM('1.  LRAMVA Summary'!G$54:G$77)+SUM('1.  LRAMVA Summary'!G$78:G$79)*(MONTH($E146)-1)/12)*$H146</f>
        <v>29.539452474966939</v>
      </c>
      <c r="M146" s="230">
        <f>(SUM('1.  LRAMVA Summary'!H$54:H$77)+SUM('1.  LRAMVA Summary'!H$78:H$79)*(MONTH($E146)-1)/12)*$H146</f>
        <v>-27.748287921508947</v>
      </c>
      <c r="N146" s="230">
        <f>(SUM('1.  LRAMVA Summary'!I$54:I$77)+SUM('1.  LRAMVA Summary'!I$78:I$79)*(MONTH($E146)-1)/12)*$H146</f>
        <v>378.10393018580004</v>
      </c>
      <c r="O146" s="230">
        <f>(SUM('1.  LRAMVA Summary'!J$54:J$77)+SUM('1.  LRAMVA Summary'!J$78:J$79)*(MONTH($E146)-1)/12)*$H146</f>
        <v>-7.3449806081137314</v>
      </c>
      <c r="P146" s="230">
        <f>(SUM('1.  LRAMVA Summary'!K$54:K$77)+SUM('1.  LRAMVA Summary'!K$78:K$79)*(MONTH($E146)-1)/12)*$H146</f>
        <v>-0.10221493815066675</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264.5368595597821</v>
      </c>
    </row>
    <row r="147" spans="2:23" s="9" customFormat="1" ht="15" thickBot="1">
      <c r="B147" s="66"/>
      <c r="E147" s="216" t="s">
        <v>469</v>
      </c>
      <c r="F147" s="216"/>
      <c r="G147" s="217"/>
      <c r="H147" s="218"/>
      <c r="I147" s="219">
        <f>SUM(I134:I146)</f>
        <v>4382.4081638442622</v>
      </c>
      <c r="J147" s="219">
        <f>SUM(J134:J146)</f>
        <v>824.46738168742399</v>
      </c>
      <c r="K147" s="219">
        <f t="shared" ref="K147:O147" si="80">SUM(K134:K146)</f>
        <v>-4110.365691094762</v>
      </c>
      <c r="L147" s="219">
        <f t="shared" si="80"/>
        <v>686.25072760465821</v>
      </c>
      <c r="M147" s="219">
        <f t="shared" si="80"/>
        <v>-356.52406594573682</v>
      </c>
      <c r="N147" s="219">
        <f t="shared" si="80"/>
        <v>3428.1373526950438</v>
      </c>
      <c r="O147" s="219">
        <f t="shared" si="80"/>
        <v>-94.132529857200083</v>
      </c>
      <c r="P147" s="219">
        <f t="shared" ref="P147:V147" si="81">SUM(P134:P146)</f>
        <v>-1.3376696131457761</v>
      </c>
      <c r="Q147" s="219">
        <f t="shared" si="81"/>
        <v>0</v>
      </c>
      <c r="R147" s="219">
        <f t="shared" si="81"/>
        <v>0</v>
      </c>
      <c r="S147" s="219">
        <f t="shared" si="81"/>
        <v>0</v>
      </c>
      <c r="T147" s="219">
        <f t="shared" si="81"/>
        <v>0</v>
      </c>
      <c r="U147" s="219">
        <f t="shared" si="81"/>
        <v>0</v>
      </c>
      <c r="V147" s="219">
        <f t="shared" si="81"/>
        <v>0</v>
      </c>
      <c r="W147" s="219">
        <f>SUM(W134:W146)</f>
        <v>4758.9036693205426</v>
      </c>
    </row>
    <row r="148" spans="2:23" s="9" customFormat="1" ht="15" thickTop="1">
      <c r="B148" s="66"/>
      <c r="E148" s="860" t="s">
        <v>67</v>
      </c>
      <c r="F148" s="860"/>
      <c r="G148" s="861"/>
      <c r="H148" s="862"/>
      <c r="I148" s="858">
        <v>-10637.430654932399</v>
      </c>
      <c r="J148" s="858">
        <v>-1803.9970165178299</v>
      </c>
      <c r="K148" s="858">
        <v>6531.6264604051403</v>
      </c>
      <c r="L148" s="858">
        <v>-3105.0156187020698</v>
      </c>
      <c r="M148" s="858">
        <v>561.92363667215704</v>
      </c>
      <c r="N148" s="858">
        <v>14667.340311162599</v>
      </c>
      <c r="O148" s="858">
        <v>135.49343570645101</v>
      </c>
      <c r="P148" s="858">
        <v>2.07687618399309</v>
      </c>
      <c r="Q148" s="858">
        <v>0</v>
      </c>
      <c r="R148" s="858">
        <v>0</v>
      </c>
      <c r="S148" s="858">
        <v>0</v>
      </c>
      <c r="T148" s="858">
        <v>0</v>
      </c>
      <c r="U148" s="858">
        <v>0</v>
      </c>
      <c r="V148" s="858">
        <v>0</v>
      </c>
      <c r="W148" s="859">
        <f>SUM(I148:P148)</f>
        <v>6352.0174299780429</v>
      </c>
    </row>
    <row r="149" spans="2:23" s="9" customFormat="1">
      <c r="B149" s="66"/>
      <c r="E149" s="225" t="s">
        <v>433</v>
      </c>
      <c r="F149" s="225"/>
      <c r="G149" s="226"/>
      <c r="H149" s="227"/>
      <c r="I149" s="228">
        <f>I147+I148</f>
        <v>-6255.022491088137</v>
      </c>
      <c r="J149" s="228">
        <f t="shared" ref="J149" si="82">J147+J148</f>
        <v>-979.52963483040594</v>
      </c>
      <c r="K149" s="228">
        <f t="shared" ref="K149" si="83">K147+K148</f>
        <v>2421.2607693103782</v>
      </c>
      <c r="L149" s="228">
        <f t="shared" ref="L149" si="84">L147+L148</f>
        <v>-2418.7648910974117</v>
      </c>
      <c r="M149" s="228">
        <f t="shared" ref="M149" si="85">M147+M148</f>
        <v>205.39957072642022</v>
      </c>
      <c r="N149" s="228">
        <f t="shared" ref="N149" si="86">N147+N148</f>
        <v>18095.477663857644</v>
      </c>
      <c r="O149" s="228">
        <f t="shared" ref="O149:V149" si="87">O147+O148</f>
        <v>41.360905849250926</v>
      </c>
      <c r="P149" s="228">
        <f t="shared" si="87"/>
        <v>0.73920657084731389</v>
      </c>
      <c r="Q149" s="228">
        <f t="shared" si="87"/>
        <v>0</v>
      </c>
      <c r="R149" s="228">
        <f t="shared" si="87"/>
        <v>0</v>
      </c>
      <c r="S149" s="228">
        <f t="shared" si="87"/>
        <v>0</v>
      </c>
      <c r="T149" s="228">
        <f t="shared" si="87"/>
        <v>0</v>
      </c>
      <c r="U149" s="228">
        <f t="shared" si="87"/>
        <v>0</v>
      </c>
      <c r="V149" s="228">
        <f t="shared" si="87"/>
        <v>0</v>
      </c>
      <c r="W149" s="228">
        <f>W147+W148</f>
        <v>11110.921099298586</v>
      </c>
    </row>
    <row r="150" spans="2:23" s="9" customFormat="1">
      <c r="B150" s="66"/>
      <c r="E150" s="214">
        <v>43831</v>
      </c>
      <c r="F150" s="214" t="s">
        <v>187</v>
      </c>
      <c r="G150" s="215" t="s">
        <v>65</v>
      </c>
      <c r="H150" s="240">
        <f>$C$51/12</f>
        <v>1.8166666666666667E-3</v>
      </c>
      <c r="I150" s="230">
        <f>(SUM('1.  LRAMVA Summary'!D$54:D$80)+SUM('1.  LRAMVA Summary'!D$81:D$82)*(MONTH($E150)-1)/12)*$H150</f>
        <v>205.43322093933418</v>
      </c>
      <c r="J150" s="230">
        <f>(SUM('1.  LRAMVA Summary'!E$54:E$80)+SUM('1.  LRAMVA Summary'!E$81:E$82)*(MONTH($E150)-1)/12)*$H150</f>
        <v>24.621940005777997</v>
      </c>
      <c r="K150" s="230">
        <f>(SUM('1.  LRAMVA Summary'!F$54:F$80)+SUM('1.  LRAMVA Summary'!F$81:F$82)*(MONTH($E150)-1)/12)*$H150</f>
        <v>-354.92275913280974</v>
      </c>
      <c r="L150" s="230">
        <f>(SUM('1.  LRAMVA Summary'!G$54:G$80)+SUM('1.  LRAMVA Summary'!G$81:G$82)*(MONTH($E150)-1)/12)*$H150</f>
        <v>30.389944828907701</v>
      </c>
      <c r="M150" s="230">
        <f>(SUM('1.  LRAMVA Summary'!H$54:H$80)+SUM('1.  LRAMVA Summary'!H$81:H$82)*(MONTH($E150)-1)/12)*$H150</f>
        <v>-29.197896977080799</v>
      </c>
      <c r="N150" s="230">
        <f>(SUM('1.  LRAMVA Summary'!I$54:I$80)+SUM('1.  LRAMVA Summary'!I$81:I$82)*(MONTH($E150)-1)/12)*$H150</f>
        <v>394.88018682839999</v>
      </c>
      <c r="O150" s="230">
        <f>(SUM('1.  LRAMVA Summary'!J$54:J$80)+SUM('1.  LRAMVA Summary'!J$81:J$82)*(MONTH($E150)-1)/12)*$H150</f>
        <v>-7.7237556945198129</v>
      </c>
      <c r="P150" s="230">
        <f>(SUM('1.  LRAMVA Summary'!K$54:K$80)+SUM('1.  LRAMVA Summary'!K$81:K$82)*(MONTH($E150)-1)/12)*$H150</f>
        <v>-0.10740266438008436</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263.37347813362942</v>
      </c>
    </row>
    <row r="151" spans="2:23" s="9" customFormat="1">
      <c r="B151" s="66"/>
      <c r="E151" s="214">
        <v>43862</v>
      </c>
      <c r="F151" s="214" t="s">
        <v>187</v>
      </c>
      <c r="G151" s="215" t="s">
        <v>65</v>
      </c>
      <c r="H151" s="240">
        <f t="shared" ref="H151:H152" si="88">$C$51/12</f>
        <v>1.8166666666666667E-3</v>
      </c>
      <c r="I151" s="230">
        <f>(SUM('1.  LRAMVA Summary'!D$54:D$80)+SUM('1.  LRAMVA Summary'!D$81:D$82)*(MONTH($E151)-1)/12)*$H151</f>
        <v>205.43322093933418</v>
      </c>
      <c r="J151" s="230">
        <f>(SUM('1.  LRAMVA Summary'!E$54:E$80)+SUM('1.  LRAMVA Summary'!E$81:E$82)*(MONTH($E151)-1)/12)*$H151</f>
        <v>24.621940005777997</v>
      </c>
      <c r="K151" s="230">
        <f>(SUM('1.  LRAMVA Summary'!F$54:F$80)+SUM('1.  LRAMVA Summary'!F$81:F$82)*(MONTH($E151)-1)/12)*$H151</f>
        <v>-354.92275913280974</v>
      </c>
      <c r="L151" s="230">
        <f>(SUM('1.  LRAMVA Summary'!G$54:G$80)+SUM('1.  LRAMVA Summary'!G$81:G$82)*(MONTH($E151)-1)/12)*$H151</f>
        <v>30.389944828907701</v>
      </c>
      <c r="M151" s="230">
        <f>(SUM('1.  LRAMVA Summary'!H$54:H$80)+SUM('1.  LRAMVA Summary'!H$81:H$82)*(MONTH($E151)-1)/12)*$H151</f>
        <v>-29.197896977080799</v>
      </c>
      <c r="N151" s="230">
        <f>(SUM('1.  LRAMVA Summary'!I$54:I$80)+SUM('1.  LRAMVA Summary'!I$81:I$82)*(MONTH($E151)-1)/12)*$H151</f>
        <v>394.88018682839999</v>
      </c>
      <c r="O151" s="230">
        <f>(SUM('1.  LRAMVA Summary'!J$54:J$80)+SUM('1.  LRAMVA Summary'!J$81:J$82)*(MONTH($E151)-1)/12)*$H151</f>
        <v>-7.7237556945198129</v>
      </c>
      <c r="P151" s="230">
        <f>(SUM('1.  LRAMVA Summary'!K$54:K$80)+SUM('1.  LRAMVA Summary'!K$81:K$82)*(MONTH($E151)-1)/12)*$H151</f>
        <v>-0.10740266438008436</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263.37347813362942</v>
      </c>
    </row>
    <row r="152" spans="2:23" s="9" customFormat="1">
      <c r="B152" s="66"/>
      <c r="E152" s="214">
        <v>43891</v>
      </c>
      <c r="F152" s="214" t="s">
        <v>187</v>
      </c>
      <c r="G152" s="215" t="s">
        <v>65</v>
      </c>
      <c r="H152" s="240">
        <f t="shared" si="88"/>
        <v>1.8166666666666667E-3</v>
      </c>
      <c r="I152" s="230">
        <f>(SUM('1.  LRAMVA Summary'!D$54:D$80)+SUM('1.  LRAMVA Summary'!D$81:D$82)*(MONTH($E152)-1)/12)*$H152</f>
        <v>205.43322093933418</v>
      </c>
      <c r="J152" s="230">
        <f>(SUM('1.  LRAMVA Summary'!E$54:E$80)+SUM('1.  LRAMVA Summary'!E$81:E$82)*(MONTH($E152)-1)/12)*$H152</f>
        <v>24.621940005777997</v>
      </c>
      <c r="K152" s="230">
        <f>(SUM('1.  LRAMVA Summary'!F$54:F$80)+SUM('1.  LRAMVA Summary'!F$81:F$82)*(MONTH($E152)-1)/12)*$H152</f>
        <v>-354.92275913280974</v>
      </c>
      <c r="L152" s="230">
        <f>(SUM('1.  LRAMVA Summary'!G$54:G$80)+SUM('1.  LRAMVA Summary'!G$81:G$82)*(MONTH($E152)-1)/12)*$H152</f>
        <v>30.389944828907701</v>
      </c>
      <c r="M152" s="230">
        <f>(SUM('1.  LRAMVA Summary'!H$54:H$80)+SUM('1.  LRAMVA Summary'!H$81:H$82)*(MONTH($E152)-1)/12)*$H152</f>
        <v>-29.197896977080799</v>
      </c>
      <c r="N152" s="230">
        <f>(SUM('1.  LRAMVA Summary'!I$54:I$80)+SUM('1.  LRAMVA Summary'!I$81:I$82)*(MONTH($E152)-1)/12)*$H152</f>
        <v>394.88018682839999</v>
      </c>
      <c r="O152" s="230">
        <f>(SUM('1.  LRAMVA Summary'!J$54:J$80)+SUM('1.  LRAMVA Summary'!J$81:J$82)*(MONTH($E152)-1)/12)*$H152</f>
        <v>-7.7237556945198129</v>
      </c>
      <c r="P152" s="230">
        <f>(SUM('1.  LRAMVA Summary'!K$54:K$80)+SUM('1.  LRAMVA Summary'!K$81:K$82)*(MONTH($E152)-1)/12)*$H152</f>
        <v>-0.10740266438008436</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263.37347813362942</v>
      </c>
    </row>
    <row r="153" spans="2:23" s="9" customFormat="1">
      <c r="B153" s="66"/>
      <c r="E153" s="214">
        <v>43922</v>
      </c>
      <c r="F153" s="214" t="s">
        <v>187</v>
      </c>
      <c r="G153" s="215" t="s">
        <v>66</v>
      </c>
      <c r="H153" s="240">
        <f>$C$52/12</f>
        <v>1.8166666666666667E-3</v>
      </c>
      <c r="I153" s="230">
        <f>(SUM('1.  LRAMVA Summary'!D$54:D$80)+SUM('1.  LRAMVA Summary'!D$81:D$82)*(MONTH($E153)-1)/12)*$H153</f>
        <v>205.43322093933418</v>
      </c>
      <c r="J153" s="230">
        <f>(SUM('1.  LRAMVA Summary'!E$54:E$80)+SUM('1.  LRAMVA Summary'!E$81:E$82)*(MONTH($E153)-1)/12)*$H153</f>
        <v>24.621940005777997</v>
      </c>
      <c r="K153" s="230">
        <f>(SUM('1.  LRAMVA Summary'!F$54:F$80)+SUM('1.  LRAMVA Summary'!F$81:F$82)*(MONTH($E153)-1)/12)*$H153</f>
        <v>-354.92275913280974</v>
      </c>
      <c r="L153" s="230">
        <f>(SUM('1.  LRAMVA Summary'!G$54:G$80)+SUM('1.  LRAMVA Summary'!G$81:G$82)*(MONTH($E153)-1)/12)*$H153</f>
        <v>30.389944828907701</v>
      </c>
      <c r="M153" s="230">
        <f>(SUM('1.  LRAMVA Summary'!H$54:H$80)+SUM('1.  LRAMVA Summary'!H$81:H$82)*(MONTH($E153)-1)/12)*$H153</f>
        <v>-29.197896977080799</v>
      </c>
      <c r="N153" s="230">
        <f>(SUM('1.  LRAMVA Summary'!I$54:I$80)+SUM('1.  LRAMVA Summary'!I$81:I$82)*(MONTH($E153)-1)/12)*$H153</f>
        <v>394.88018682839999</v>
      </c>
      <c r="O153" s="230">
        <f>(SUM('1.  LRAMVA Summary'!J$54:J$80)+SUM('1.  LRAMVA Summary'!J$81:J$82)*(MONTH($E153)-1)/12)*$H153</f>
        <v>-7.7237556945198129</v>
      </c>
      <c r="P153" s="230">
        <f>(SUM('1.  LRAMVA Summary'!K$54:K$80)+SUM('1.  LRAMVA Summary'!K$81:K$82)*(MONTH($E153)-1)/12)*$H153</f>
        <v>-0.10740266438008436</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263.37347813362942</v>
      </c>
    </row>
    <row r="154" spans="2:23" s="9" customFormat="1">
      <c r="B154" s="66"/>
      <c r="E154" s="214">
        <v>43952</v>
      </c>
      <c r="F154" s="214" t="s">
        <v>187</v>
      </c>
      <c r="G154" s="215" t="s">
        <v>66</v>
      </c>
      <c r="H154" s="240">
        <f t="shared" ref="H154:H155" si="90">$C$52/12</f>
        <v>1.8166666666666667E-3</v>
      </c>
      <c r="I154" s="230">
        <f>(SUM('1.  LRAMVA Summary'!D$54:D$80)+SUM('1.  LRAMVA Summary'!D$81:D$82)*(MONTH($E154)-1)/12)*$H154</f>
        <v>205.43322093933418</v>
      </c>
      <c r="J154" s="230">
        <f>(SUM('1.  LRAMVA Summary'!E$54:E$80)+SUM('1.  LRAMVA Summary'!E$81:E$82)*(MONTH($E154)-1)/12)*$H154</f>
        <v>24.621940005777997</v>
      </c>
      <c r="K154" s="230">
        <f>(SUM('1.  LRAMVA Summary'!F$54:F$80)+SUM('1.  LRAMVA Summary'!F$81:F$82)*(MONTH($E154)-1)/12)*$H154</f>
        <v>-354.92275913280974</v>
      </c>
      <c r="L154" s="230">
        <f>(SUM('1.  LRAMVA Summary'!G$54:G$80)+SUM('1.  LRAMVA Summary'!G$81:G$82)*(MONTH($E154)-1)/12)*$H154</f>
        <v>30.389944828907701</v>
      </c>
      <c r="M154" s="230">
        <f>(SUM('1.  LRAMVA Summary'!H$54:H$80)+SUM('1.  LRAMVA Summary'!H$81:H$82)*(MONTH($E154)-1)/12)*$H154</f>
        <v>-29.197896977080799</v>
      </c>
      <c r="N154" s="230">
        <f>(SUM('1.  LRAMVA Summary'!I$54:I$80)+SUM('1.  LRAMVA Summary'!I$81:I$82)*(MONTH($E154)-1)/12)*$H154</f>
        <v>394.88018682839999</v>
      </c>
      <c r="O154" s="230">
        <f>(SUM('1.  LRAMVA Summary'!J$54:J$80)+SUM('1.  LRAMVA Summary'!J$81:J$82)*(MONTH($E154)-1)/12)*$H154</f>
        <v>-7.7237556945198129</v>
      </c>
      <c r="P154" s="230">
        <f>(SUM('1.  LRAMVA Summary'!K$54:K$80)+SUM('1.  LRAMVA Summary'!K$81:K$82)*(MONTH($E154)-1)/12)*$H154</f>
        <v>-0.10740266438008436</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263.37347813362942</v>
      </c>
    </row>
    <row r="155" spans="2:23" s="9" customFormat="1">
      <c r="B155" s="66"/>
      <c r="E155" s="214">
        <v>43983</v>
      </c>
      <c r="F155" s="214" t="s">
        <v>187</v>
      </c>
      <c r="G155" s="215" t="s">
        <v>66</v>
      </c>
      <c r="H155" s="240">
        <f t="shared" si="90"/>
        <v>1.8166666666666667E-3</v>
      </c>
      <c r="I155" s="230">
        <f>(SUM('1.  LRAMVA Summary'!D$54:D$80)+SUM('1.  LRAMVA Summary'!D$81:D$82)*(MONTH($E155)-1)/12)*$H155</f>
        <v>205.43322093933418</v>
      </c>
      <c r="J155" s="230">
        <f>(SUM('1.  LRAMVA Summary'!E$54:E$80)+SUM('1.  LRAMVA Summary'!E$81:E$82)*(MONTH($E155)-1)/12)*$H155</f>
        <v>24.621940005777997</v>
      </c>
      <c r="K155" s="230">
        <f>(SUM('1.  LRAMVA Summary'!F$54:F$80)+SUM('1.  LRAMVA Summary'!F$81:F$82)*(MONTH($E155)-1)/12)*$H155</f>
        <v>-354.92275913280974</v>
      </c>
      <c r="L155" s="230">
        <f>(SUM('1.  LRAMVA Summary'!G$54:G$80)+SUM('1.  LRAMVA Summary'!G$81:G$82)*(MONTH($E155)-1)/12)*$H155</f>
        <v>30.389944828907701</v>
      </c>
      <c r="M155" s="230">
        <f>(SUM('1.  LRAMVA Summary'!H$54:H$80)+SUM('1.  LRAMVA Summary'!H$81:H$82)*(MONTH($E155)-1)/12)*$H155</f>
        <v>-29.197896977080799</v>
      </c>
      <c r="N155" s="230">
        <f>(SUM('1.  LRAMVA Summary'!I$54:I$80)+SUM('1.  LRAMVA Summary'!I$81:I$82)*(MONTH($E155)-1)/12)*$H155</f>
        <v>394.88018682839999</v>
      </c>
      <c r="O155" s="230">
        <f>(SUM('1.  LRAMVA Summary'!J$54:J$80)+SUM('1.  LRAMVA Summary'!J$81:J$82)*(MONTH($E155)-1)/12)*$H155</f>
        <v>-7.7237556945198129</v>
      </c>
      <c r="P155" s="230">
        <f>(SUM('1.  LRAMVA Summary'!K$54:K$80)+SUM('1.  LRAMVA Summary'!K$81:K$82)*(MONTH($E155)-1)/12)*$H155</f>
        <v>-0.10740266438008436</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263.37347813362942</v>
      </c>
    </row>
    <row r="156" spans="2:23" s="9" customFormat="1">
      <c r="B156" s="66"/>
      <c r="E156" s="214">
        <v>44013</v>
      </c>
      <c r="F156" s="214" t="s">
        <v>187</v>
      </c>
      <c r="G156" s="215" t="s">
        <v>68</v>
      </c>
      <c r="H156" s="240">
        <f>$C$53/12</f>
        <v>1.8166666666666667E-3</v>
      </c>
      <c r="I156" s="230">
        <f>(SUM('1.  LRAMVA Summary'!D$54:D$80)+SUM('1.  LRAMVA Summary'!D$81:D$82)*(MONTH($E156)-1)/12)*$H156</f>
        <v>205.43322093933418</v>
      </c>
      <c r="J156" s="230">
        <f>(SUM('1.  LRAMVA Summary'!E$54:E$80)+SUM('1.  LRAMVA Summary'!E$81:E$82)*(MONTH($E156)-1)/12)*$H156</f>
        <v>24.621940005777997</v>
      </c>
      <c r="K156" s="230">
        <f>(SUM('1.  LRAMVA Summary'!F$54:F$80)+SUM('1.  LRAMVA Summary'!F$81:F$82)*(MONTH($E156)-1)/12)*$H156</f>
        <v>-354.92275913280974</v>
      </c>
      <c r="L156" s="230">
        <f>(SUM('1.  LRAMVA Summary'!G$54:G$80)+SUM('1.  LRAMVA Summary'!G$81:G$82)*(MONTH($E156)-1)/12)*$H156</f>
        <v>30.389944828907701</v>
      </c>
      <c r="M156" s="230">
        <f>(SUM('1.  LRAMVA Summary'!H$54:H$80)+SUM('1.  LRAMVA Summary'!H$81:H$82)*(MONTH($E156)-1)/12)*$H156</f>
        <v>-29.197896977080799</v>
      </c>
      <c r="N156" s="230">
        <f>(SUM('1.  LRAMVA Summary'!I$54:I$80)+SUM('1.  LRAMVA Summary'!I$81:I$82)*(MONTH($E156)-1)/12)*$H156</f>
        <v>394.88018682839999</v>
      </c>
      <c r="O156" s="230">
        <f>(SUM('1.  LRAMVA Summary'!J$54:J$80)+SUM('1.  LRAMVA Summary'!J$81:J$82)*(MONTH($E156)-1)/12)*$H156</f>
        <v>-7.7237556945198129</v>
      </c>
      <c r="P156" s="230">
        <f>(SUM('1.  LRAMVA Summary'!K$54:K$80)+SUM('1.  LRAMVA Summary'!K$81:K$82)*(MONTH($E156)-1)/12)*$H156</f>
        <v>-0.10740266438008436</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263.37347813362942</v>
      </c>
    </row>
    <row r="157" spans="2:23" s="9" customFormat="1">
      <c r="B157" s="66"/>
      <c r="E157" s="214">
        <v>44044</v>
      </c>
      <c r="F157" s="214" t="s">
        <v>187</v>
      </c>
      <c r="G157" s="215" t="s">
        <v>68</v>
      </c>
      <c r="H157" s="240">
        <f t="shared" ref="H157:H158" si="91">$C$53/12</f>
        <v>1.8166666666666667E-3</v>
      </c>
      <c r="I157" s="230">
        <f>(SUM('1.  LRAMVA Summary'!D$54:D$80)+SUM('1.  LRAMVA Summary'!D$81:D$82)*(MONTH($E157)-1)/12)*$H157</f>
        <v>205.43322093933418</v>
      </c>
      <c r="J157" s="230">
        <f>(SUM('1.  LRAMVA Summary'!E$54:E$80)+SUM('1.  LRAMVA Summary'!E$81:E$82)*(MONTH($E157)-1)/12)*$H157</f>
        <v>24.621940005777997</v>
      </c>
      <c r="K157" s="230">
        <f>(SUM('1.  LRAMVA Summary'!F$54:F$80)+SUM('1.  LRAMVA Summary'!F$81:F$82)*(MONTH($E157)-1)/12)*$H157</f>
        <v>-354.92275913280974</v>
      </c>
      <c r="L157" s="230">
        <f>(SUM('1.  LRAMVA Summary'!G$54:G$80)+SUM('1.  LRAMVA Summary'!G$81:G$82)*(MONTH($E157)-1)/12)*$H157</f>
        <v>30.389944828907701</v>
      </c>
      <c r="M157" s="230">
        <f>(SUM('1.  LRAMVA Summary'!H$54:H$80)+SUM('1.  LRAMVA Summary'!H$81:H$82)*(MONTH($E157)-1)/12)*$H157</f>
        <v>-29.197896977080799</v>
      </c>
      <c r="N157" s="230">
        <f>(SUM('1.  LRAMVA Summary'!I$54:I$80)+SUM('1.  LRAMVA Summary'!I$81:I$82)*(MONTH($E157)-1)/12)*$H157</f>
        <v>394.88018682839999</v>
      </c>
      <c r="O157" s="230">
        <f>(SUM('1.  LRAMVA Summary'!J$54:J$80)+SUM('1.  LRAMVA Summary'!J$81:J$82)*(MONTH($E157)-1)/12)*$H157</f>
        <v>-7.7237556945198129</v>
      </c>
      <c r="P157" s="230">
        <f>(SUM('1.  LRAMVA Summary'!K$54:K$80)+SUM('1.  LRAMVA Summary'!K$81:K$82)*(MONTH($E157)-1)/12)*$H157</f>
        <v>-0.10740266438008436</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263.37347813362942</v>
      </c>
    </row>
    <row r="158" spans="2:23" s="9" customFormat="1">
      <c r="B158" s="66"/>
      <c r="E158" s="214">
        <v>44075</v>
      </c>
      <c r="F158" s="214" t="s">
        <v>187</v>
      </c>
      <c r="G158" s="215" t="s">
        <v>68</v>
      </c>
      <c r="H158" s="240">
        <f t="shared" si="91"/>
        <v>1.8166666666666667E-3</v>
      </c>
      <c r="I158" s="230">
        <f>(SUM('1.  LRAMVA Summary'!D$54:D$80)+SUM('1.  LRAMVA Summary'!D$81:D$82)*(MONTH($E158)-1)/12)*$H158</f>
        <v>205.43322093933418</v>
      </c>
      <c r="J158" s="230">
        <f>(SUM('1.  LRAMVA Summary'!E$54:E$80)+SUM('1.  LRAMVA Summary'!E$81:E$82)*(MONTH($E158)-1)/12)*$H158</f>
        <v>24.621940005777997</v>
      </c>
      <c r="K158" s="230">
        <f>(SUM('1.  LRAMVA Summary'!F$54:F$80)+SUM('1.  LRAMVA Summary'!F$81:F$82)*(MONTH($E158)-1)/12)*$H158</f>
        <v>-354.92275913280974</v>
      </c>
      <c r="L158" s="230">
        <f>(SUM('1.  LRAMVA Summary'!G$54:G$80)+SUM('1.  LRAMVA Summary'!G$81:G$82)*(MONTH($E158)-1)/12)*$H158</f>
        <v>30.389944828907701</v>
      </c>
      <c r="M158" s="230">
        <f>(SUM('1.  LRAMVA Summary'!H$54:H$80)+SUM('1.  LRAMVA Summary'!H$81:H$82)*(MONTH($E158)-1)/12)*$H158</f>
        <v>-29.197896977080799</v>
      </c>
      <c r="N158" s="230">
        <f>(SUM('1.  LRAMVA Summary'!I$54:I$80)+SUM('1.  LRAMVA Summary'!I$81:I$82)*(MONTH($E158)-1)/12)*$H158</f>
        <v>394.88018682839999</v>
      </c>
      <c r="O158" s="230">
        <f>(SUM('1.  LRAMVA Summary'!J$54:J$80)+SUM('1.  LRAMVA Summary'!J$81:J$82)*(MONTH($E158)-1)/12)*$H158</f>
        <v>-7.7237556945198129</v>
      </c>
      <c r="P158" s="230">
        <f>(SUM('1.  LRAMVA Summary'!K$54:K$80)+SUM('1.  LRAMVA Summary'!K$81:K$82)*(MONTH($E158)-1)/12)*$H158</f>
        <v>-0.10740266438008436</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263.37347813362942</v>
      </c>
    </row>
    <row r="159" spans="2:23" s="9" customFormat="1">
      <c r="B159" s="66"/>
      <c r="E159" s="214">
        <v>44105</v>
      </c>
      <c r="F159" s="214" t="s">
        <v>187</v>
      </c>
      <c r="G159" s="215" t="s">
        <v>69</v>
      </c>
      <c r="H159" s="240">
        <f>$C$54/12</f>
        <v>1.8166666666666667E-3</v>
      </c>
      <c r="I159" s="230">
        <f>(SUM('1.  LRAMVA Summary'!D$54:D$80)+SUM('1.  LRAMVA Summary'!D$81:D$82)*(MONTH($E159)-1)/12)*$H159</f>
        <v>205.43322093933418</v>
      </c>
      <c r="J159" s="230">
        <f>(SUM('1.  LRAMVA Summary'!E$54:E$80)+SUM('1.  LRAMVA Summary'!E$81:E$82)*(MONTH($E159)-1)/12)*$H159</f>
        <v>24.621940005777997</v>
      </c>
      <c r="K159" s="230">
        <f>(SUM('1.  LRAMVA Summary'!F$54:F$80)+SUM('1.  LRAMVA Summary'!F$81:F$82)*(MONTH($E159)-1)/12)*$H159</f>
        <v>-354.92275913280974</v>
      </c>
      <c r="L159" s="230">
        <f>(SUM('1.  LRAMVA Summary'!G$54:G$80)+SUM('1.  LRAMVA Summary'!G$81:G$82)*(MONTH($E159)-1)/12)*$H159</f>
        <v>30.389944828907701</v>
      </c>
      <c r="M159" s="230">
        <f>(SUM('1.  LRAMVA Summary'!H$54:H$80)+SUM('1.  LRAMVA Summary'!H$81:H$82)*(MONTH($E159)-1)/12)*$H159</f>
        <v>-29.197896977080799</v>
      </c>
      <c r="N159" s="230">
        <f>(SUM('1.  LRAMVA Summary'!I$54:I$80)+SUM('1.  LRAMVA Summary'!I$81:I$82)*(MONTH($E159)-1)/12)*$H159</f>
        <v>394.88018682839999</v>
      </c>
      <c r="O159" s="230">
        <f>(SUM('1.  LRAMVA Summary'!J$54:J$80)+SUM('1.  LRAMVA Summary'!J$81:J$82)*(MONTH($E159)-1)/12)*$H159</f>
        <v>-7.7237556945198129</v>
      </c>
      <c r="P159" s="230">
        <f>(SUM('1.  LRAMVA Summary'!K$54:K$80)+SUM('1.  LRAMVA Summary'!K$81:K$82)*(MONTH($E159)-1)/12)*$H159</f>
        <v>-0.10740266438008436</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263.37347813362942</v>
      </c>
    </row>
    <row r="160" spans="2:23" s="9" customFormat="1">
      <c r="B160" s="66"/>
      <c r="E160" s="214">
        <v>44136</v>
      </c>
      <c r="F160" s="214" t="s">
        <v>187</v>
      </c>
      <c r="G160" s="215" t="s">
        <v>69</v>
      </c>
      <c r="H160" s="240">
        <f t="shared" ref="H160:H161" si="92">$C$54/12</f>
        <v>1.8166666666666667E-3</v>
      </c>
      <c r="I160" s="230">
        <f>(SUM('1.  LRAMVA Summary'!D$54:D$80)+SUM('1.  LRAMVA Summary'!D$81:D$82)*(MONTH($E160)-1)/12)*$H160</f>
        <v>205.43322093933418</v>
      </c>
      <c r="J160" s="230">
        <f>(SUM('1.  LRAMVA Summary'!E$54:E$80)+SUM('1.  LRAMVA Summary'!E$81:E$82)*(MONTH($E160)-1)/12)*$H160</f>
        <v>24.621940005777997</v>
      </c>
      <c r="K160" s="230">
        <f>(SUM('1.  LRAMVA Summary'!F$54:F$80)+SUM('1.  LRAMVA Summary'!F$81:F$82)*(MONTH($E160)-1)/12)*$H160</f>
        <v>-354.92275913280974</v>
      </c>
      <c r="L160" s="230">
        <f>(SUM('1.  LRAMVA Summary'!G$54:G$80)+SUM('1.  LRAMVA Summary'!G$81:G$82)*(MONTH($E160)-1)/12)*$H160</f>
        <v>30.389944828907701</v>
      </c>
      <c r="M160" s="230">
        <f>(SUM('1.  LRAMVA Summary'!H$54:H$80)+SUM('1.  LRAMVA Summary'!H$81:H$82)*(MONTH($E160)-1)/12)*$H160</f>
        <v>-29.197896977080799</v>
      </c>
      <c r="N160" s="230">
        <f>(SUM('1.  LRAMVA Summary'!I$54:I$80)+SUM('1.  LRAMVA Summary'!I$81:I$82)*(MONTH($E160)-1)/12)*$H160</f>
        <v>394.88018682839999</v>
      </c>
      <c r="O160" s="230">
        <f>(SUM('1.  LRAMVA Summary'!J$54:J$80)+SUM('1.  LRAMVA Summary'!J$81:J$82)*(MONTH($E160)-1)/12)*$H160</f>
        <v>-7.7237556945198129</v>
      </c>
      <c r="P160" s="230">
        <f>(SUM('1.  LRAMVA Summary'!K$54:K$80)+SUM('1.  LRAMVA Summary'!K$81:K$82)*(MONTH($E160)-1)/12)*$H160</f>
        <v>-0.10740266438008436</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263.37347813362942</v>
      </c>
    </row>
    <row r="161" spans="2:23" s="9" customFormat="1">
      <c r="B161" s="66"/>
      <c r="E161" s="214">
        <v>44166</v>
      </c>
      <c r="F161" s="214" t="s">
        <v>187</v>
      </c>
      <c r="G161" s="215" t="s">
        <v>69</v>
      </c>
      <c r="H161" s="240">
        <f t="shared" si="92"/>
        <v>1.8166666666666667E-3</v>
      </c>
      <c r="I161" s="230">
        <f>(SUM('1.  LRAMVA Summary'!D$54:D$80)+SUM('1.  LRAMVA Summary'!D$81:D$82)*(MONTH($E161)-1)/12)*$H161</f>
        <v>205.43322093933418</v>
      </c>
      <c r="J161" s="230">
        <f>(SUM('1.  LRAMVA Summary'!E$54:E$80)+SUM('1.  LRAMVA Summary'!E$81:E$82)*(MONTH($E161)-1)/12)*$H161</f>
        <v>24.621940005777997</v>
      </c>
      <c r="K161" s="230">
        <f>(SUM('1.  LRAMVA Summary'!F$54:F$80)+SUM('1.  LRAMVA Summary'!F$81:F$82)*(MONTH($E161)-1)/12)*$H161</f>
        <v>-354.92275913280974</v>
      </c>
      <c r="L161" s="230">
        <f>(SUM('1.  LRAMVA Summary'!G$54:G$80)+SUM('1.  LRAMVA Summary'!G$81:G$82)*(MONTH($E161)-1)/12)*$H161</f>
        <v>30.389944828907701</v>
      </c>
      <c r="M161" s="230">
        <f>(SUM('1.  LRAMVA Summary'!H$54:H$80)+SUM('1.  LRAMVA Summary'!H$81:H$82)*(MONTH($E161)-1)/12)*$H161</f>
        <v>-29.197896977080799</v>
      </c>
      <c r="N161" s="230">
        <f>(SUM('1.  LRAMVA Summary'!I$54:I$80)+SUM('1.  LRAMVA Summary'!I$81:I$82)*(MONTH($E161)-1)/12)*$H161</f>
        <v>394.88018682839999</v>
      </c>
      <c r="O161" s="230">
        <f>(SUM('1.  LRAMVA Summary'!J$54:J$80)+SUM('1.  LRAMVA Summary'!J$81:J$82)*(MONTH($E161)-1)/12)*$H161</f>
        <v>-7.7237556945198129</v>
      </c>
      <c r="P161" s="230">
        <f>(SUM('1.  LRAMVA Summary'!K$54:K$80)+SUM('1.  LRAMVA Summary'!K$81:K$82)*(MONTH($E161)-1)/12)*$H161</f>
        <v>-0.10740266438008436</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263.37347813362942</v>
      </c>
    </row>
    <row r="162" spans="2:23" s="9" customFormat="1" ht="15" thickBot="1">
      <c r="B162" s="66"/>
      <c r="E162" s="216" t="s">
        <v>470</v>
      </c>
      <c r="F162" s="216"/>
      <c r="G162" s="217"/>
      <c r="H162" s="218"/>
      <c r="I162" s="219">
        <f>SUM(I149:I161)</f>
        <v>-3789.8238398161266</v>
      </c>
      <c r="J162" s="219">
        <f>SUM(J149:J161)</f>
        <v>-684.06635476106976</v>
      </c>
      <c r="K162" s="219">
        <f t="shared" ref="K162:O162" si="93">SUM(K149:K161)</f>
        <v>-1837.8123402833385</v>
      </c>
      <c r="L162" s="219">
        <f t="shared" si="93"/>
        <v>-2054.0855531505208</v>
      </c>
      <c r="M162" s="219">
        <f t="shared" si="93"/>
        <v>-144.97519299854937</v>
      </c>
      <c r="N162" s="219">
        <f t="shared" si="93"/>
        <v>22834.039905798432</v>
      </c>
      <c r="O162" s="219">
        <f t="shared" si="93"/>
        <v>-51.324162484986815</v>
      </c>
      <c r="P162" s="219">
        <f t="shared" ref="P162:V162" si="94">SUM(P149:P161)</f>
        <v>-0.54962540171369856</v>
      </c>
      <c r="Q162" s="219">
        <f t="shared" si="94"/>
        <v>0</v>
      </c>
      <c r="R162" s="219">
        <f t="shared" si="94"/>
        <v>0</v>
      </c>
      <c r="S162" s="219">
        <f t="shared" si="94"/>
        <v>0</v>
      </c>
      <c r="T162" s="219">
        <f t="shared" si="94"/>
        <v>0</v>
      </c>
      <c r="U162" s="219">
        <f t="shared" si="94"/>
        <v>0</v>
      </c>
      <c r="V162" s="219">
        <f t="shared" si="94"/>
        <v>0</v>
      </c>
      <c r="W162" s="219">
        <f>SUM(W149:W161)</f>
        <v>14271.402836902143</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727</v>
      </c>
      <c r="F164" s="225"/>
      <c r="G164" s="226"/>
      <c r="H164" s="227"/>
      <c r="I164" s="228">
        <f>I162+I163</f>
        <v>-3789.8238398161266</v>
      </c>
      <c r="J164" s="228">
        <f t="shared" ref="J164:U164" si="95">J162+J163</f>
        <v>-684.06635476106976</v>
      </c>
      <c r="K164" s="228">
        <f t="shared" si="95"/>
        <v>-1837.8123402833385</v>
      </c>
      <c r="L164" s="228">
        <f t="shared" si="95"/>
        <v>-2054.0855531505208</v>
      </c>
      <c r="M164" s="228">
        <f t="shared" si="95"/>
        <v>-144.97519299854937</v>
      </c>
      <c r="N164" s="228">
        <f t="shared" si="95"/>
        <v>22834.039905798432</v>
      </c>
      <c r="O164" s="228">
        <f t="shared" si="95"/>
        <v>-51.324162484986815</v>
      </c>
      <c r="P164" s="228">
        <f t="shared" si="95"/>
        <v>-0.54962540171369856</v>
      </c>
      <c r="Q164" s="228">
        <f t="shared" si="95"/>
        <v>0</v>
      </c>
      <c r="R164" s="228">
        <f t="shared" si="95"/>
        <v>0</v>
      </c>
      <c r="S164" s="228">
        <f t="shared" si="95"/>
        <v>0</v>
      </c>
      <c r="T164" s="228">
        <f t="shared" si="95"/>
        <v>0</v>
      </c>
      <c r="U164" s="228">
        <f t="shared" si="95"/>
        <v>0</v>
      </c>
      <c r="V164" s="228">
        <f>V162+V163</f>
        <v>0</v>
      </c>
      <c r="W164" s="228">
        <f>W162+W163</f>
        <v>14271.402836902143</v>
      </c>
    </row>
    <row r="165" spans="2:23">
      <c r="E165" s="214">
        <v>44197</v>
      </c>
      <c r="F165" s="214" t="s">
        <v>733</v>
      </c>
      <c r="G165" s="215" t="s">
        <v>65</v>
      </c>
      <c r="H165" s="240"/>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733</v>
      </c>
      <c r="G166" s="215" t="s">
        <v>65</v>
      </c>
      <c r="H166" s="240"/>
      <c r="I166" s="230">
        <f>(SUM('1.  LRAMVA Summary'!D$54:D$80)+SUM('1.  LRAMVA Summary'!D$81:D$82)*(MONTH($E166)-1)/12)*$H166</f>
        <v>0</v>
      </c>
      <c r="J166" s="230">
        <f>(SUM('1.  LRAMVA Summary'!E$54:E$80)+SUM('1.  LRAMVA Summary'!E$81:E$82)*(MONTH($E166)-1)/12)*$H166</f>
        <v>0</v>
      </c>
      <c r="K166" s="230">
        <f>(SUM('1.  LRAMVA Summary'!F$54:F$80)+SUM('1.  LRAMVA Summary'!F$81:F$82)*(MONTH($E166)-1)/12)*$H166</f>
        <v>0</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0</v>
      </c>
    </row>
    <row r="167" spans="2:23">
      <c r="E167" s="214">
        <v>44256</v>
      </c>
      <c r="F167" s="214" t="s">
        <v>733</v>
      </c>
      <c r="G167" s="215" t="s">
        <v>65</v>
      </c>
      <c r="H167" s="240"/>
      <c r="I167" s="230">
        <f>(SUM('1.  LRAMVA Summary'!D$54:D$80)+SUM('1.  LRAMVA Summary'!D$81:D$82)*(MONTH($E167)-1)/12)*$H167</f>
        <v>0</v>
      </c>
      <c r="J167" s="230">
        <f>(SUM('1.  LRAMVA Summary'!E$54:E$80)+SUM('1.  LRAMVA Summary'!E$81:E$82)*(MONTH($E167)-1)/12)*$H167</f>
        <v>0</v>
      </c>
      <c r="K167" s="230">
        <f>(SUM('1.  LRAMVA Summary'!F$54:F$80)+SUM('1.  LRAMVA Summary'!F$81:F$82)*(MONTH($E167)-1)/12)*$H167</f>
        <v>0</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0</v>
      </c>
    </row>
    <row r="168" spans="2:23">
      <c r="E168" s="214">
        <v>44287</v>
      </c>
      <c r="F168" s="214" t="s">
        <v>733</v>
      </c>
      <c r="G168" s="215" t="s">
        <v>66</v>
      </c>
      <c r="H168" s="240"/>
      <c r="I168" s="230">
        <f>(SUM('1.  LRAMVA Summary'!D$54:D$80)+SUM('1.  LRAMVA Summary'!D$81:D$82)*(MONTH($E168)-1)/12)*$H168</f>
        <v>0</v>
      </c>
      <c r="J168" s="230">
        <f>(SUM('1.  LRAMVA Summary'!E$54:E$80)+SUM('1.  LRAMVA Summary'!E$81:E$82)*(MONTH($E168)-1)/12)*$H168</f>
        <v>0</v>
      </c>
      <c r="K168" s="230">
        <f>(SUM('1.  LRAMVA Summary'!F$54:F$80)+SUM('1.  LRAMVA Summary'!F$81:F$82)*(MONTH($E168)-1)/12)*$H168</f>
        <v>0</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0</v>
      </c>
    </row>
    <row r="169" spans="2:23">
      <c r="E169" s="214">
        <v>44317</v>
      </c>
      <c r="F169" s="214" t="s">
        <v>733</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0</v>
      </c>
    </row>
    <row r="170" spans="2:23">
      <c r="E170" s="214">
        <v>44348</v>
      </c>
      <c r="F170" s="214" t="s">
        <v>733</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733</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733</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733</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733</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733</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733</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 thickBot="1">
      <c r="E177" s="216" t="s">
        <v>728</v>
      </c>
      <c r="F177" s="216"/>
      <c r="G177" s="217"/>
      <c r="H177" s="218"/>
      <c r="I177" s="219">
        <f>SUM(I164:I176)</f>
        <v>-3789.8238398161266</v>
      </c>
      <c r="J177" s="219">
        <f>SUM(J164:J176)</f>
        <v>-684.06635476106976</v>
      </c>
      <c r="K177" s="219">
        <f t="shared" ref="K177:V177" si="97">SUM(K164:K176)</f>
        <v>-1837.8123402833385</v>
      </c>
      <c r="L177" s="219">
        <f t="shared" si="97"/>
        <v>-2054.0855531505208</v>
      </c>
      <c r="M177" s="219">
        <f t="shared" si="97"/>
        <v>-144.97519299854937</v>
      </c>
      <c r="N177" s="219">
        <f t="shared" si="97"/>
        <v>22834.039905798432</v>
      </c>
      <c r="O177" s="219">
        <f t="shared" si="97"/>
        <v>-51.324162484986815</v>
      </c>
      <c r="P177" s="219">
        <f t="shared" si="97"/>
        <v>-0.54962540171369856</v>
      </c>
      <c r="Q177" s="219">
        <f t="shared" si="97"/>
        <v>0</v>
      </c>
      <c r="R177" s="219">
        <f t="shared" si="97"/>
        <v>0</v>
      </c>
      <c r="S177" s="219">
        <f t="shared" si="97"/>
        <v>0</v>
      </c>
      <c r="T177" s="219">
        <f t="shared" si="97"/>
        <v>0</v>
      </c>
      <c r="U177" s="219">
        <f t="shared" si="97"/>
        <v>0</v>
      </c>
      <c r="V177" s="219">
        <f t="shared" si="97"/>
        <v>0</v>
      </c>
      <c r="W177" s="219">
        <f>SUM(W164:W176)</f>
        <v>14271.402836902143</v>
      </c>
    </row>
    <row r="178" spans="5:23" ht="1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729</v>
      </c>
      <c r="F179" s="225"/>
      <c r="G179" s="226"/>
      <c r="H179" s="227"/>
      <c r="I179" s="228">
        <f>I177+I178</f>
        <v>-3789.8238398161266</v>
      </c>
      <c r="J179" s="228">
        <f t="shared" ref="J179:U179" si="98">J177+J178</f>
        <v>-684.06635476106976</v>
      </c>
      <c r="K179" s="228">
        <f t="shared" si="98"/>
        <v>-1837.8123402833385</v>
      </c>
      <c r="L179" s="228">
        <f t="shared" si="98"/>
        <v>-2054.0855531505208</v>
      </c>
      <c r="M179" s="228">
        <f t="shared" si="98"/>
        <v>-144.97519299854937</v>
      </c>
      <c r="N179" s="228">
        <f t="shared" si="98"/>
        <v>22834.039905798432</v>
      </c>
      <c r="O179" s="228">
        <f t="shared" si="98"/>
        <v>-51.324162484986815</v>
      </c>
      <c r="P179" s="228">
        <f t="shared" si="98"/>
        <v>-0.54962540171369856</v>
      </c>
      <c r="Q179" s="228">
        <f t="shared" si="98"/>
        <v>0</v>
      </c>
      <c r="R179" s="228">
        <f t="shared" si="98"/>
        <v>0</v>
      </c>
      <c r="S179" s="228">
        <f t="shared" si="98"/>
        <v>0</v>
      </c>
      <c r="T179" s="228">
        <f t="shared" si="98"/>
        <v>0</v>
      </c>
      <c r="U179" s="228">
        <f t="shared" si="98"/>
        <v>0</v>
      </c>
      <c r="V179" s="228">
        <f>V177+V178</f>
        <v>0</v>
      </c>
      <c r="W179" s="228">
        <f>W177+W178</f>
        <v>14271.402836902143</v>
      </c>
    </row>
    <row r="180" spans="5:23">
      <c r="E180" s="214">
        <v>44562</v>
      </c>
      <c r="F180" s="214" t="s">
        <v>734</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734</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734</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734</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734</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734</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734</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734</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734</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734</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734</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734</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 thickBot="1">
      <c r="E192" s="216" t="s">
        <v>730</v>
      </c>
      <c r="F192" s="216"/>
      <c r="G192" s="217"/>
      <c r="H192" s="218"/>
      <c r="I192" s="219">
        <f>SUM(I179:I191)</f>
        <v>-3789.8238398161266</v>
      </c>
      <c r="J192" s="219">
        <f>SUM(J179:J191)</f>
        <v>-684.06635476106976</v>
      </c>
      <c r="K192" s="219">
        <f t="shared" ref="K192:V192" si="100">SUM(K179:K191)</f>
        <v>-1837.8123402833385</v>
      </c>
      <c r="L192" s="219">
        <f t="shared" si="100"/>
        <v>-2054.0855531505208</v>
      </c>
      <c r="M192" s="219">
        <f t="shared" si="100"/>
        <v>-144.97519299854937</v>
      </c>
      <c r="N192" s="219">
        <f t="shared" si="100"/>
        <v>22834.039905798432</v>
      </c>
      <c r="O192" s="219">
        <f t="shared" si="100"/>
        <v>-51.324162484986815</v>
      </c>
      <c r="P192" s="219">
        <f t="shared" si="100"/>
        <v>-0.54962540171369856</v>
      </c>
      <c r="Q192" s="219">
        <f t="shared" si="100"/>
        <v>0</v>
      </c>
      <c r="R192" s="219">
        <f t="shared" si="100"/>
        <v>0</v>
      </c>
      <c r="S192" s="219">
        <f t="shared" si="100"/>
        <v>0</v>
      </c>
      <c r="T192" s="219">
        <f t="shared" si="100"/>
        <v>0</v>
      </c>
      <c r="U192" s="219">
        <f t="shared" si="100"/>
        <v>0</v>
      </c>
      <c r="V192" s="219">
        <f t="shared" si="100"/>
        <v>0</v>
      </c>
      <c r="W192" s="219">
        <f>SUM(W179:W191)</f>
        <v>14271.402836902143</v>
      </c>
    </row>
    <row r="193" spans="5:23" ht="1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731</v>
      </c>
      <c r="F194" s="225"/>
      <c r="G194" s="226"/>
      <c r="H194" s="227"/>
      <c r="I194" s="228">
        <f>I192+I193</f>
        <v>-3789.8238398161266</v>
      </c>
      <c r="J194" s="228">
        <f t="shared" ref="J194:U194" si="101">J192+J193</f>
        <v>-684.06635476106976</v>
      </c>
      <c r="K194" s="228">
        <f t="shared" si="101"/>
        <v>-1837.8123402833385</v>
      </c>
      <c r="L194" s="228">
        <f t="shared" si="101"/>
        <v>-2054.0855531505208</v>
      </c>
      <c r="M194" s="228">
        <f t="shared" si="101"/>
        <v>-144.97519299854937</v>
      </c>
      <c r="N194" s="228">
        <f t="shared" si="101"/>
        <v>22834.039905798432</v>
      </c>
      <c r="O194" s="228">
        <f t="shared" si="101"/>
        <v>-51.324162484986815</v>
      </c>
      <c r="P194" s="228">
        <f t="shared" si="101"/>
        <v>-0.54962540171369856</v>
      </c>
      <c r="Q194" s="228">
        <f t="shared" si="101"/>
        <v>0</v>
      </c>
      <c r="R194" s="228">
        <f t="shared" si="101"/>
        <v>0</v>
      </c>
      <c r="S194" s="228">
        <f t="shared" si="101"/>
        <v>0</v>
      </c>
      <c r="T194" s="228">
        <f t="shared" si="101"/>
        <v>0</v>
      </c>
      <c r="U194" s="228">
        <f t="shared" si="101"/>
        <v>0</v>
      </c>
      <c r="V194" s="228">
        <f>V192+V193</f>
        <v>0</v>
      </c>
      <c r="W194" s="228">
        <f>W192+W193</f>
        <v>14271.402836902143</v>
      </c>
    </row>
    <row r="195" spans="5:23">
      <c r="E195" s="214">
        <v>44927</v>
      </c>
      <c r="F195" s="214" t="s">
        <v>735</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735</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735</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735</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735</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735</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735</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735</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735</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735</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735</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735</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 thickBot="1">
      <c r="E207" s="216" t="s">
        <v>732</v>
      </c>
      <c r="F207" s="216"/>
      <c r="G207" s="217"/>
      <c r="H207" s="218"/>
      <c r="I207" s="219">
        <f>SUM(I194:I206)</f>
        <v>-3789.8238398161266</v>
      </c>
      <c r="J207" s="219">
        <f>SUM(J194:J206)</f>
        <v>-684.06635476106976</v>
      </c>
      <c r="K207" s="219">
        <f t="shared" ref="K207:V207" si="103">SUM(K194:K206)</f>
        <v>-1837.8123402833385</v>
      </c>
      <c r="L207" s="219">
        <f t="shared" si="103"/>
        <v>-2054.0855531505208</v>
      </c>
      <c r="M207" s="219">
        <f t="shared" si="103"/>
        <v>-144.97519299854937</v>
      </c>
      <c r="N207" s="219">
        <f t="shared" si="103"/>
        <v>22834.039905798432</v>
      </c>
      <c r="O207" s="219">
        <f t="shared" si="103"/>
        <v>-51.324162484986815</v>
      </c>
      <c r="P207" s="219">
        <f t="shared" si="103"/>
        <v>-0.54962540171369856</v>
      </c>
      <c r="Q207" s="219">
        <f t="shared" si="103"/>
        <v>0</v>
      </c>
      <c r="R207" s="219">
        <f t="shared" si="103"/>
        <v>0</v>
      </c>
      <c r="S207" s="219">
        <f t="shared" si="103"/>
        <v>0</v>
      </c>
      <c r="T207" s="219">
        <f t="shared" si="103"/>
        <v>0</v>
      </c>
      <c r="U207" s="219">
        <f t="shared" si="103"/>
        <v>0</v>
      </c>
      <c r="V207" s="219">
        <f t="shared" si="103"/>
        <v>0</v>
      </c>
      <c r="W207" s="219">
        <f>SUM(W194:W206)</f>
        <v>14271.402836902143</v>
      </c>
    </row>
    <row r="208" spans="5:23" ht="1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750</v>
      </c>
      <c r="F209" s="225"/>
      <c r="G209" s="226"/>
      <c r="H209" s="227"/>
      <c r="I209" s="228">
        <f>I207+I208</f>
        <v>-3789.8238398161266</v>
      </c>
      <c r="J209" s="228">
        <f t="shared" ref="J209:U209" si="104">J207+J208</f>
        <v>-684.06635476106976</v>
      </c>
      <c r="K209" s="228">
        <f t="shared" si="104"/>
        <v>-1837.8123402833385</v>
      </c>
      <c r="L209" s="228">
        <f t="shared" si="104"/>
        <v>-2054.0855531505208</v>
      </c>
      <c r="M209" s="228">
        <f t="shared" si="104"/>
        <v>-144.97519299854937</v>
      </c>
      <c r="N209" s="228">
        <f t="shared" si="104"/>
        <v>22834.039905798432</v>
      </c>
      <c r="O209" s="228">
        <f t="shared" si="104"/>
        <v>-51.324162484986815</v>
      </c>
      <c r="P209" s="228">
        <f t="shared" si="104"/>
        <v>-0.54962540171369856</v>
      </c>
      <c r="Q209" s="228">
        <f t="shared" si="104"/>
        <v>0</v>
      </c>
      <c r="R209" s="228">
        <f t="shared" si="104"/>
        <v>0</v>
      </c>
      <c r="S209" s="228">
        <f t="shared" si="104"/>
        <v>0</v>
      </c>
      <c r="T209" s="228">
        <f t="shared" si="104"/>
        <v>0</v>
      </c>
      <c r="U209" s="228">
        <f t="shared" si="104"/>
        <v>0</v>
      </c>
      <c r="V209" s="228">
        <f>V207+V208</f>
        <v>0</v>
      </c>
      <c r="W209" s="228">
        <f>W207+W208</f>
        <v>14271.402836902143</v>
      </c>
    </row>
    <row r="210" spans="5:23">
      <c r="E210" s="214">
        <v>45292</v>
      </c>
      <c r="F210" s="214" t="s">
        <v>754</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754</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754</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754</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754</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754</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754</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754</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754</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754</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754</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754</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 thickBot="1">
      <c r="E222" s="216" t="s">
        <v>752</v>
      </c>
      <c r="F222" s="216"/>
      <c r="G222" s="217"/>
      <c r="H222" s="218"/>
      <c r="I222" s="219">
        <f>SUM(I209:I221)</f>
        <v>-3789.8238398161266</v>
      </c>
      <c r="J222" s="219">
        <f>SUM(J209:J221)</f>
        <v>-684.06635476106976</v>
      </c>
      <c r="K222" s="219">
        <f t="shared" ref="K222:V222" si="106">SUM(K209:K221)</f>
        <v>-1837.8123402833385</v>
      </c>
      <c r="L222" s="219">
        <f t="shared" si="106"/>
        <v>-2054.0855531505208</v>
      </c>
      <c r="M222" s="219">
        <f t="shared" si="106"/>
        <v>-144.97519299854937</v>
      </c>
      <c r="N222" s="219">
        <f t="shared" si="106"/>
        <v>22834.039905798432</v>
      </c>
      <c r="O222" s="219">
        <f t="shared" si="106"/>
        <v>-51.324162484986815</v>
      </c>
      <c r="P222" s="219">
        <f t="shared" si="106"/>
        <v>-0.54962540171369856</v>
      </c>
      <c r="Q222" s="219">
        <f t="shared" si="106"/>
        <v>0</v>
      </c>
      <c r="R222" s="219">
        <f t="shared" si="106"/>
        <v>0</v>
      </c>
      <c r="S222" s="219">
        <f t="shared" si="106"/>
        <v>0</v>
      </c>
      <c r="T222" s="219">
        <f t="shared" si="106"/>
        <v>0</v>
      </c>
      <c r="U222" s="219">
        <f t="shared" si="106"/>
        <v>0</v>
      </c>
      <c r="V222" s="219">
        <f t="shared" si="106"/>
        <v>0</v>
      </c>
      <c r="W222" s="219">
        <f>SUM(W209:W221)</f>
        <v>14271.402836902143</v>
      </c>
    </row>
    <row r="223" spans="5:23" ht="1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751</v>
      </c>
      <c r="F224" s="225"/>
      <c r="G224" s="226"/>
      <c r="H224" s="227"/>
      <c r="I224" s="228">
        <f>I222+I223</f>
        <v>-3789.8238398161266</v>
      </c>
      <c r="J224" s="228">
        <f t="shared" ref="J224:U224" si="107">J222+J223</f>
        <v>-684.06635476106976</v>
      </c>
      <c r="K224" s="228">
        <f t="shared" si="107"/>
        <v>-1837.8123402833385</v>
      </c>
      <c r="L224" s="228">
        <f t="shared" si="107"/>
        <v>-2054.0855531505208</v>
      </c>
      <c r="M224" s="228">
        <f t="shared" si="107"/>
        <v>-144.97519299854937</v>
      </c>
      <c r="N224" s="228">
        <f t="shared" si="107"/>
        <v>22834.039905798432</v>
      </c>
      <c r="O224" s="228">
        <f t="shared" si="107"/>
        <v>-51.324162484986815</v>
      </c>
      <c r="P224" s="228">
        <f t="shared" si="107"/>
        <v>-0.54962540171369856</v>
      </c>
      <c r="Q224" s="228">
        <f t="shared" si="107"/>
        <v>0</v>
      </c>
      <c r="R224" s="228">
        <f t="shared" si="107"/>
        <v>0</v>
      </c>
      <c r="S224" s="228">
        <f t="shared" si="107"/>
        <v>0</v>
      </c>
      <c r="T224" s="228">
        <f t="shared" si="107"/>
        <v>0</v>
      </c>
      <c r="U224" s="228">
        <f t="shared" si="107"/>
        <v>0</v>
      </c>
      <c r="V224" s="228">
        <f>V222+V223</f>
        <v>0</v>
      </c>
      <c r="W224" s="228">
        <f>W222+W223</f>
        <v>14271.402836902143</v>
      </c>
    </row>
    <row r="225" spans="5:23">
      <c r="E225" s="214">
        <v>45658</v>
      </c>
      <c r="F225" s="214" t="s">
        <v>755</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755</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755</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755</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755</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755</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755</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755</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755</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755</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755</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755</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 thickBot="1">
      <c r="E237" s="216" t="s">
        <v>753</v>
      </c>
      <c r="F237" s="216"/>
      <c r="G237" s="217"/>
      <c r="H237" s="218"/>
      <c r="I237" s="219">
        <f>SUM(I224:I236)</f>
        <v>-3789.8238398161266</v>
      </c>
      <c r="J237" s="219">
        <f>SUM(J224:J236)</f>
        <v>-684.06635476106976</v>
      </c>
      <c r="K237" s="219">
        <f t="shared" ref="K237:U237" si="109">SUM(K224:K236)</f>
        <v>-1837.8123402833385</v>
      </c>
      <c r="L237" s="219">
        <f t="shared" si="109"/>
        <v>-2054.0855531505208</v>
      </c>
      <c r="M237" s="219">
        <f>SUM(M224:M236)</f>
        <v>-144.97519299854937</v>
      </c>
      <c r="N237" s="219">
        <f t="shared" si="109"/>
        <v>22834.039905798432</v>
      </c>
      <c r="O237" s="219">
        <f t="shared" si="109"/>
        <v>-51.324162484986815</v>
      </c>
      <c r="P237" s="219">
        <f t="shared" si="109"/>
        <v>-0.54962540171369856</v>
      </c>
      <c r="Q237" s="219">
        <f t="shared" si="109"/>
        <v>0</v>
      </c>
      <c r="R237" s="219">
        <f t="shared" si="109"/>
        <v>0</v>
      </c>
      <c r="S237" s="219">
        <f t="shared" si="109"/>
        <v>0</v>
      </c>
      <c r="T237" s="219">
        <f t="shared" si="109"/>
        <v>0</v>
      </c>
      <c r="U237" s="219">
        <f t="shared" si="109"/>
        <v>0</v>
      </c>
      <c r="V237" s="219">
        <f>SUM(V224:V236)</f>
        <v>0</v>
      </c>
      <c r="W237" s="219">
        <f>SUM(W224:W236)</f>
        <v>14271.402836902143</v>
      </c>
    </row>
    <row r="238" spans="5:23" ht="1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0866141732283472" right="0.70866141732283472" top="0.74803149606299213" bottom="0.74803149606299213" header="0.31496062992125984" footer="0.31496062992125984"/>
  <pageSetup paperSize="3" scale="59" fitToHeight="0" orientation="landscape" r:id="rId2"/>
  <headerFooter>
    <oddFooter>&amp;R&amp;P</oddFooter>
  </headerFooter>
  <rowBreaks count="3" manualBreakCount="3">
    <brk id="43" max="16383" man="1"/>
    <brk id="118" max="16383" man="1"/>
    <brk id="193" max="16383" man="1"/>
  </rowBreaks>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BU123"/>
  <sheetViews>
    <sheetView tabSelected="1" topLeftCell="A58" zoomScale="60" zoomScaleNormal="60" workbookViewId="0">
      <selection activeCell="F123" sqref="F123"/>
    </sheetView>
  </sheetViews>
  <sheetFormatPr defaultColWidth="9.08984375" defaultRowHeight="14.5" outlineLevelRow="1"/>
  <cols>
    <col min="1" max="1" width="5.90625" style="12" customWidth="1"/>
    <col min="2" max="2" width="24.36328125" style="12" customWidth="1"/>
    <col min="3" max="3" width="29.36328125" style="12" bestFit="1" customWidth="1"/>
    <col min="4" max="4" width="67.08984375" style="12" customWidth="1"/>
    <col min="5" max="5" width="14.1796875" style="12" customWidth="1"/>
    <col min="6" max="6" width="16.453125" style="12" customWidth="1"/>
    <col min="7" max="7" width="7" style="12" customWidth="1"/>
    <col min="8" max="8" width="19.453125" style="12" customWidth="1"/>
    <col min="9" max="10" width="23" style="635" customWidth="1"/>
    <col min="11" max="11" width="2" style="16" customWidth="1"/>
    <col min="12" max="41" width="9.08984375" style="12"/>
    <col min="42" max="42" width="2.08984375" style="12" customWidth="1"/>
    <col min="43" max="43" width="12.54296875" style="12" customWidth="1"/>
    <col min="44" max="64" width="12" style="12" bestFit="1" customWidth="1"/>
    <col min="65" max="65" width="14.453125" style="12" customWidth="1"/>
    <col min="66" max="66" width="13.1796875" style="12" customWidth="1"/>
    <col min="67" max="72" width="9.08984375" style="12"/>
    <col min="73" max="73" width="9.08984375" style="16"/>
    <col min="74" max="16384" width="9.089843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551</v>
      </c>
      <c r="I14" s="12"/>
      <c r="J14" s="12"/>
      <c r="BU14" s="12"/>
    </row>
    <row r="15" spans="2:73" ht="26.25" customHeight="1" outlineLevel="1">
      <c r="C15" s="90"/>
      <c r="I15" s="12"/>
      <c r="J15" s="12"/>
    </row>
    <row r="16" spans="2:73" ht="23.25" customHeight="1" outlineLevel="1">
      <c r="B16" s="116" t="s">
        <v>505</v>
      </c>
      <c r="C16" s="90"/>
      <c r="D16" s="615" t="s">
        <v>615</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87" t="s">
        <v>609</v>
      </c>
      <c r="C17" s="90"/>
      <c r="D17" s="611" t="s">
        <v>587</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622</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621</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623</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0" t="s">
        <v>633</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5">
      <c r="B23" s="182" t="s">
        <v>592</v>
      </c>
      <c r="H23" s="10"/>
      <c r="I23" s="10"/>
      <c r="J23" s="10"/>
    </row>
    <row r="24" spans="2:73" s="670" customFormat="1" ht="21" customHeight="1">
      <c r="B24" s="699" t="s">
        <v>596</v>
      </c>
      <c r="C24" s="934" t="s">
        <v>597</v>
      </c>
      <c r="D24" s="934"/>
      <c r="E24" s="934"/>
      <c r="F24" s="934"/>
      <c r="G24" s="934"/>
      <c r="H24" s="678" t="s">
        <v>594</v>
      </c>
      <c r="I24" s="678" t="s">
        <v>593</v>
      </c>
      <c r="J24" s="678" t="s">
        <v>595</v>
      </c>
      <c r="K24" s="669"/>
      <c r="L24" s="670" t="s">
        <v>597</v>
      </c>
      <c r="AQ24" s="670" t="s">
        <v>597</v>
      </c>
      <c r="BU24" s="669"/>
    </row>
    <row r="25" spans="2:73" s="250" customFormat="1" ht="49.5" customHeight="1">
      <c r="B25" s="245" t="s">
        <v>473</v>
      </c>
      <c r="C25" s="245" t="s">
        <v>211</v>
      </c>
      <c r="D25" s="628" t="s">
        <v>474</v>
      </c>
      <c r="E25" s="245" t="s">
        <v>208</v>
      </c>
      <c r="F25" s="245" t="s">
        <v>475</v>
      </c>
      <c r="G25" s="245" t="s">
        <v>476</v>
      </c>
      <c r="H25" s="628" t="s">
        <v>477</v>
      </c>
      <c r="I25" s="636" t="s">
        <v>585</v>
      </c>
      <c r="J25" s="643" t="s">
        <v>586</v>
      </c>
      <c r="K25" s="641"/>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48" customHeight="1">
      <c r="B26" s="251"/>
      <c r="C26" s="251"/>
      <c r="D26" s="251"/>
      <c r="E26" s="251"/>
      <c r="F26" s="251"/>
      <c r="G26" s="251"/>
      <c r="H26" s="688"/>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5">
      <c r="B27" s="689"/>
      <c r="C27" s="689" t="s">
        <v>789</v>
      </c>
      <c r="D27" s="804" t="s">
        <v>109</v>
      </c>
      <c r="E27" s="689" t="s">
        <v>790</v>
      </c>
      <c r="F27" s="689" t="s">
        <v>490</v>
      </c>
      <c r="G27" s="689"/>
      <c r="H27" s="689">
        <v>2015</v>
      </c>
      <c r="I27" s="644" t="s">
        <v>579</v>
      </c>
      <c r="J27" s="644" t="s">
        <v>591</v>
      </c>
      <c r="K27" s="633"/>
      <c r="L27" s="693"/>
      <c r="M27" s="694"/>
      <c r="N27" s="694"/>
      <c r="O27" s="694"/>
      <c r="P27" s="694">
        <v>20</v>
      </c>
      <c r="Q27" s="694">
        <v>20</v>
      </c>
      <c r="R27" s="694">
        <v>20</v>
      </c>
      <c r="S27" s="694">
        <v>20</v>
      </c>
      <c r="T27" s="694">
        <v>20</v>
      </c>
      <c r="U27" s="694">
        <v>20</v>
      </c>
      <c r="V27" s="694">
        <v>20</v>
      </c>
      <c r="W27" s="694">
        <v>20</v>
      </c>
      <c r="X27" s="694">
        <v>20</v>
      </c>
      <c r="Y27" s="694">
        <v>20</v>
      </c>
      <c r="Z27" s="694">
        <v>0</v>
      </c>
      <c r="AA27" s="694">
        <v>0</v>
      </c>
      <c r="AB27" s="694">
        <v>0</v>
      </c>
      <c r="AC27" s="694">
        <v>0</v>
      </c>
      <c r="AD27" s="694">
        <v>0</v>
      </c>
      <c r="AE27" s="694">
        <v>0</v>
      </c>
      <c r="AF27" s="694">
        <v>0</v>
      </c>
      <c r="AG27" s="694">
        <v>0</v>
      </c>
      <c r="AH27" s="694">
        <v>0</v>
      </c>
      <c r="AI27" s="694">
        <v>0</v>
      </c>
      <c r="AJ27" s="694"/>
      <c r="AK27" s="694"/>
      <c r="AL27" s="694"/>
      <c r="AM27" s="694"/>
      <c r="AN27" s="694"/>
      <c r="AO27" s="695"/>
      <c r="AP27" s="633"/>
      <c r="AQ27" s="693"/>
      <c r="AR27" s="694"/>
      <c r="AS27" s="694"/>
      <c r="AT27" s="694"/>
      <c r="AU27" s="694">
        <v>354721</v>
      </c>
      <c r="AV27" s="694">
        <v>354721</v>
      </c>
      <c r="AW27" s="694">
        <v>354721</v>
      </c>
      <c r="AX27" s="694">
        <v>354721</v>
      </c>
      <c r="AY27" s="694">
        <v>354721</v>
      </c>
      <c r="AZ27" s="694">
        <v>354721</v>
      </c>
      <c r="BA27" s="694">
        <v>354721</v>
      </c>
      <c r="BB27" s="694">
        <v>354721</v>
      </c>
      <c r="BC27" s="694">
        <v>354721</v>
      </c>
      <c r="BD27" s="694">
        <v>354721</v>
      </c>
      <c r="BE27" s="694">
        <v>0</v>
      </c>
      <c r="BF27" s="694">
        <v>0</v>
      </c>
      <c r="BG27" s="694">
        <v>0</v>
      </c>
      <c r="BH27" s="694">
        <v>0</v>
      </c>
      <c r="BI27" s="694">
        <v>0</v>
      </c>
      <c r="BJ27" s="694">
        <v>0</v>
      </c>
      <c r="BK27" s="694">
        <v>0</v>
      </c>
      <c r="BL27" s="694">
        <v>0</v>
      </c>
      <c r="BM27" s="694">
        <v>0</v>
      </c>
      <c r="BN27" s="694">
        <v>0</v>
      </c>
      <c r="BO27" s="694">
        <v>0</v>
      </c>
      <c r="BP27" s="694"/>
      <c r="BQ27" s="694"/>
      <c r="BR27" s="694"/>
      <c r="BS27" s="694"/>
      <c r="BT27" s="695"/>
      <c r="BU27" s="16"/>
    </row>
    <row r="28" spans="2:73" s="17" customFormat="1" ht="15.5">
      <c r="B28" s="689"/>
      <c r="C28" s="689" t="s">
        <v>29</v>
      </c>
      <c r="D28" s="804" t="s">
        <v>97</v>
      </c>
      <c r="E28" s="689" t="s">
        <v>790</v>
      </c>
      <c r="F28" s="689" t="s">
        <v>29</v>
      </c>
      <c r="G28" s="689" t="s">
        <v>791</v>
      </c>
      <c r="H28" s="689">
        <v>2015</v>
      </c>
      <c r="I28" s="644" t="s">
        <v>579</v>
      </c>
      <c r="J28" s="644" t="s">
        <v>591</v>
      </c>
      <c r="K28" s="633"/>
      <c r="L28" s="693"/>
      <c r="M28" s="694"/>
      <c r="N28" s="694"/>
      <c r="O28" s="694"/>
      <c r="P28" s="694">
        <v>1</v>
      </c>
      <c r="Q28" s="694">
        <v>1</v>
      </c>
      <c r="R28" s="694">
        <v>1</v>
      </c>
      <c r="S28" s="694">
        <v>1</v>
      </c>
      <c r="T28" s="694">
        <v>1</v>
      </c>
      <c r="U28" s="694">
        <v>0</v>
      </c>
      <c r="V28" s="694">
        <v>0</v>
      </c>
      <c r="W28" s="694">
        <v>0</v>
      </c>
      <c r="X28" s="694">
        <v>0</v>
      </c>
      <c r="Y28" s="694">
        <v>0</v>
      </c>
      <c r="Z28" s="694">
        <v>0</v>
      </c>
      <c r="AA28" s="694">
        <v>0</v>
      </c>
      <c r="AB28" s="694">
        <v>0</v>
      </c>
      <c r="AC28" s="694">
        <v>0</v>
      </c>
      <c r="AD28" s="694">
        <v>0</v>
      </c>
      <c r="AE28" s="694">
        <v>0</v>
      </c>
      <c r="AF28" s="694">
        <v>0</v>
      </c>
      <c r="AG28" s="694">
        <v>0</v>
      </c>
      <c r="AH28" s="694">
        <v>0</v>
      </c>
      <c r="AI28" s="694">
        <v>0</v>
      </c>
      <c r="AJ28" s="694"/>
      <c r="AK28" s="694"/>
      <c r="AL28" s="694"/>
      <c r="AM28" s="694"/>
      <c r="AN28" s="694"/>
      <c r="AO28" s="695"/>
      <c r="AP28" s="633"/>
      <c r="AQ28" s="693"/>
      <c r="AR28" s="694"/>
      <c r="AS28" s="694"/>
      <c r="AT28" s="694"/>
      <c r="AU28" s="694">
        <v>9670</v>
      </c>
      <c r="AV28" s="694">
        <v>9670</v>
      </c>
      <c r="AW28" s="694">
        <v>9670</v>
      </c>
      <c r="AX28" s="694">
        <v>9670</v>
      </c>
      <c r="AY28" s="694">
        <v>4070</v>
      </c>
      <c r="AZ28" s="694">
        <v>0</v>
      </c>
      <c r="BA28" s="694">
        <v>0</v>
      </c>
      <c r="BB28" s="694">
        <v>0</v>
      </c>
      <c r="BC28" s="694">
        <v>0</v>
      </c>
      <c r="BD28" s="694">
        <v>0</v>
      </c>
      <c r="BE28" s="694">
        <v>0</v>
      </c>
      <c r="BF28" s="694">
        <v>0</v>
      </c>
      <c r="BG28" s="694">
        <v>0</v>
      </c>
      <c r="BH28" s="694">
        <v>0</v>
      </c>
      <c r="BI28" s="694">
        <v>0</v>
      </c>
      <c r="BJ28" s="694">
        <v>0</v>
      </c>
      <c r="BK28" s="694">
        <v>0</v>
      </c>
      <c r="BL28" s="694">
        <v>0</v>
      </c>
      <c r="BM28" s="694">
        <v>0</v>
      </c>
      <c r="BN28" s="694">
        <v>0</v>
      </c>
      <c r="BO28" s="694">
        <v>0</v>
      </c>
      <c r="BP28" s="694"/>
      <c r="BQ28" s="694"/>
      <c r="BR28" s="694"/>
      <c r="BS28" s="694"/>
      <c r="BT28" s="695"/>
      <c r="BU28" s="16"/>
    </row>
    <row r="29" spans="2:73" s="17" customFormat="1" ht="16.5" customHeight="1">
      <c r="B29" s="689"/>
      <c r="C29" s="689" t="s">
        <v>29</v>
      </c>
      <c r="D29" s="804" t="s">
        <v>95</v>
      </c>
      <c r="E29" s="689" t="s">
        <v>790</v>
      </c>
      <c r="F29" s="689" t="s">
        <v>29</v>
      </c>
      <c r="G29" s="689" t="s">
        <v>791</v>
      </c>
      <c r="H29" s="689">
        <v>2015</v>
      </c>
      <c r="I29" s="644" t="s">
        <v>579</v>
      </c>
      <c r="J29" s="644" t="s">
        <v>591</v>
      </c>
      <c r="K29" s="633"/>
      <c r="L29" s="693"/>
      <c r="M29" s="694"/>
      <c r="N29" s="694"/>
      <c r="O29" s="694"/>
      <c r="P29" s="694">
        <v>41</v>
      </c>
      <c r="Q29" s="694">
        <v>40</v>
      </c>
      <c r="R29" s="694">
        <v>40</v>
      </c>
      <c r="S29" s="694">
        <v>40</v>
      </c>
      <c r="T29" s="694">
        <v>40</v>
      </c>
      <c r="U29" s="694">
        <v>40</v>
      </c>
      <c r="V29" s="694">
        <v>40</v>
      </c>
      <c r="W29" s="694">
        <v>40</v>
      </c>
      <c r="X29" s="694">
        <v>40</v>
      </c>
      <c r="Y29" s="694">
        <v>40</v>
      </c>
      <c r="Z29" s="694">
        <v>36</v>
      </c>
      <c r="AA29" s="694">
        <v>36</v>
      </c>
      <c r="AB29" s="694">
        <v>36</v>
      </c>
      <c r="AC29" s="694">
        <v>36</v>
      </c>
      <c r="AD29" s="694">
        <v>36</v>
      </c>
      <c r="AE29" s="694">
        <v>36</v>
      </c>
      <c r="AF29" s="694">
        <v>13</v>
      </c>
      <c r="AG29" s="694">
        <v>13</v>
      </c>
      <c r="AH29" s="694">
        <v>13</v>
      </c>
      <c r="AI29" s="694">
        <v>13</v>
      </c>
      <c r="AJ29" s="694"/>
      <c r="AK29" s="694"/>
      <c r="AL29" s="694"/>
      <c r="AM29" s="694"/>
      <c r="AN29" s="694"/>
      <c r="AO29" s="695"/>
      <c r="AP29" s="633"/>
      <c r="AQ29" s="693"/>
      <c r="AR29" s="694"/>
      <c r="AS29" s="694"/>
      <c r="AT29" s="694"/>
      <c r="AU29" s="694">
        <v>624186</v>
      </c>
      <c r="AV29" s="694">
        <v>618505</v>
      </c>
      <c r="AW29" s="694">
        <v>618505</v>
      </c>
      <c r="AX29" s="694">
        <v>618505</v>
      </c>
      <c r="AY29" s="694">
        <v>618505</v>
      </c>
      <c r="AZ29" s="694">
        <v>618505</v>
      </c>
      <c r="BA29" s="694">
        <v>618505</v>
      </c>
      <c r="BB29" s="694">
        <v>618370</v>
      </c>
      <c r="BC29" s="694">
        <v>618370</v>
      </c>
      <c r="BD29" s="694">
        <v>618370</v>
      </c>
      <c r="BE29" s="694">
        <v>570502</v>
      </c>
      <c r="BF29" s="694">
        <v>568430</v>
      </c>
      <c r="BG29" s="694">
        <v>568430</v>
      </c>
      <c r="BH29" s="694">
        <v>566462</v>
      </c>
      <c r="BI29" s="694">
        <v>566462</v>
      </c>
      <c r="BJ29" s="694">
        <v>566218</v>
      </c>
      <c r="BK29" s="694">
        <v>211635</v>
      </c>
      <c r="BL29" s="694">
        <v>211635</v>
      </c>
      <c r="BM29" s="694">
        <v>211635</v>
      </c>
      <c r="BN29" s="694">
        <v>211635</v>
      </c>
      <c r="BO29" s="694">
        <v>0</v>
      </c>
      <c r="BP29" s="694"/>
      <c r="BQ29" s="694"/>
      <c r="BR29" s="694"/>
      <c r="BS29" s="694"/>
      <c r="BT29" s="695"/>
      <c r="BU29" s="16"/>
    </row>
    <row r="30" spans="2:73" s="17" customFormat="1" ht="15.5">
      <c r="B30" s="689"/>
      <c r="C30" s="689" t="s">
        <v>29</v>
      </c>
      <c r="D30" s="804" t="s">
        <v>96</v>
      </c>
      <c r="E30" s="689" t="s">
        <v>790</v>
      </c>
      <c r="F30" s="689" t="s">
        <v>29</v>
      </c>
      <c r="G30" s="689" t="s">
        <v>791</v>
      </c>
      <c r="H30" s="689">
        <v>2015</v>
      </c>
      <c r="I30" s="644" t="s">
        <v>579</v>
      </c>
      <c r="J30" s="644" t="s">
        <v>591</v>
      </c>
      <c r="K30" s="633"/>
      <c r="L30" s="693"/>
      <c r="M30" s="694"/>
      <c r="N30" s="694"/>
      <c r="O30" s="694"/>
      <c r="P30" s="694">
        <v>78</v>
      </c>
      <c r="Q30" s="694">
        <v>77</v>
      </c>
      <c r="R30" s="694">
        <v>77</v>
      </c>
      <c r="S30" s="694">
        <v>77</v>
      </c>
      <c r="T30" s="694">
        <v>77</v>
      </c>
      <c r="U30" s="694">
        <v>77</v>
      </c>
      <c r="V30" s="694">
        <v>77</v>
      </c>
      <c r="W30" s="694">
        <v>76</v>
      </c>
      <c r="X30" s="694">
        <v>76</v>
      </c>
      <c r="Y30" s="694">
        <v>76</v>
      </c>
      <c r="Z30" s="694">
        <v>64</v>
      </c>
      <c r="AA30" s="694">
        <v>61</v>
      </c>
      <c r="AB30" s="694">
        <v>61</v>
      </c>
      <c r="AC30" s="694">
        <v>61</v>
      </c>
      <c r="AD30" s="694">
        <v>61</v>
      </c>
      <c r="AE30" s="694">
        <v>61</v>
      </c>
      <c r="AF30" s="694">
        <v>22</v>
      </c>
      <c r="AG30" s="694">
        <v>22</v>
      </c>
      <c r="AH30" s="694">
        <v>22</v>
      </c>
      <c r="AI30" s="694">
        <v>22</v>
      </c>
      <c r="AJ30" s="694"/>
      <c r="AK30" s="694"/>
      <c r="AL30" s="694"/>
      <c r="AM30" s="694"/>
      <c r="AN30" s="694"/>
      <c r="AO30" s="695"/>
      <c r="AP30" s="633"/>
      <c r="AQ30" s="693"/>
      <c r="AR30" s="694"/>
      <c r="AS30" s="694"/>
      <c r="AT30" s="694"/>
      <c r="AU30" s="694">
        <v>1153140</v>
      </c>
      <c r="AV30" s="694">
        <v>1132646</v>
      </c>
      <c r="AW30" s="694">
        <v>1132646</v>
      </c>
      <c r="AX30" s="694">
        <v>1132646</v>
      </c>
      <c r="AY30" s="694">
        <v>1132646</v>
      </c>
      <c r="AZ30" s="694">
        <v>1132646</v>
      </c>
      <c r="BA30" s="694">
        <v>1132646</v>
      </c>
      <c r="BB30" s="694">
        <v>1132053</v>
      </c>
      <c r="BC30" s="694">
        <v>1132053</v>
      </c>
      <c r="BD30" s="694">
        <v>1132053</v>
      </c>
      <c r="BE30" s="694">
        <v>1043915</v>
      </c>
      <c r="BF30" s="694">
        <v>990164</v>
      </c>
      <c r="BG30" s="694">
        <v>990164</v>
      </c>
      <c r="BH30" s="694">
        <v>968867</v>
      </c>
      <c r="BI30" s="694">
        <v>968867</v>
      </c>
      <c r="BJ30" s="694">
        <v>966608</v>
      </c>
      <c r="BK30" s="694">
        <v>358093</v>
      </c>
      <c r="BL30" s="694">
        <v>358093</v>
      </c>
      <c r="BM30" s="694">
        <v>358093</v>
      </c>
      <c r="BN30" s="694">
        <v>358093</v>
      </c>
      <c r="BO30" s="694">
        <v>0</v>
      </c>
      <c r="BP30" s="694"/>
      <c r="BQ30" s="694"/>
      <c r="BR30" s="694"/>
      <c r="BS30" s="694"/>
      <c r="BT30" s="695"/>
      <c r="BU30" s="16"/>
    </row>
    <row r="31" spans="2:73" s="17" customFormat="1" ht="15.5">
      <c r="B31" s="689"/>
      <c r="C31" s="689" t="s">
        <v>29</v>
      </c>
      <c r="D31" s="804" t="s">
        <v>678</v>
      </c>
      <c r="E31" s="689" t="s">
        <v>790</v>
      </c>
      <c r="F31" s="689" t="s">
        <v>29</v>
      </c>
      <c r="G31" s="689" t="s">
        <v>791</v>
      </c>
      <c r="H31" s="689">
        <v>2015</v>
      </c>
      <c r="I31" s="644" t="s">
        <v>579</v>
      </c>
      <c r="J31" s="644" t="s">
        <v>591</v>
      </c>
      <c r="K31" s="633"/>
      <c r="L31" s="693"/>
      <c r="M31" s="694"/>
      <c r="N31" s="694"/>
      <c r="O31" s="694"/>
      <c r="P31" s="694">
        <v>664</v>
      </c>
      <c r="Q31" s="694">
        <v>664</v>
      </c>
      <c r="R31" s="694">
        <v>664</v>
      </c>
      <c r="S31" s="694">
        <v>664</v>
      </c>
      <c r="T31" s="694">
        <v>664</v>
      </c>
      <c r="U31" s="694">
        <v>664</v>
      </c>
      <c r="V31" s="694">
        <v>664</v>
      </c>
      <c r="W31" s="694">
        <v>664</v>
      </c>
      <c r="X31" s="694">
        <v>664</v>
      </c>
      <c r="Y31" s="694">
        <v>664</v>
      </c>
      <c r="Z31" s="694">
        <v>664</v>
      </c>
      <c r="AA31" s="694">
        <v>664</v>
      </c>
      <c r="AB31" s="694">
        <v>664</v>
      </c>
      <c r="AC31" s="694">
        <v>664</v>
      </c>
      <c r="AD31" s="694">
        <v>664</v>
      </c>
      <c r="AE31" s="694">
        <v>664</v>
      </c>
      <c r="AF31" s="694">
        <v>664</v>
      </c>
      <c r="AG31" s="694">
        <v>664</v>
      </c>
      <c r="AH31" s="694">
        <v>602</v>
      </c>
      <c r="AI31" s="694">
        <v>0</v>
      </c>
      <c r="AJ31" s="694"/>
      <c r="AK31" s="694"/>
      <c r="AL31" s="694"/>
      <c r="AM31" s="694"/>
      <c r="AN31" s="694"/>
      <c r="AO31" s="695"/>
      <c r="AP31" s="633"/>
      <c r="AQ31" s="693"/>
      <c r="AR31" s="694"/>
      <c r="AS31" s="694"/>
      <c r="AT31" s="694"/>
      <c r="AU31" s="694">
        <v>1265384</v>
      </c>
      <c r="AV31" s="694">
        <v>1265384</v>
      </c>
      <c r="AW31" s="694">
        <v>1265384</v>
      </c>
      <c r="AX31" s="694">
        <v>1265384</v>
      </c>
      <c r="AY31" s="694">
        <v>1265384</v>
      </c>
      <c r="AZ31" s="694">
        <v>1265384</v>
      </c>
      <c r="BA31" s="694">
        <v>1265384</v>
      </c>
      <c r="BB31" s="694">
        <v>1265384</v>
      </c>
      <c r="BC31" s="694">
        <v>1265384</v>
      </c>
      <c r="BD31" s="694">
        <v>1265384</v>
      </c>
      <c r="BE31" s="694">
        <v>1265384</v>
      </c>
      <c r="BF31" s="694">
        <v>1265384</v>
      </c>
      <c r="BG31" s="694">
        <v>1265384</v>
      </c>
      <c r="BH31" s="694">
        <v>1265384</v>
      </c>
      <c r="BI31" s="694">
        <v>1265384</v>
      </c>
      <c r="BJ31" s="694">
        <v>1265384</v>
      </c>
      <c r="BK31" s="694">
        <v>1265384</v>
      </c>
      <c r="BL31" s="694">
        <v>1265384</v>
      </c>
      <c r="BM31" s="694">
        <v>1210392</v>
      </c>
      <c r="BN31" s="694">
        <v>0</v>
      </c>
      <c r="BO31" s="694">
        <v>0</v>
      </c>
      <c r="BP31" s="694"/>
      <c r="BQ31" s="694"/>
      <c r="BR31" s="694"/>
      <c r="BS31" s="694"/>
      <c r="BT31" s="695"/>
      <c r="BU31" s="16"/>
    </row>
    <row r="32" spans="2:73" s="17" customFormat="1" ht="15.5">
      <c r="B32" s="689"/>
      <c r="C32" s="689" t="s">
        <v>792</v>
      </c>
      <c r="D32" s="804" t="s">
        <v>100</v>
      </c>
      <c r="E32" s="689" t="s">
        <v>790</v>
      </c>
      <c r="F32" s="689" t="s">
        <v>793</v>
      </c>
      <c r="G32" s="689" t="s">
        <v>791</v>
      </c>
      <c r="H32" s="689">
        <v>2015</v>
      </c>
      <c r="I32" s="644" t="s">
        <v>579</v>
      </c>
      <c r="J32" s="644" t="s">
        <v>591</v>
      </c>
      <c r="K32" s="633"/>
      <c r="L32" s="693"/>
      <c r="M32" s="694"/>
      <c r="N32" s="694"/>
      <c r="O32" s="694"/>
      <c r="P32" s="694">
        <v>268</v>
      </c>
      <c r="Q32" s="694">
        <v>268</v>
      </c>
      <c r="R32" s="694">
        <v>252</v>
      </c>
      <c r="S32" s="694">
        <v>244</v>
      </c>
      <c r="T32" s="694">
        <v>244</v>
      </c>
      <c r="U32" s="694">
        <v>244</v>
      </c>
      <c r="V32" s="694">
        <v>235</v>
      </c>
      <c r="W32" s="694">
        <v>235</v>
      </c>
      <c r="X32" s="694">
        <v>233</v>
      </c>
      <c r="Y32" s="694">
        <v>203</v>
      </c>
      <c r="Z32" s="694">
        <v>132</v>
      </c>
      <c r="AA32" s="694">
        <v>132</v>
      </c>
      <c r="AB32" s="694">
        <v>68</v>
      </c>
      <c r="AC32" s="694">
        <v>68</v>
      </c>
      <c r="AD32" s="694">
        <v>68</v>
      </c>
      <c r="AE32" s="694">
        <v>53</v>
      </c>
      <c r="AF32" s="694">
        <v>37</v>
      </c>
      <c r="AG32" s="694">
        <v>37</v>
      </c>
      <c r="AH32" s="694">
        <v>37</v>
      </c>
      <c r="AI32" s="694">
        <v>37</v>
      </c>
      <c r="AJ32" s="694"/>
      <c r="AK32" s="694"/>
      <c r="AL32" s="694"/>
      <c r="AM32" s="694"/>
      <c r="AN32" s="694"/>
      <c r="AO32" s="695"/>
      <c r="AP32" s="633"/>
      <c r="AQ32" s="693"/>
      <c r="AR32" s="694"/>
      <c r="AS32" s="694"/>
      <c r="AT32" s="694"/>
      <c r="AU32" s="694">
        <v>1655090</v>
      </c>
      <c r="AV32" s="694">
        <v>1655090</v>
      </c>
      <c r="AW32" s="694">
        <v>1604633</v>
      </c>
      <c r="AX32" s="694">
        <v>1577999</v>
      </c>
      <c r="AY32" s="694">
        <v>1577999</v>
      </c>
      <c r="AZ32" s="694">
        <v>1577999</v>
      </c>
      <c r="BA32" s="694">
        <v>1529250</v>
      </c>
      <c r="BB32" s="694">
        <v>1529250</v>
      </c>
      <c r="BC32" s="694">
        <v>1478551</v>
      </c>
      <c r="BD32" s="694">
        <v>1302929</v>
      </c>
      <c r="BE32" s="694">
        <v>762861</v>
      </c>
      <c r="BF32" s="694">
        <v>646285</v>
      </c>
      <c r="BG32" s="694">
        <v>229788</v>
      </c>
      <c r="BH32" s="694">
        <v>229788</v>
      </c>
      <c r="BI32" s="694">
        <v>229788</v>
      </c>
      <c r="BJ32" s="694">
        <v>167598</v>
      </c>
      <c r="BK32" s="694">
        <v>93548</v>
      </c>
      <c r="BL32" s="694">
        <v>93548</v>
      </c>
      <c r="BM32" s="694">
        <v>93548</v>
      </c>
      <c r="BN32" s="694">
        <v>93548</v>
      </c>
      <c r="BO32" s="694">
        <v>0</v>
      </c>
      <c r="BP32" s="694"/>
      <c r="BQ32" s="694"/>
      <c r="BR32" s="694"/>
      <c r="BS32" s="694"/>
      <c r="BT32" s="695"/>
      <c r="BU32" s="16"/>
    </row>
    <row r="33" spans="2:73" s="17" customFormat="1" ht="15.5">
      <c r="B33" s="689"/>
      <c r="C33" s="689" t="s">
        <v>10</v>
      </c>
      <c r="D33" s="804" t="s">
        <v>106</v>
      </c>
      <c r="E33" s="689" t="s">
        <v>790</v>
      </c>
      <c r="F33" s="689" t="s">
        <v>794</v>
      </c>
      <c r="G33" s="689" t="s">
        <v>791</v>
      </c>
      <c r="H33" s="689">
        <v>2015</v>
      </c>
      <c r="I33" s="644" t="s">
        <v>579</v>
      </c>
      <c r="J33" s="644" t="s">
        <v>591</v>
      </c>
      <c r="K33" s="633"/>
      <c r="L33" s="693"/>
      <c r="M33" s="694"/>
      <c r="N33" s="694"/>
      <c r="O33" s="694"/>
      <c r="P33" s="694">
        <v>11</v>
      </c>
      <c r="Q33" s="694">
        <v>11</v>
      </c>
      <c r="R33" s="694">
        <v>11</v>
      </c>
      <c r="S33" s="694">
        <v>11</v>
      </c>
      <c r="T33" s="694">
        <v>11</v>
      </c>
      <c r="U33" s="694">
        <v>11</v>
      </c>
      <c r="V33" s="694">
        <v>11</v>
      </c>
      <c r="W33" s="694">
        <v>11</v>
      </c>
      <c r="X33" s="694">
        <v>11</v>
      </c>
      <c r="Y33" s="694">
        <v>11</v>
      </c>
      <c r="Z33" s="694">
        <v>0</v>
      </c>
      <c r="AA33" s="694">
        <v>0</v>
      </c>
      <c r="AB33" s="694">
        <v>0</v>
      </c>
      <c r="AC33" s="694">
        <v>0</v>
      </c>
      <c r="AD33" s="694">
        <v>0</v>
      </c>
      <c r="AE33" s="694">
        <v>0</v>
      </c>
      <c r="AF33" s="694">
        <v>0</v>
      </c>
      <c r="AG33" s="694">
        <v>0</v>
      </c>
      <c r="AH33" s="694">
        <v>0</v>
      </c>
      <c r="AI33" s="694">
        <v>0</v>
      </c>
      <c r="AJ33" s="694"/>
      <c r="AK33" s="694"/>
      <c r="AL33" s="694"/>
      <c r="AM33" s="694"/>
      <c r="AN33" s="694"/>
      <c r="AO33" s="695"/>
      <c r="AP33" s="633"/>
      <c r="AQ33" s="693"/>
      <c r="AR33" s="694"/>
      <c r="AS33" s="694"/>
      <c r="AT33" s="694"/>
      <c r="AU33" s="694">
        <v>39560</v>
      </c>
      <c r="AV33" s="694">
        <v>39560</v>
      </c>
      <c r="AW33" s="694">
        <v>39560</v>
      </c>
      <c r="AX33" s="694">
        <v>39560</v>
      </c>
      <c r="AY33" s="694">
        <v>39560</v>
      </c>
      <c r="AZ33" s="694">
        <v>39560</v>
      </c>
      <c r="BA33" s="694">
        <v>39560</v>
      </c>
      <c r="BB33" s="694">
        <v>39560</v>
      </c>
      <c r="BC33" s="694">
        <v>39560</v>
      </c>
      <c r="BD33" s="694">
        <v>39560</v>
      </c>
      <c r="BE33" s="694">
        <v>0</v>
      </c>
      <c r="BF33" s="694">
        <v>0</v>
      </c>
      <c r="BG33" s="694">
        <v>0</v>
      </c>
      <c r="BH33" s="694">
        <v>0</v>
      </c>
      <c r="BI33" s="694">
        <v>0</v>
      </c>
      <c r="BJ33" s="694">
        <v>0</v>
      </c>
      <c r="BK33" s="694">
        <v>0</v>
      </c>
      <c r="BL33" s="694">
        <v>0</v>
      </c>
      <c r="BM33" s="694">
        <v>0</v>
      </c>
      <c r="BN33" s="694">
        <v>0</v>
      </c>
      <c r="BO33" s="694">
        <v>0</v>
      </c>
      <c r="BP33" s="694"/>
      <c r="BQ33" s="694"/>
      <c r="BR33" s="694"/>
      <c r="BS33" s="694"/>
      <c r="BT33" s="695"/>
      <c r="BU33" s="16"/>
    </row>
    <row r="34" spans="2:73" s="17" customFormat="1" ht="15.5">
      <c r="B34" s="689"/>
      <c r="C34" s="689" t="s">
        <v>107</v>
      </c>
      <c r="D34" s="804" t="s">
        <v>108</v>
      </c>
      <c r="E34" s="689" t="s">
        <v>790</v>
      </c>
      <c r="F34" s="689" t="s">
        <v>29</v>
      </c>
      <c r="G34" s="689" t="s">
        <v>791</v>
      </c>
      <c r="H34" s="689">
        <v>2015</v>
      </c>
      <c r="I34" s="644" t="s">
        <v>579</v>
      </c>
      <c r="J34" s="644" t="s">
        <v>591</v>
      </c>
      <c r="K34" s="633"/>
      <c r="L34" s="693"/>
      <c r="M34" s="694"/>
      <c r="N34" s="694"/>
      <c r="O34" s="694"/>
      <c r="P34" s="694">
        <v>7</v>
      </c>
      <c r="Q34" s="694">
        <v>6</v>
      </c>
      <c r="R34" s="694">
        <v>6</v>
      </c>
      <c r="S34" s="694">
        <v>6</v>
      </c>
      <c r="T34" s="694">
        <v>6</v>
      </c>
      <c r="U34" s="694">
        <v>6</v>
      </c>
      <c r="V34" s="694">
        <v>6</v>
      </c>
      <c r="W34" s="694">
        <v>6</v>
      </c>
      <c r="X34" s="694">
        <v>5</v>
      </c>
      <c r="Y34" s="694">
        <v>5</v>
      </c>
      <c r="Z34" s="694">
        <v>5</v>
      </c>
      <c r="AA34" s="694">
        <v>5</v>
      </c>
      <c r="AB34" s="694">
        <v>4</v>
      </c>
      <c r="AC34" s="694">
        <v>4</v>
      </c>
      <c r="AD34" s="694">
        <v>0</v>
      </c>
      <c r="AE34" s="694">
        <v>0</v>
      </c>
      <c r="AF34" s="694">
        <v>0</v>
      </c>
      <c r="AG34" s="694">
        <v>0</v>
      </c>
      <c r="AH34" s="694">
        <v>0</v>
      </c>
      <c r="AI34" s="694">
        <v>0</v>
      </c>
      <c r="AJ34" s="694"/>
      <c r="AK34" s="694"/>
      <c r="AL34" s="694"/>
      <c r="AM34" s="694"/>
      <c r="AN34" s="694"/>
      <c r="AO34" s="695"/>
      <c r="AP34" s="633"/>
      <c r="AQ34" s="693"/>
      <c r="AR34" s="694"/>
      <c r="AS34" s="694"/>
      <c r="AT34" s="694"/>
      <c r="AU34" s="694">
        <v>76713</v>
      </c>
      <c r="AV34" s="694">
        <v>62341</v>
      </c>
      <c r="AW34" s="694">
        <v>59617</v>
      </c>
      <c r="AX34" s="694">
        <v>57258</v>
      </c>
      <c r="AY34" s="694">
        <v>57258</v>
      </c>
      <c r="AZ34" s="694">
        <v>57258</v>
      </c>
      <c r="BA34" s="694">
        <v>56565</v>
      </c>
      <c r="BB34" s="694">
        <v>56565</v>
      </c>
      <c r="BC34" s="694">
        <v>34835</v>
      </c>
      <c r="BD34" s="694">
        <v>34835</v>
      </c>
      <c r="BE34" s="694">
        <v>34657</v>
      </c>
      <c r="BF34" s="694">
        <v>34657</v>
      </c>
      <c r="BG34" s="694">
        <v>33608</v>
      </c>
      <c r="BH34" s="694">
        <v>33608</v>
      </c>
      <c r="BI34" s="694">
        <v>3612</v>
      </c>
      <c r="BJ34" s="694">
        <v>3324</v>
      </c>
      <c r="BK34" s="694">
        <v>3324</v>
      </c>
      <c r="BL34" s="694">
        <v>3324</v>
      </c>
      <c r="BM34" s="694">
        <v>3324</v>
      </c>
      <c r="BN34" s="694">
        <v>3324</v>
      </c>
      <c r="BO34" s="694">
        <v>3324</v>
      </c>
      <c r="BP34" s="694"/>
      <c r="BQ34" s="694"/>
      <c r="BR34" s="694"/>
      <c r="BS34" s="694"/>
      <c r="BT34" s="695"/>
      <c r="BU34" s="16"/>
    </row>
    <row r="35" spans="2:73" s="17" customFormat="1" ht="15.5">
      <c r="B35" s="689"/>
      <c r="C35" s="805"/>
      <c r="D35" s="805"/>
      <c r="E35" s="805"/>
      <c r="F35" s="805"/>
      <c r="G35" s="805"/>
      <c r="H35" s="805"/>
      <c r="I35" s="806"/>
      <c r="J35" s="806"/>
      <c r="K35" s="807"/>
      <c r="L35" s="808"/>
      <c r="M35" s="809"/>
      <c r="N35" s="809"/>
      <c r="O35" s="809"/>
      <c r="P35" s="809"/>
      <c r="Q35" s="809"/>
      <c r="R35" s="809"/>
      <c r="S35" s="809"/>
      <c r="T35" s="809"/>
      <c r="U35" s="809"/>
      <c r="V35" s="809"/>
      <c r="W35" s="809"/>
      <c r="X35" s="809"/>
      <c r="Y35" s="809"/>
      <c r="Z35" s="809"/>
      <c r="AA35" s="809"/>
      <c r="AB35" s="809"/>
      <c r="AC35" s="809"/>
      <c r="AD35" s="809"/>
      <c r="AE35" s="809"/>
      <c r="AF35" s="809"/>
      <c r="AG35" s="809"/>
      <c r="AH35" s="809"/>
      <c r="AI35" s="809"/>
      <c r="AJ35" s="809"/>
      <c r="AK35" s="809"/>
      <c r="AL35" s="809"/>
      <c r="AM35" s="809"/>
      <c r="AN35" s="809"/>
      <c r="AO35" s="810"/>
      <c r="AP35" s="807"/>
      <c r="AQ35" s="808"/>
      <c r="AR35" s="809"/>
      <c r="AS35" s="809"/>
      <c r="AT35" s="809"/>
      <c r="AU35" s="809"/>
      <c r="AV35" s="809"/>
      <c r="AW35" s="809"/>
      <c r="AX35" s="809"/>
      <c r="AY35" s="809"/>
      <c r="AZ35" s="809"/>
      <c r="BA35" s="809"/>
      <c r="BB35" s="809"/>
      <c r="BC35" s="809"/>
      <c r="BD35" s="809"/>
      <c r="BE35" s="809"/>
      <c r="BF35" s="809"/>
      <c r="BG35" s="809"/>
      <c r="BH35" s="809"/>
      <c r="BI35" s="809"/>
      <c r="BJ35" s="809"/>
      <c r="BK35" s="809"/>
      <c r="BL35" s="809"/>
      <c r="BM35" s="809"/>
      <c r="BN35" s="809"/>
      <c r="BO35" s="809"/>
      <c r="BP35" s="809"/>
      <c r="BQ35" s="809"/>
      <c r="BR35" s="809"/>
      <c r="BS35" s="809"/>
      <c r="BT35" s="810"/>
      <c r="BU35" s="16"/>
    </row>
    <row r="36" spans="2:73" s="17" customFormat="1" ht="15.5">
      <c r="B36" s="689"/>
      <c r="C36" s="689" t="s">
        <v>795</v>
      </c>
      <c r="D36" s="804" t="s">
        <v>118</v>
      </c>
      <c r="E36" s="689" t="s">
        <v>790</v>
      </c>
      <c r="F36" s="689" t="s">
        <v>793</v>
      </c>
      <c r="G36" s="689" t="s">
        <v>791</v>
      </c>
      <c r="H36" s="689">
        <v>2015</v>
      </c>
      <c r="I36" s="644" t="s">
        <v>579</v>
      </c>
      <c r="J36" s="644" t="s">
        <v>584</v>
      </c>
      <c r="K36" s="633"/>
      <c r="L36" s="693"/>
      <c r="M36" s="694"/>
      <c r="N36" s="694"/>
      <c r="O36" s="694"/>
      <c r="P36" s="694">
        <v>47</v>
      </c>
      <c r="Q36" s="694">
        <v>47</v>
      </c>
      <c r="R36" s="694">
        <v>47</v>
      </c>
      <c r="S36" s="694">
        <v>47</v>
      </c>
      <c r="T36" s="694">
        <v>47</v>
      </c>
      <c r="U36" s="694">
        <v>47</v>
      </c>
      <c r="V36" s="694">
        <v>44</v>
      </c>
      <c r="W36" s="694">
        <v>44</v>
      </c>
      <c r="X36" s="694">
        <v>43</v>
      </c>
      <c r="Y36" s="694">
        <v>33</v>
      </c>
      <c r="Z36" s="694">
        <v>7</v>
      </c>
      <c r="AA36" s="694">
        <v>0</v>
      </c>
      <c r="AB36" s="694">
        <v>0</v>
      </c>
      <c r="AC36" s="694">
        <v>0</v>
      </c>
      <c r="AD36" s="694">
        <v>0</v>
      </c>
      <c r="AE36" s="694">
        <v>0</v>
      </c>
      <c r="AF36" s="694">
        <v>0</v>
      </c>
      <c r="AG36" s="694">
        <v>0</v>
      </c>
      <c r="AH36" s="694">
        <v>0</v>
      </c>
      <c r="AI36" s="694">
        <v>0</v>
      </c>
      <c r="AJ36" s="694">
        <v>0</v>
      </c>
      <c r="AK36" s="694">
        <v>0</v>
      </c>
      <c r="AL36" s="694">
        <v>0</v>
      </c>
      <c r="AM36" s="694"/>
      <c r="AN36" s="694"/>
      <c r="AO36" s="695"/>
      <c r="AP36" s="633"/>
      <c r="AQ36" s="693"/>
      <c r="AR36" s="694"/>
      <c r="AS36" s="694"/>
      <c r="AT36" s="694"/>
      <c r="AU36" s="694">
        <v>554307</v>
      </c>
      <c r="AV36" s="694">
        <v>554307</v>
      </c>
      <c r="AW36" s="694">
        <v>554307</v>
      </c>
      <c r="AX36" s="694">
        <v>554307</v>
      </c>
      <c r="AY36" s="694">
        <v>554307</v>
      </c>
      <c r="AZ36" s="694">
        <v>554307</v>
      </c>
      <c r="BA36" s="694">
        <v>536358</v>
      </c>
      <c r="BB36" s="694">
        <v>536358</v>
      </c>
      <c r="BC36" s="694">
        <v>535192</v>
      </c>
      <c r="BD36" s="694">
        <v>478511</v>
      </c>
      <c r="BE36" s="694">
        <v>327602</v>
      </c>
      <c r="BF36" s="694">
        <v>304298</v>
      </c>
      <c r="BG36" s="694">
        <v>276371</v>
      </c>
      <c r="BH36" s="694">
        <v>276371</v>
      </c>
      <c r="BI36" s="694">
        <v>276371</v>
      </c>
      <c r="BJ36" s="694">
        <v>190287</v>
      </c>
      <c r="BK36" s="694">
        <v>0</v>
      </c>
      <c r="BL36" s="694">
        <v>0</v>
      </c>
      <c r="BM36" s="694">
        <v>0</v>
      </c>
      <c r="BN36" s="694">
        <v>0</v>
      </c>
      <c r="BO36" s="694">
        <v>0</v>
      </c>
      <c r="BP36" s="694">
        <v>0</v>
      </c>
      <c r="BQ36" s="694">
        <v>0</v>
      </c>
      <c r="BR36" s="694"/>
      <c r="BS36" s="694"/>
      <c r="BT36" s="695"/>
      <c r="BU36" s="16"/>
    </row>
    <row r="37" spans="2:73" s="17" customFormat="1" ht="15.5">
      <c r="B37" s="689"/>
      <c r="C37" s="689" t="s">
        <v>29</v>
      </c>
      <c r="D37" s="804" t="s">
        <v>95</v>
      </c>
      <c r="E37" s="689" t="s">
        <v>790</v>
      </c>
      <c r="F37" s="689" t="s">
        <v>29</v>
      </c>
      <c r="G37" s="689" t="s">
        <v>791</v>
      </c>
      <c r="H37" s="689">
        <v>2015</v>
      </c>
      <c r="I37" s="644" t="s">
        <v>579</v>
      </c>
      <c r="J37" s="644" t="s">
        <v>584</v>
      </c>
      <c r="K37" s="633"/>
      <c r="L37" s="693"/>
      <c r="M37" s="694"/>
      <c r="N37" s="694"/>
      <c r="O37" s="694"/>
      <c r="P37" s="694">
        <v>7</v>
      </c>
      <c r="Q37" s="694">
        <v>7</v>
      </c>
      <c r="R37" s="694">
        <v>7</v>
      </c>
      <c r="S37" s="694">
        <v>7</v>
      </c>
      <c r="T37" s="694">
        <v>7</v>
      </c>
      <c r="U37" s="694">
        <v>7</v>
      </c>
      <c r="V37" s="694">
        <v>7</v>
      </c>
      <c r="W37" s="694">
        <v>7</v>
      </c>
      <c r="X37" s="694">
        <v>7</v>
      </c>
      <c r="Y37" s="694">
        <v>7</v>
      </c>
      <c r="Z37" s="694">
        <v>6</v>
      </c>
      <c r="AA37" s="694">
        <v>6</v>
      </c>
      <c r="AB37" s="694">
        <v>6</v>
      </c>
      <c r="AC37" s="694">
        <v>6</v>
      </c>
      <c r="AD37" s="694">
        <v>6</v>
      </c>
      <c r="AE37" s="694">
        <v>6</v>
      </c>
      <c r="AF37" s="694">
        <v>3</v>
      </c>
      <c r="AG37" s="694">
        <v>3</v>
      </c>
      <c r="AH37" s="694">
        <v>3</v>
      </c>
      <c r="AI37" s="694">
        <v>3</v>
      </c>
      <c r="AJ37" s="694">
        <v>0</v>
      </c>
      <c r="AK37" s="694">
        <v>0</v>
      </c>
      <c r="AL37" s="694">
        <v>0</v>
      </c>
      <c r="AM37" s="694"/>
      <c r="AN37" s="694"/>
      <c r="AO37" s="695"/>
      <c r="AP37" s="633"/>
      <c r="AQ37" s="693"/>
      <c r="AR37" s="694"/>
      <c r="AS37" s="694"/>
      <c r="AT37" s="694"/>
      <c r="AU37" s="694">
        <v>104247</v>
      </c>
      <c r="AV37" s="694">
        <v>102747</v>
      </c>
      <c r="AW37" s="694">
        <v>102747</v>
      </c>
      <c r="AX37" s="694">
        <v>102747</v>
      </c>
      <c r="AY37" s="694">
        <v>102747</v>
      </c>
      <c r="AZ37" s="694">
        <v>102747</v>
      </c>
      <c r="BA37" s="694">
        <v>102747</v>
      </c>
      <c r="BB37" s="694">
        <v>102705</v>
      </c>
      <c r="BC37" s="694">
        <v>102705</v>
      </c>
      <c r="BD37" s="694">
        <v>102705</v>
      </c>
      <c r="BE37" s="694">
        <v>100152</v>
      </c>
      <c r="BF37" s="694">
        <v>100040</v>
      </c>
      <c r="BG37" s="694">
        <v>100040</v>
      </c>
      <c r="BH37" s="694">
        <v>99810</v>
      </c>
      <c r="BI37" s="694">
        <v>99810</v>
      </c>
      <c r="BJ37" s="694">
        <v>99627</v>
      </c>
      <c r="BK37" s="694">
        <v>51632</v>
      </c>
      <c r="BL37" s="694">
        <v>51632</v>
      </c>
      <c r="BM37" s="694">
        <v>51632</v>
      </c>
      <c r="BN37" s="694">
        <v>51632</v>
      </c>
      <c r="BO37" s="694">
        <v>0</v>
      </c>
      <c r="BP37" s="694">
        <v>0</v>
      </c>
      <c r="BQ37" s="694">
        <v>0</v>
      </c>
      <c r="BR37" s="694"/>
      <c r="BS37" s="694"/>
      <c r="BT37" s="695"/>
      <c r="BU37" s="16"/>
    </row>
    <row r="38" spans="2:73" s="17" customFormat="1" ht="15.5">
      <c r="B38" s="689"/>
      <c r="C38" s="689" t="s">
        <v>29</v>
      </c>
      <c r="D38" s="804" t="s">
        <v>96</v>
      </c>
      <c r="E38" s="689" t="s">
        <v>790</v>
      </c>
      <c r="F38" s="689" t="s">
        <v>29</v>
      </c>
      <c r="G38" s="689" t="s">
        <v>791</v>
      </c>
      <c r="H38" s="689">
        <v>2015</v>
      </c>
      <c r="I38" s="644" t="s">
        <v>579</v>
      </c>
      <c r="J38" s="644" t="s">
        <v>584</v>
      </c>
      <c r="K38" s="633"/>
      <c r="L38" s="693"/>
      <c r="M38" s="694"/>
      <c r="N38" s="694"/>
      <c r="O38" s="694"/>
      <c r="P38" s="694">
        <v>1</v>
      </c>
      <c r="Q38" s="694">
        <v>1</v>
      </c>
      <c r="R38" s="694">
        <v>1</v>
      </c>
      <c r="S38" s="694">
        <v>1</v>
      </c>
      <c r="T38" s="694">
        <v>1</v>
      </c>
      <c r="U38" s="694">
        <v>1</v>
      </c>
      <c r="V38" s="694">
        <v>1</v>
      </c>
      <c r="W38" s="694">
        <v>1</v>
      </c>
      <c r="X38" s="694">
        <v>1</v>
      </c>
      <c r="Y38" s="694">
        <v>1</v>
      </c>
      <c r="Z38" s="694">
        <v>1</v>
      </c>
      <c r="AA38" s="694">
        <v>1</v>
      </c>
      <c r="AB38" s="694">
        <v>1</v>
      </c>
      <c r="AC38" s="694">
        <v>1</v>
      </c>
      <c r="AD38" s="694">
        <v>1</v>
      </c>
      <c r="AE38" s="694">
        <v>1</v>
      </c>
      <c r="AF38" s="694">
        <v>0</v>
      </c>
      <c r="AG38" s="694">
        <v>0</v>
      </c>
      <c r="AH38" s="694">
        <v>0</v>
      </c>
      <c r="AI38" s="694">
        <v>0</v>
      </c>
      <c r="AJ38" s="694">
        <v>0</v>
      </c>
      <c r="AK38" s="694">
        <v>0</v>
      </c>
      <c r="AL38" s="694">
        <v>0</v>
      </c>
      <c r="AM38" s="694"/>
      <c r="AN38" s="694"/>
      <c r="AO38" s="695"/>
      <c r="AP38" s="633"/>
      <c r="AQ38" s="693"/>
      <c r="AR38" s="694"/>
      <c r="AS38" s="694"/>
      <c r="AT38" s="694"/>
      <c r="AU38" s="694">
        <v>11928</v>
      </c>
      <c r="AV38" s="694">
        <v>11788</v>
      </c>
      <c r="AW38" s="694">
        <v>11788</v>
      </c>
      <c r="AX38" s="694">
        <v>11788</v>
      </c>
      <c r="AY38" s="694">
        <v>11788</v>
      </c>
      <c r="AZ38" s="694">
        <v>11788</v>
      </c>
      <c r="BA38" s="694">
        <v>11788</v>
      </c>
      <c r="BB38" s="694">
        <v>11758</v>
      </c>
      <c r="BC38" s="694">
        <v>11758</v>
      </c>
      <c r="BD38" s="694">
        <v>11758</v>
      </c>
      <c r="BE38" s="694">
        <v>9972</v>
      </c>
      <c r="BF38" s="694">
        <v>9891</v>
      </c>
      <c r="BG38" s="694">
        <v>9891</v>
      </c>
      <c r="BH38" s="694">
        <v>9587</v>
      </c>
      <c r="BI38" s="694">
        <v>9587</v>
      </c>
      <c r="BJ38" s="694">
        <v>9551</v>
      </c>
      <c r="BK38" s="694">
        <v>3991</v>
      </c>
      <c r="BL38" s="694">
        <v>3991</v>
      </c>
      <c r="BM38" s="694">
        <v>3991</v>
      </c>
      <c r="BN38" s="694">
        <v>3991</v>
      </c>
      <c r="BO38" s="694">
        <v>0</v>
      </c>
      <c r="BP38" s="694">
        <v>0</v>
      </c>
      <c r="BQ38" s="694">
        <v>0</v>
      </c>
      <c r="BR38" s="694"/>
      <c r="BS38" s="694"/>
      <c r="BT38" s="695"/>
      <c r="BU38" s="16"/>
    </row>
    <row r="39" spans="2:73" s="17" customFormat="1" ht="15.5">
      <c r="B39" s="689"/>
      <c r="C39" s="689" t="s">
        <v>29</v>
      </c>
      <c r="D39" s="804" t="s">
        <v>678</v>
      </c>
      <c r="E39" s="689" t="s">
        <v>790</v>
      </c>
      <c r="F39" s="689" t="s">
        <v>29</v>
      </c>
      <c r="G39" s="689" t="s">
        <v>791</v>
      </c>
      <c r="H39" s="689">
        <v>2015</v>
      </c>
      <c r="I39" s="644" t="s">
        <v>579</v>
      </c>
      <c r="J39" s="644" t="s">
        <v>584</v>
      </c>
      <c r="K39" s="633"/>
      <c r="L39" s="693"/>
      <c r="M39" s="694"/>
      <c r="N39" s="694"/>
      <c r="O39" s="694"/>
      <c r="P39" s="694">
        <v>11</v>
      </c>
      <c r="Q39" s="694">
        <v>11</v>
      </c>
      <c r="R39" s="694">
        <v>11</v>
      </c>
      <c r="S39" s="694">
        <v>11</v>
      </c>
      <c r="T39" s="694">
        <v>11</v>
      </c>
      <c r="U39" s="694">
        <v>11</v>
      </c>
      <c r="V39" s="694">
        <v>11</v>
      </c>
      <c r="W39" s="694">
        <v>11</v>
      </c>
      <c r="X39" s="694">
        <v>11</v>
      </c>
      <c r="Y39" s="694">
        <v>11</v>
      </c>
      <c r="Z39" s="694">
        <v>11</v>
      </c>
      <c r="AA39" s="694">
        <v>11</v>
      </c>
      <c r="AB39" s="694">
        <v>11</v>
      </c>
      <c r="AC39" s="694">
        <v>11</v>
      </c>
      <c r="AD39" s="694">
        <v>11</v>
      </c>
      <c r="AE39" s="694">
        <v>11</v>
      </c>
      <c r="AF39" s="694">
        <v>11</v>
      </c>
      <c r="AG39" s="694">
        <v>11</v>
      </c>
      <c r="AH39" s="694">
        <v>10</v>
      </c>
      <c r="AI39" s="694">
        <v>0</v>
      </c>
      <c r="AJ39" s="694">
        <v>0</v>
      </c>
      <c r="AK39" s="694">
        <v>0</v>
      </c>
      <c r="AL39" s="694">
        <v>0</v>
      </c>
      <c r="AM39" s="694"/>
      <c r="AN39" s="694"/>
      <c r="AO39" s="695"/>
      <c r="AP39" s="633"/>
      <c r="AQ39" s="693"/>
      <c r="AR39" s="694"/>
      <c r="AS39" s="694"/>
      <c r="AT39" s="694"/>
      <c r="AU39" s="694">
        <v>21001</v>
      </c>
      <c r="AV39" s="694">
        <v>21001</v>
      </c>
      <c r="AW39" s="694">
        <v>21001</v>
      </c>
      <c r="AX39" s="694">
        <v>21001</v>
      </c>
      <c r="AY39" s="694">
        <v>21001</v>
      </c>
      <c r="AZ39" s="694">
        <v>21001</v>
      </c>
      <c r="BA39" s="694">
        <v>21001</v>
      </c>
      <c r="BB39" s="694">
        <v>21001</v>
      </c>
      <c r="BC39" s="694">
        <v>21001</v>
      </c>
      <c r="BD39" s="694">
        <v>21001</v>
      </c>
      <c r="BE39" s="694">
        <v>21001</v>
      </c>
      <c r="BF39" s="694">
        <v>21001</v>
      </c>
      <c r="BG39" s="694">
        <v>21001</v>
      </c>
      <c r="BH39" s="694">
        <v>21001</v>
      </c>
      <c r="BI39" s="694">
        <v>21001</v>
      </c>
      <c r="BJ39" s="694">
        <v>21001</v>
      </c>
      <c r="BK39" s="694">
        <v>21001</v>
      </c>
      <c r="BL39" s="694">
        <v>21001</v>
      </c>
      <c r="BM39" s="694">
        <v>20387</v>
      </c>
      <c r="BN39" s="694">
        <v>0</v>
      </c>
      <c r="BO39" s="694">
        <v>0</v>
      </c>
      <c r="BP39" s="694">
        <v>0</v>
      </c>
      <c r="BQ39" s="694">
        <v>0</v>
      </c>
      <c r="BR39" s="694"/>
      <c r="BS39" s="694"/>
      <c r="BT39" s="695"/>
      <c r="BU39" s="16"/>
    </row>
    <row r="40" spans="2:73" s="17" customFormat="1" ht="15.5">
      <c r="B40" s="689"/>
      <c r="C40" s="689" t="s">
        <v>29</v>
      </c>
      <c r="D40" s="804" t="s">
        <v>98</v>
      </c>
      <c r="E40" s="689" t="s">
        <v>790</v>
      </c>
      <c r="F40" s="689" t="s">
        <v>29</v>
      </c>
      <c r="G40" s="689" t="s">
        <v>791</v>
      </c>
      <c r="H40" s="689">
        <v>2015</v>
      </c>
      <c r="I40" s="644" t="s">
        <v>579</v>
      </c>
      <c r="J40" s="644" t="s">
        <v>584</v>
      </c>
      <c r="K40" s="633"/>
      <c r="L40" s="693"/>
      <c r="M40" s="694"/>
      <c r="N40" s="694"/>
      <c r="O40" s="694"/>
      <c r="P40" s="694">
        <v>13</v>
      </c>
      <c r="Q40" s="694">
        <v>13</v>
      </c>
      <c r="R40" s="694">
        <v>13</v>
      </c>
      <c r="S40" s="694">
        <v>13</v>
      </c>
      <c r="T40" s="694">
        <v>13</v>
      </c>
      <c r="U40" s="694">
        <v>13</v>
      </c>
      <c r="V40" s="694">
        <v>13</v>
      </c>
      <c r="W40" s="694">
        <v>13</v>
      </c>
      <c r="X40" s="694">
        <v>13</v>
      </c>
      <c r="Y40" s="694">
        <v>13</v>
      </c>
      <c r="Z40" s="694">
        <v>13</v>
      </c>
      <c r="AA40" s="694">
        <v>13</v>
      </c>
      <c r="AB40" s="694">
        <v>13</v>
      </c>
      <c r="AC40" s="694">
        <v>13</v>
      </c>
      <c r="AD40" s="694">
        <v>13</v>
      </c>
      <c r="AE40" s="694">
        <v>13</v>
      </c>
      <c r="AF40" s="694">
        <v>3</v>
      </c>
      <c r="AG40" s="694">
        <v>3</v>
      </c>
      <c r="AH40" s="694">
        <v>3</v>
      </c>
      <c r="AI40" s="694">
        <v>3</v>
      </c>
      <c r="AJ40" s="694">
        <v>3</v>
      </c>
      <c r="AK40" s="694">
        <v>3</v>
      </c>
      <c r="AL40" s="694">
        <v>3</v>
      </c>
      <c r="AM40" s="694"/>
      <c r="AN40" s="694"/>
      <c r="AO40" s="695"/>
      <c r="AP40" s="633"/>
      <c r="AQ40" s="693"/>
      <c r="AR40" s="694"/>
      <c r="AS40" s="694"/>
      <c r="AT40" s="694"/>
      <c r="AU40" s="694">
        <v>225449</v>
      </c>
      <c r="AV40" s="694">
        <v>225449</v>
      </c>
      <c r="AW40" s="694">
        <v>225449</v>
      </c>
      <c r="AX40" s="694">
        <v>225449</v>
      </c>
      <c r="AY40" s="694">
        <v>225449</v>
      </c>
      <c r="AZ40" s="694">
        <v>225449</v>
      </c>
      <c r="BA40" s="694">
        <v>225449</v>
      </c>
      <c r="BB40" s="694">
        <v>225449</v>
      </c>
      <c r="BC40" s="694">
        <v>225449</v>
      </c>
      <c r="BD40" s="694">
        <v>225449</v>
      </c>
      <c r="BE40" s="694">
        <v>225449</v>
      </c>
      <c r="BF40" s="694">
        <v>225449</v>
      </c>
      <c r="BG40" s="694">
        <v>225449</v>
      </c>
      <c r="BH40" s="694">
        <v>225449</v>
      </c>
      <c r="BI40" s="694">
        <v>225449</v>
      </c>
      <c r="BJ40" s="694">
        <v>225449</v>
      </c>
      <c r="BK40" s="694">
        <v>73379</v>
      </c>
      <c r="BL40" s="694">
        <v>73379</v>
      </c>
      <c r="BM40" s="694">
        <v>73379</v>
      </c>
      <c r="BN40" s="694">
        <v>73379</v>
      </c>
      <c r="BO40" s="694">
        <v>72067</v>
      </c>
      <c r="BP40" s="694">
        <v>72067</v>
      </c>
      <c r="BQ40" s="694">
        <v>72067</v>
      </c>
      <c r="BR40" s="694"/>
      <c r="BS40" s="694"/>
      <c r="BT40" s="695"/>
      <c r="BU40" s="16"/>
    </row>
    <row r="41" spans="2:73" s="17" customFormat="1" ht="15.5">
      <c r="B41" s="689"/>
      <c r="C41" s="689" t="s">
        <v>792</v>
      </c>
      <c r="D41" s="804" t="s">
        <v>100</v>
      </c>
      <c r="E41" s="689" t="s">
        <v>790</v>
      </c>
      <c r="F41" s="689" t="s">
        <v>793</v>
      </c>
      <c r="G41" s="689" t="s">
        <v>791</v>
      </c>
      <c r="H41" s="689">
        <v>2015</v>
      </c>
      <c r="I41" s="644" t="s">
        <v>579</v>
      </c>
      <c r="J41" s="644" t="s">
        <v>584</v>
      </c>
      <c r="K41" s="633"/>
      <c r="L41" s="693"/>
      <c r="M41" s="694"/>
      <c r="N41" s="694"/>
      <c r="O41" s="694"/>
      <c r="P41" s="694">
        <v>69</v>
      </c>
      <c r="Q41" s="694">
        <v>69</v>
      </c>
      <c r="R41" s="694">
        <v>69</v>
      </c>
      <c r="S41" s="694">
        <v>66</v>
      </c>
      <c r="T41" s="694">
        <v>66</v>
      </c>
      <c r="U41" s="694">
        <v>66</v>
      </c>
      <c r="V41" s="694">
        <v>61</v>
      </c>
      <c r="W41" s="694">
        <v>61</v>
      </c>
      <c r="X41" s="694">
        <v>61</v>
      </c>
      <c r="Y41" s="694">
        <v>38</v>
      </c>
      <c r="Z41" s="694">
        <v>16</v>
      </c>
      <c r="AA41" s="694">
        <v>16</v>
      </c>
      <c r="AB41" s="694">
        <v>14</v>
      </c>
      <c r="AC41" s="694">
        <v>14</v>
      </c>
      <c r="AD41" s="694">
        <v>14</v>
      </c>
      <c r="AE41" s="694">
        <v>11</v>
      </c>
      <c r="AF41" s="694">
        <v>1</v>
      </c>
      <c r="AG41" s="694">
        <v>1</v>
      </c>
      <c r="AH41" s="694">
        <v>1</v>
      </c>
      <c r="AI41" s="694">
        <v>1</v>
      </c>
      <c r="AJ41" s="694">
        <v>0</v>
      </c>
      <c r="AK41" s="694">
        <v>0</v>
      </c>
      <c r="AL41" s="694">
        <v>0</v>
      </c>
      <c r="AM41" s="694"/>
      <c r="AN41" s="694"/>
      <c r="AO41" s="695"/>
      <c r="AP41" s="633"/>
      <c r="AQ41" s="693"/>
      <c r="AR41" s="694"/>
      <c r="AS41" s="694"/>
      <c r="AT41" s="694"/>
      <c r="AU41" s="694">
        <v>275170</v>
      </c>
      <c r="AV41" s="694">
        <v>275170</v>
      </c>
      <c r="AW41" s="694">
        <v>275170</v>
      </c>
      <c r="AX41" s="694">
        <v>268516</v>
      </c>
      <c r="AY41" s="694">
        <v>268516</v>
      </c>
      <c r="AZ41" s="694">
        <v>267035</v>
      </c>
      <c r="BA41" s="694">
        <v>243662</v>
      </c>
      <c r="BB41" s="694">
        <v>243662</v>
      </c>
      <c r="BC41" s="694">
        <v>243662</v>
      </c>
      <c r="BD41" s="694">
        <v>144643</v>
      </c>
      <c r="BE41" s="694">
        <v>43085</v>
      </c>
      <c r="BF41" s="694">
        <v>43085</v>
      </c>
      <c r="BG41" s="694">
        <v>17105</v>
      </c>
      <c r="BH41" s="694">
        <v>17105</v>
      </c>
      <c r="BI41" s="694">
        <v>17105</v>
      </c>
      <c r="BJ41" s="694">
        <v>13739</v>
      </c>
      <c r="BK41" s="694">
        <v>1427</v>
      </c>
      <c r="BL41" s="694">
        <v>1427</v>
      </c>
      <c r="BM41" s="694">
        <v>1427</v>
      </c>
      <c r="BN41" s="694">
        <v>1427</v>
      </c>
      <c r="BO41" s="694">
        <v>0</v>
      </c>
      <c r="BP41" s="694">
        <v>0</v>
      </c>
      <c r="BQ41" s="694">
        <v>0</v>
      </c>
      <c r="BR41" s="694"/>
      <c r="BS41" s="694"/>
      <c r="BT41" s="695"/>
      <c r="BU41" s="16"/>
    </row>
    <row r="42" spans="2:73" s="17" customFormat="1" ht="15.5">
      <c r="B42" s="689"/>
      <c r="C42" s="689" t="s">
        <v>795</v>
      </c>
      <c r="D42" s="804" t="s">
        <v>118</v>
      </c>
      <c r="E42" s="689" t="s">
        <v>790</v>
      </c>
      <c r="F42" s="689" t="s">
        <v>793</v>
      </c>
      <c r="G42" s="689" t="s">
        <v>791</v>
      </c>
      <c r="H42" s="689">
        <v>2015</v>
      </c>
      <c r="I42" s="644" t="s">
        <v>579</v>
      </c>
      <c r="J42" s="644" t="s">
        <v>584</v>
      </c>
      <c r="K42" s="633"/>
      <c r="L42" s="693"/>
      <c r="M42" s="694"/>
      <c r="N42" s="694"/>
      <c r="O42" s="694"/>
      <c r="P42" s="694">
        <v>6</v>
      </c>
      <c r="Q42" s="694">
        <v>6</v>
      </c>
      <c r="R42" s="694">
        <v>6</v>
      </c>
      <c r="S42" s="694">
        <v>6</v>
      </c>
      <c r="T42" s="694">
        <v>6</v>
      </c>
      <c r="U42" s="694">
        <v>6</v>
      </c>
      <c r="V42" s="694">
        <v>9</v>
      </c>
      <c r="W42" s="694">
        <v>9</v>
      </c>
      <c r="X42" s="694">
        <v>9</v>
      </c>
      <c r="Y42" s="694">
        <v>6</v>
      </c>
      <c r="Z42" s="694">
        <v>0</v>
      </c>
      <c r="AA42" s="694">
        <v>0</v>
      </c>
      <c r="AB42" s="694">
        <v>0</v>
      </c>
      <c r="AC42" s="694">
        <v>0</v>
      </c>
      <c r="AD42" s="694">
        <v>0</v>
      </c>
      <c r="AE42" s="694">
        <v>0</v>
      </c>
      <c r="AF42" s="694">
        <v>0</v>
      </c>
      <c r="AG42" s="694">
        <v>0</v>
      </c>
      <c r="AH42" s="694">
        <v>0</v>
      </c>
      <c r="AI42" s="694">
        <v>0</v>
      </c>
      <c r="AJ42" s="694">
        <v>0</v>
      </c>
      <c r="AK42" s="694">
        <v>0</v>
      </c>
      <c r="AL42" s="694">
        <v>0</v>
      </c>
      <c r="AM42" s="694"/>
      <c r="AN42" s="694"/>
      <c r="AO42" s="695"/>
      <c r="AP42" s="633"/>
      <c r="AQ42" s="693"/>
      <c r="AR42" s="694"/>
      <c r="AS42" s="694"/>
      <c r="AT42" s="694"/>
      <c r="AU42" s="694">
        <v>270321</v>
      </c>
      <c r="AV42" s="694">
        <v>270321</v>
      </c>
      <c r="AW42" s="694">
        <v>270321</v>
      </c>
      <c r="AX42" s="694">
        <v>270321</v>
      </c>
      <c r="AY42" s="694">
        <v>270321</v>
      </c>
      <c r="AZ42" s="694">
        <v>270321</v>
      </c>
      <c r="BA42" s="694">
        <v>288270</v>
      </c>
      <c r="BB42" s="694">
        <v>288270</v>
      </c>
      <c r="BC42" s="694">
        <v>288270</v>
      </c>
      <c r="BD42" s="694">
        <v>275091</v>
      </c>
      <c r="BE42" s="694">
        <v>237072</v>
      </c>
      <c r="BF42" s="694">
        <v>232294</v>
      </c>
      <c r="BG42" s="694">
        <v>209506</v>
      </c>
      <c r="BH42" s="694">
        <v>209506</v>
      </c>
      <c r="BI42" s="694">
        <v>209506</v>
      </c>
      <c r="BJ42" s="694">
        <v>144249</v>
      </c>
      <c r="BK42" s="694">
        <v>0</v>
      </c>
      <c r="BL42" s="694">
        <v>0</v>
      </c>
      <c r="BM42" s="694">
        <v>0</v>
      </c>
      <c r="BN42" s="694">
        <v>0</v>
      </c>
      <c r="BO42" s="694"/>
      <c r="BP42" s="694"/>
      <c r="BQ42" s="694"/>
      <c r="BR42" s="694"/>
      <c r="BS42" s="694"/>
      <c r="BT42" s="695"/>
      <c r="BU42" s="16"/>
    </row>
    <row r="43" spans="2:73" s="17" customFormat="1" ht="15.5">
      <c r="B43" s="689"/>
      <c r="C43" s="689" t="s">
        <v>792</v>
      </c>
      <c r="D43" s="804" t="s">
        <v>100</v>
      </c>
      <c r="E43" s="689" t="s">
        <v>790</v>
      </c>
      <c r="F43" s="689" t="s">
        <v>793</v>
      </c>
      <c r="G43" s="689" t="s">
        <v>791</v>
      </c>
      <c r="H43" s="689">
        <v>2015</v>
      </c>
      <c r="I43" s="644" t="s">
        <v>579</v>
      </c>
      <c r="J43" s="644" t="s">
        <v>584</v>
      </c>
      <c r="K43" s="633"/>
      <c r="L43" s="693"/>
      <c r="M43" s="694"/>
      <c r="N43" s="694"/>
      <c r="O43" s="694"/>
      <c r="P43" s="694">
        <v>-9</v>
      </c>
      <c r="Q43" s="694">
        <v>-9</v>
      </c>
      <c r="R43" s="694">
        <v>6</v>
      </c>
      <c r="S43" s="694">
        <v>13</v>
      </c>
      <c r="T43" s="694">
        <v>13</v>
      </c>
      <c r="U43" s="694">
        <v>13</v>
      </c>
      <c r="V43" s="694">
        <v>27</v>
      </c>
      <c r="W43" s="694">
        <v>27</v>
      </c>
      <c r="X43" s="694">
        <v>27</v>
      </c>
      <c r="Y43" s="694">
        <v>20</v>
      </c>
      <c r="Z43" s="694">
        <v>10</v>
      </c>
      <c r="AA43" s="694">
        <v>10</v>
      </c>
      <c r="AB43" s="694">
        <v>1</v>
      </c>
      <c r="AC43" s="694">
        <v>1</v>
      </c>
      <c r="AD43" s="694">
        <v>1</v>
      </c>
      <c r="AE43" s="694">
        <v>1</v>
      </c>
      <c r="AF43" s="694">
        <v>2</v>
      </c>
      <c r="AG43" s="694">
        <v>2</v>
      </c>
      <c r="AH43" s="694">
        <v>2</v>
      </c>
      <c r="AI43" s="694">
        <v>2</v>
      </c>
      <c r="AJ43" s="694">
        <v>0</v>
      </c>
      <c r="AK43" s="694">
        <v>0</v>
      </c>
      <c r="AL43" s="694">
        <v>0</v>
      </c>
      <c r="AM43" s="694"/>
      <c r="AN43" s="694"/>
      <c r="AO43" s="695"/>
      <c r="AP43" s="633"/>
      <c r="AQ43" s="693"/>
      <c r="AR43" s="694"/>
      <c r="AS43" s="694"/>
      <c r="AT43" s="694"/>
      <c r="AU43" s="694">
        <v>-43690</v>
      </c>
      <c r="AV43" s="694">
        <v>-43690</v>
      </c>
      <c r="AW43" s="694">
        <v>6767</v>
      </c>
      <c r="AX43" s="694">
        <v>26474</v>
      </c>
      <c r="AY43" s="694">
        <v>26474</v>
      </c>
      <c r="AZ43" s="694">
        <v>26492</v>
      </c>
      <c r="BA43" s="694">
        <v>98615</v>
      </c>
      <c r="BB43" s="694">
        <v>98615</v>
      </c>
      <c r="BC43" s="694">
        <v>142524</v>
      </c>
      <c r="BD43" s="694">
        <v>128824</v>
      </c>
      <c r="BE43" s="694">
        <v>43769</v>
      </c>
      <c r="BF43" s="694">
        <v>18201</v>
      </c>
      <c r="BG43" s="694">
        <v>4608</v>
      </c>
      <c r="BH43" s="694">
        <v>4608</v>
      </c>
      <c r="BI43" s="694">
        <v>4608</v>
      </c>
      <c r="BJ43" s="694">
        <v>4371</v>
      </c>
      <c r="BK43" s="694">
        <v>3506</v>
      </c>
      <c r="BL43" s="694">
        <v>3506</v>
      </c>
      <c r="BM43" s="694">
        <v>3506</v>
      </c>
      <c r="BN43" s="694">
        <v>3506</v>
      </c>
      <c r="BO43" s="694"/>
      <c r="BP43" s="694"/>
      <c r="BQ43" s="694"/>
      <c r="BR43" s="694"/>
      <c r="BS43" s="694"/>
      <c r="BT43" s="695"/>
      <c r="BU43" s="16"/>
    </row>
    <row r="44" spans="2:73" s="17" customFormat="1" ht="15.5">
      <c r="B44" s="689"/>
      <c r="C44" s="689" t="s">
        <v>10</v>
      </c>
      <c r="D44" s="804" t="s">
        <v>104</v>
      </c>
      <c r="E44" s="689" t="s">
        <v>790</v>
      </c>
      <c r="F44" s="689" t="s">
        <v>794</v>
      </c>
      <c r="G44" s="689" t="s">
        <v>791</v>
      </c>
      <c r="H44" s="689">
        <v>2015</v>
      </c>
      <c r="I44" s="644" t="s">
        <v>579</v>
      </c>
      <c r="J44" s="644" t="s">
        <v>584</v>
      </c>
      <c r="K44" s="633"/>
      <c r="L44" s="693"/>
      <c r="M44" s="694"/>
      <c r="N44" s="694"/>
      <c r="O44" s="694"/>
      <c r="P44" s="694">
        <v>734</v>
      </c>
      <c r="Q44" s="694">
        <v>734</v>
      </c>
      <c r="R44" s="694">
        <v>734</v>
      </c>
      <c r="S44" s="694">
        <v>734</v>
      </c>
      <c r="T44" s="694">
        <v>734</v>
      </c>
      <c r="U44" s="694">
        <v>734</v>
      </c>
      <c r="V44" s="694">
        <v>734</v>
      </c>
      <c r="W44" s="694">
        <v>734</v>
      </c>
      <c r="X44" s="694">
        <v>734</v>
      </c>
      <c r="Y44" s="694">
        <v>734</v>
      </c>
      <c r="Z44" s="694">
        <v>734</v>
      </c>
      <c r="AA44" s="694">
        <v>734</v>
      </c>
      <c r="AB44" s="694">
        <v>734</v>
      </c>
      <c r="AC44" s="694">
        <v>734</v>
      </c>
      <c r="AD44" s="694">
        <v>734</v>
      </c>
      <c r="AE44" s="694">
        <v>734</v>
      </c>
      <c r="AF44" s="694">
        <v>734</v>
      </c>
      <c r="AG44" s="694">
        <v>734</v>
      </c>
      <c r="AH44" s="694">
        <v>734</v>
      </c>
      <c r="AI44" s="694">
        <v>734</v>
      </c>
      <c r="AJ44" s="694">
        <v>0</v>
      </c>
      <c r="AK44" s="694">
        <v>0</v>
      </c>
      <c r="AL44" s="694">
        <v>0</v>
      </c>
      <c r="AM44" s="694"/>
      <c r="AN44" s="694"/>
      <c r="AO44" s="695"/>
      <c r="AP44" s="633"/>
      <c r="AQ44" s="693"/>
      <c r="AR44" s="694"/>
      <c r="AS44" s="694"/>
      <c r="AT44" s="694"/>
      <c r="AU44" s="694">
        <v>9012548</v>
      </c>
      <c r="AV44" s="694">
        <v>9012548</v>
      </c>
      <c r="AW44" s="694">
        <v>9012548</v>
      </c>
      <c r="AX44" s="694">
        <v>9012548</v>
      </c>
      <c r="AY44" s="694">
        <v>9012548</v>
      </c>
      <c r="AZ44" s="694">
        <v>9012548</v>
      </c>
      <c r="BA44" s="694">
        <v>9012548</v>
      </c>
      <c r="BB44" s="694">
        <v>9012548</v>
      </c>
      <c r="BC44" s="694">
        <v>9012548</v>
      </c>
      <c r="BD44" s="694">
        <v>9012548</v>
      </c>
      <c r="BE44" s="694">
        <v>9012548</v>
      </c>
      <c r="BF44" s="694">
        <v>9012548</v>
      </c>
      <c r="BG44" s="694">
        <v>9012548</v>
      </c>
      <c r="BH44" s="694">
        <v>9012548</v>
      </c>
      <c r="BI44" s="694">
        <v>9012548</v>
      </c>
      <c r="BJ44" s="694">
        <v>9012548</v>
      </c>
      <c r="BK44" s="694">
        <v>9012548</v>
      </c>
      <c r="BL44" s="694">
        <v>9012548</v>
      </c>
      <c r="BM44" s="694">
        <v>9012548</v>
      </c>
      <c r="BN44" s="694">
        <v>9012548</v>
      </c>
      <c r="BO44" s="694"/>
      <c r="BP44" s="694"/>
      <c r="BQ44" s="694"/>
      <c r="BR44" s="694"/>
      <c r="BS44" s="694"/>
      <c r="BT44" s="695"/>
      <c r="BU44" s="16"/>
    </row>
    <row r="45" spans="2:73" s="17" customFormat="1" ht="15.5">
      <c r="B45" s="689"/>
      <c r="C45" s="805"/>
      <c r="D45" s="805"/>
      <c r="E45" s="805"/>
      <c r="F45" s="805"/>
      <c r="G45" s="805"/>
      <c r="H45" s="805"/>
      <c r="I45" s="806"/>
      <c r="J45" s="806"/>
      <c r="K45" s="807"/>
      <c r="L45" s="808"/>
      <c r="M45" s="809"/>
      <c r="N45" s="809"/>
      <c r="O45" s="809"/>
      <c r="P45" s="809"/>
      <c r="Q45" s="809"/>
      <c r="R45" s="809"/>
      <c r="S45" s="809"/>
      <c r="T45" s="809"/>
      <c r="U45" s="809"/>
      <c r="V45" s="809"/>
      <c r="W45" s="809"/>
      <c r="X45" s="809"/>
      <c r="Y45" s="809"/>
      <c r="Z45" s="809"/>
      <c r="AA45" s="809"/>
      <c r="AB45" s="809"/>
      <c r="AC45" s="809"/>
      <c r="AD45" s="809"/>
      <c r="AE45" s="809"/>
      <c r="AF45" s="809"/>
      <c r="AG45" s="809"/>
      <c r="AH45" s="809"/>
      <c r="AI45" s="809"/>
      <c r="AJ45" s="809"/>
      <c r="AK45" s="809"/>
      <c r="AL45" s="809"/>
      <c r="AM45" s="809"/>
      <c r="AN45" s="809"/>
      <c r="AO45" s="810"/>
      <c r="AP45" s="807"/>
      <c r="AQ45" s="808"/>
      <c r="AR45" s="809"/>
      <c r="AS45" s="809"/>
      <c r="AT45" s="809"/>
      <c r="AU45" s="809"/>
      <c r="AV45" s="809"/>
      <c r="AW45" s="809"/>
      <c r="AX45" s="809"/>
      <c r="AY45" s="809"/>
      <c r="AZ45" s="809"/>
      <c r="BA45" s="809"/>
      <c r="BB45" s="809"/>
      <c r="BC45" s="809"/>
      <c r="BD45" s="809"/>
      <c r="BE45" s="809"/>
      <c r="BF45" s="809"/>
      <c r="BG45" s="809"/>
      <c r="BH45" s="809"/>
      <c r="BI45" s="809"/>
      <c r="BJ45" s="809"/>
      <c r="BK45" s="809"/>
      <c r="BL45" s="809"/>
      <c r="BM45" s="809"/>
      <c r="BN45" s="809"/>
      <c r="BO45" s="809"/>
      <c r="BP45" s="809"/>
      <c r="BQ45" s="809"/>
      <c r="BR45" s="809"/>
      <c r="BS45" s="809"/>
      <c r="BT45" s="810"/>
      <c r="BU45" s="16"/>
    </row>
    <row r="46" spans="2:73" s="17" customFormat="1" ht="15.5">
      <c r="B46" s="689"/>
      <c r="C46" s="689" t="s">
        <v>796</v>
      </c>
      <c r="D46" s="804" t="s">
        <v>113</v>
      </c>
      <c r="E46" s="689" t="s">
        <v>790</v>
      </c>
      <c r="F46" s="689" t="s">
        <v>29</v>
      </c>
      <c r="G46" s="689" t="s">
        <v>791</v>
      </c>
      <c r="H46" s="689">
        <v>2016</v>
      </c>
      <c r="I46" s="644" t="s">
        <v>579</v>
      </c>
      <c r="J46" s="644" t="s">
        <v>591</v>
      </c>
      <c r="K46" s="633"/>
      <c r="L46" s="693"/>
      <c r="M46" s="694"/>
      <c r="N46" s="694"/>
      <c r="O46" s="694"/>
      <c r="P46" s="694"/>
      <c r="Q46" s="694">
        <v>482</v>
      </c>
      <c r="R46" s="694">
        <v>482</v>
      </c>
      <c r="S46" s="694">
        <v>482</v>
      </c>
      <c r="T46" s="694">
        <v>482</v>
      </c>
      <c r="U46" s="694">
        <v>482</v>
      </c>
      <c r="V46" s="694">
        <v>482</v>
      </c>
      <c r="W46" s="694">
        <v>482</v>
      </c>
      <c r="X46" s="694">
        <v>482</v>
      </c>
      <c r="Y46" s="694">
        <v>482</v>
      </c>
      <c r="Z46" s="694">
        <v>480</v>
      </c>
      <c r="AA46" s="694">
        <v>464</v>
      </c>
      <c r="AB46" s="694">
        <v>464</v>
      </c>
      <c r="AC46" s="694">
        <v>464</v>
      </c>
      <c r="AD46" s="694">
        <v>463</v>
      </c>
      <c r="AE46" s="694">
        <v>403</v>
      </c>
      <c r="AF46" s="694">
        <v>403</v>
      </c>
      <c r="AG46" s="694">
        <v>168</v>
      </c>
      <c r="AH46" s="694">
        <v>0</v>
      </c>
      <c r="AI46" s="694">
        <v>0</v>
      </c>
      <c r="AJ46" s="694">
        <v>0</v>
      </c>
      <c r="AK46" s="694"/>
      <c r="AL46" s="694"/>
      <c r="AM46" s="694"/>
      <c r="AN46" s="694"/>
      <c r="AO46" s="695"/>
      <c r="AP46" s="633"/>
      <c r="AQ46" s="693"/>
      <c r="AR46" s="694"/>
      <c r="AS46" s="694"/>
      <c r="AT46" s="694"/>
      <c r="AU46" s="694"/>
      <c r="AV46" s="694">
        <v>7417669</v>
      </c>
      <c r="AW46" s="694">
        <v>7417669</v>
      </c>
      <c r="AX46" s="694">
        <v>7417669</v>
      </c>
      <c r="AY46" s="694">
        <v>7417669</v>
      </c>
      <c r="AZ46" s="694">
        <v>7417669</v>
      </c>
      <c r="BA46" s="694">
        <v>7417669</v>
      </c>
      <c r="BB46" s="694">
        <v>7417669</v>
      </c>
      <c r="BC46" s="694">
        <v>7416614</v>
      </c>
      <c r="BD46" s="694">
        <v>7416614</v>
      </c>
      <c r="BE46" s="694">
        <v>7385670</v>
      </c>
      <c r="BF46" s="694">
        <v>7299544</v>
      </c>
      <c r="BG46" s="694">
        <v>7295369</v>
      </c>
      <c r="BH46" s="694">
        <v>7295369</v>
      </c>
      <c r="BI46" s="694">
        <v>7257230</v>
      </c>
      <c r="BJ46" s="694">
        <v>6294208</v>
      </c>
      <c r="BK46" s="694">
        <v>6294208</v>
      </c>
      <c r="BL46" s="694">
        <v>2675769</v>
      </c>
      <c r="BM46" s="694">
        <v>0</v>
      </c>
      <c r="BN46" s="694">
        <v>0</v>
      </c>
      <c r="BO46" s="694">
        <v>0</v>
      </c>
      <c r="BP46" s="694"/>
      <c r="BQ46" s="694"/>
      <c r="BR46" s="694"/>
      <c r="BS46" s="694"/>
      <c r="BT46" s="695"/>
      <c r="BU46" s="16"/>
    </row>
    <row r="47" spans="2:73" s="17" customFormat="1" ht="15.5">
      <c r="B47" s="689"/>
      <c r="C47" s="689" t="s">
        <v>796</v>
      </c>
      <c r="D47" s="804" t="s">
        <v>797</v>
      </c>
      <c r="E47" s="689" t="s">
        <v>790</v>
      </c>
      <c r="F47" s="689" t="s">
        <v>29</v>
      </c>
      <c r="G47" s="689" t="s">
        <v>791</v>
      </c>
      <c r="H47" s="689">
        <v>2016</v>
      </c>
      <c r="I47" s="644" t="s">
        <v>579</v>
      </c>
      <c r="J47" s="644" t="s">
        <v>591</v>
      </c>
      <c r="K47" s="633"/>
      <c r="L47" s="693"/>
      <c r="M47" s="694"/>
      <c r="N47" s="694"/>
      <c r="O47" s="694"/>
      <c r="P47" s="694"/>
      <c r="Q47" s="694">
        <v>320</v>
      </c>
      <c r="R47" s="694">
        <v>320</v>
      </c>
      <c r="S47" s="694">
        <v>320</v>
      </c>
      <c r="T47" s="694">
        <v>320</v>
      </c>
      <c r="U47" s="694">
        <v>320</v>
      </c>
      <c r="V47" s="694">
        <v>320</v>
      </c>
      <c r="W47" s="694">
        <v>320</v>
      </c>
      <c r="X47" s="694">
        <v>320</v>
      </c>
      <c r="Y47" s="694">
        <v>320</v>
      </c>
      <c r="Z47" s="694">
        <v>320</v>
      </c>
      <c r="AA47" s="694">
        <v>320</v>
      </c>
      <c r="AB47" s="694">
        <v>320</v>
      </c>
      <c r="AC47" s="694">
        <v>320</v>
      </c>
      <c r="AD47" s="694">
        <v>320</v>
      </c>
      <c r="AE47" s="694">
        <v>320</v>
      </c>
      <c r="AF47" s="694">
        <v>320</v>
      </c>
      <c r="AG47" s="694">
        <v>320</v>
      </c>
      <c r="AH47" s="694">
        <v>320</v>
      </c>
      <c r="AI47" s="694">
        <v>286</v>
      </c>
      <c r="AJ47" s="694">
        <v>0</v>
      </c>
      <c r="AK47" s="694"/>
      <c r="AL47" s="694"/>
      <c r="AM47" s="694"/>
      <c r="AN47" s="694"/>
      <c r="AO47" s="695"/>
      <c r="AP47" s="633"/>
      <c r="AQ47" s="693"/>
      <c r="AR47" s="694"/>
      <c r="AS47" s="694"/>
      <c r="AT47" s="694"/>
      <c r="AU47" s="694"/>
      <c r="AV47" s="694">
        <v>1068465</v>
      </c>
      <c r="AW47" s="694">
        <v>1068465</v>
      </c>
      <c r="AX47" s="694">
        <v>1068465</v>
      </c>
      <c r="AY47" s="694">
        <v>1068465</v>
      </c>
      <c r="AZ47" s="694">
        <v>1068465</v>
      </c>
      <c r="BA47" s="694">
        <v>1068465</v>
      </c>
      <c r="BB47" s="694">
        <v>1068465</v>
      </c>
      <c r="BC47" s="694">
        <v>1068465</v>
      </c>
      <c r="BD47" s="694">
        <v>1068465</v>
      </c>
      <c r="BE47" s="694">
        <v>1068465</v>
      </c>
      <c r="BF47" s="694">
        <v>1068465</v>
      </c>
      <c r="BG47" s="694">
        <v>1068465</v>
      </c>
      <c r="BH47" s="694">
        <v>1068465</v>
      </c>
      <c r="BI47" s="694">
        <v>1068465</v>
      </c>
      <c r="BJ47" s="694">
        <v>1068465</v>
      </c>
      <c r="BK47" s="694">
        <v>1068465</v>
      </c>
      <c r="BL47" s="694">
        <v>1068465</v>
      </c>
      <c r="BM47" s="694">
        <v>1068465</v>
      </c>
      <c r="BN47" s="694">
        <v>1038128</v>
      </c>
      <c r="BO47" s="694">
        <v>0</v>
      </c>
      <c r="BP47" s="694"/>
      <c r="BQ47" s="694"/>
      <c r="BR47" s="694"/>
      <c r="BS47" s="694"/>
      <c r="BT47" s="695"/>
      <c r="BU47" s="16"/>
    </row>
    <row r="48" spans="2:73" s="17" customFormat="1" ht="15.5">
      <c r="B48" s="689"/>
      <c r="C48" s="689" t="s">
        <v>795</v>
      </c>
      <c r="D48" s="804" t="s">
        <v>118</v>
      </c>
      <c r="E48" s="689" t="s">
        <v>790</v>
      </c>
      <c r="F48" s="689" t="s">
        <v>793</v>
      </c>
      <c r="G48" s="689" t="s">
        <v>791</v>
      </c>
      <c r="H48" s="689">
        <v>2016</v>
      </c>
      <c r="I48" s="644" t="s">
        <v>579</v>
      </c>
      <c r="J48" s="644" t="s">
        <v>591</v>
      </c>
      <c r="K48" s="633"/>
      <c r="L48" s="693"/>
      <c r="M48" s="694"/>
      <c r="N48" s="694"/>
      <c r="O48" s="694"/>
      <c r="P48" s="694"/>
      <c r="Q48" s="694">
        <v>283</v>
      </c>
      <c r="R48" s="694">
        <v>278</v>
      </c>
      <c r="S48" s="694">
        <v>278</v>
      </c>
      <c r="T48" s="694">
        <v>278</v>
      </c>
      <c r="U48" s="694">
        <v>278</v>
      </c>
      <c r="V48" s="694">
        <v>277</v>
      </c>
      <c r="W48" s="694">
        <v>277</v>
      </c>
      <c r="X48" s="694">
        <v>277</v>
      </c>
      <c r="Y48" s="694">
        <v>277</v>
      </c>
      <c r="Z48" s="694">
        <v>277</v>
      </c>
      <c r="AA48" s="694">
        <v>273</v>
      </c>
      <c r="AB48" s="694">
        <v>215</v>
      </c>
      <c r="AC48" s="694">
        <v>126</v>
      </c>
      <c r="AD48" s="694">
        <v>126</v>
      </c>
      <c r="AE48" s="694">
        <v>39</v>
      </c>
      <c r="AF48" s="694">
        <v>8</v>
      </c>
      <c r="AG48" s="694">
        <v>8</v>
      </c>
      <c r="AH48" s="694">
        <v>8</v>
      </c>
      <c r="AI48" s="694">
        <v>8</v>
      </c>
      <c r="AJ48" s="694">
        <v>8</v>
      </c>
      <c r="AK48" s="694"/>
      <c r="AL48" s="694"/>
      <c r="AM48" s="694"/>
      <c r="AN48" s="694"/>
      <c r="AO48" s="695"/>
      <c r="AP48" s="633"/>
      <c r="AQ48" s="693"/>
      <c r="AR48" s="694"/>
      <c r="AS48" s="694"/>
      <c r="AT48" s="694"/>
      <c r="AU48" s="694"/>
      <c r="AV48" s="694">
        <v>1842371</v>
      </c>
      <c r="AW48" s="694">
        <v>1819642</v>
      </c>
      <c r="AX48" s="694">
        <v>1819642</v>
      </c>
      <c r="AY48" s="694">
        <v>1819642</v>
      </c>
      <c r="AZ48" s="694">
        <v>1819642</v>
      </c>
      <c r="BA48" s="694">
        <v>1799644</v>
      </c>
      <c r="BB48" s="694">
        <v>1799644</v>
      </c>
      <c r="BC48" s="694">
        <v>1799644</v>
      </c>
      <c r="BD48" s="694">
        <v>1798901</v>
      </c>
      <c r="BE48" s="694">
        <v>1798901</v>
      </c>
      <c r="BF48" s="694">
        <v>1730765</v>
      </c>
      <c r="BG48" s="694">
        <v>1447636</v>
      </c>
      <c r="BH48" s="694">
        <v>800655</v>
      </c>
      <c r="BI48" s="694">
        <v>800655</v>
      </c>
      <c r="BJ48" s="694">
        <v>146631</v>
      </c>
      <c r="BK48" s="694">
        <v>5404</v>
      </c>
      <c r="BL48" s="694">
        <v>5404</v>
      </c>
      <c r="BM48" s="694">
        <v>5404</v>
      </c>
      <c r="BN48" s="694">
        <v>5404</v>
      </c>
      <c r="BO48" s="694">
        <v>5404</v>
      </c>
      <c r="BP48" s="694"/>
      <c r="BQ48" s="694"/>
      <c r="BR48" s="694"/>
      <c r="BS48" s="694"/>
      <c r="BT48" s="695"/>
      <c r="BU48" s="16"/>
    </row>
    <row r="49" spans="2:73" s="17" customFormat="1" ht="15.5">
      <c r="B49" s="689"/>
      <c r="C49" s="689" t="s">
        <v>795</v>
      </c>
      <c r="D49" s="804" t="s">
        <v>119</v>
      </c>
      <c r="E49" s="689" t="s">
        <v>790</v>
      </c>
      <c r="F49" s="689" t="s">
        <v>793</v>
      </c>
      <c r="G49" s="689" t="s">
        <v>791</v>
      </c>
      <c r="H49" s="689">
        <v>2016</v>
      </c>
      <c r="I49" s="644" t="s">
        <v>579</v>
      </c>
      <c r="J49" s="644" t="s">
        <v>591</v>
      </c>
      <c r="K49" s="633"/>
      <c r="L49" s="693"/>
      <c r="M49" s="694"/>
      <c r="N49" s="694"/>
      <c r="O49" s="694"/>
      <c r="P49" s="694"/>
      <c r="Q49" s="694">
        <v>236</v>
      </c>
      <c r="R49" s="694">
        <v>236</v>
      </c>
      <c r="S49" s="694">
        <v>236</v>
      </c>
      <c r="T49" s="694">
        <v>226</v>
      </c>
      <c r="U49" s="694">
        <v>215</v>
      </c>
      <c r="V49" s="694">
        <v>167</v>
      </c>
      <c r="W49" s="694">
        <v>135</v>
      </c>
      <c r="X49" s="694">
        <v>118</v>
      </c>
      <c r="Y49" s="694">
        <v>93</v>
      </c>
      <c r="Z49" s="694">
        <v>58</v>
      </c>
      <c r="AA49" s="694">
        <v>28</v>
      </c>
      <c r="AB49" s="694">
        <v>19</v>
      </c>
      <c r="AC49" s="694">
        <v>9</v>
      </c>
      <c r="AD49" s="694">
        <v>5</v>
      </c>
      <c r="AE49" s="694">
        <v>3</v>
      </c>
      <c r="AF49" s="694">
        <v>1</v>
      </c>
      <c r="AG49" s="694">
        <v>1</v>
      </c>
      <c r="AH49" s="694">
        <v>1</v>
      </c>
      <c r="AI49" s="694">
        <v>0</v>
      </c>
      <c r="AJ49" s="694">
        <v>0</v>
      </c>
      <c r="AK49" s="694"/>
      <c r="AL49" s="694"/>
      <c r="AM49" s="694"/>
      <c r="AN49" s="694"/>
      <c r="AO49" s="695"/>
      <c r="AP49" s="633"/>
      <c r="AQ49" s="693"/>
      <c r="AR49" s="694"/>
      <c r="AS49" s="694"/>
      <c r="AT49" s="694"/>
      <c r="AU49" s="694"/>
      <c r="AV49" s="694">
        <v>1354329</v>
      </c>
      <c r="AW49" s="694">
        <v>1354329</v>
      </c>
      <c r="AX49" s="694">
        <v>1343623</v>
      </c>
      <c r="AY49" s="694">
        <v>1228531</v>
      </c>
      <c r="AZ49" s="694">
        <v>1137843</v>
      </c>
      <c r="BA49" s="694">
        <v>777056</v>
      </c>
      <c r="BB49" s="694">
        <v>543064</v>
      </c>
      <c r="BC49" s="694">
        <v>455457</v>
      </c>
      <c r="BD49" s="694">
        <v>338799</v>
      </c>
      <c r="BE49" s="694">
        <v>198524</v>
      </c>
      <c r="BF49" s="694">
        <v>87429</v>
      </c>
      <c r="BG49" s="694">
        <v>55480</v>
      </c>
      <c r="BH49" s="694">
        <v>25127</v>
      </c>
      <c r="BI49" s="694">
        <v>15511</v>
      </c>
      <c r="BJ49" s="694">
        <v>9958</v>
      </c>
      <c r="BK49" s="694">
        <v>4951</v>
      </c>
      <c r="BL49" s="694">
        <v>4951</v>
      </c>
      <c r="BM49" s="694">
        <v>3050</v>
      </c>
      <c r="BN49" s="694">
        <v>0</v>
      </c>
      <c r="BO49" s="694">
        <v>0</v>
      </c>
      <c r="BP49" s="694"/>
      <c r="BQ49" s="694"/>
      <c r="BR49" s="694"/>
      <c r="BS49" s="694"/>
      <c r="BT49" s="695"/>
      <c r="BU49" s="16"/>
    </row>
    <row r="50" spans="2:73" s="17" customFormat="1" ht="15.5">
      <c r="B50" s="689"/>
      <c r="C50" s="689" t="s">
        <v>795</v>
      </c>
      <c r="D50" s="804" t="s">
        <v>120</v>
      </c>
      <c r="E50" s="689" t="s">
        <v>790</v>
      </c>
      <c r="F50" s="689" t="s">
        <v>793</v>
      </c>
      <c r="G50" s="689" t="s">
        <v>791</v>
      </c>
      <c r="H50" s="689">
        <v>2016</v>
      </c>
      <c r="I50" s="644" t="s">
        <v>579</v>
      </c>
      <c r="J50" s="644" t="s">
        <v>591</v>
      </c>
      <c r="K50" s="633"/>
      <c r="L50" s="693"/>
      <c r="M50" s="694"/>
      <c r="N50" s="694"/>
      <c r="O50" s="694"/>
      <c r="P50" s="694"/>
      <c r="Q50" s="694">
        <v>8</v>
      </c>
      <c r="R50" s="694">
        <v>8</v>
      </c>
      <c r="S50" s="694">
        <v>8</v>
      </c>
      <c r="T50" s="694">
        <v>8</v>
      </c>
      <c r="U50" s="694">
        <v>8</v>
      </c>
      <c r="V50" s="694">
        <v>8</v>
      </c>
      <c r="W50" s="694">
        <v>8</v>
      </c>
      <c r="X50" s="694">
        <v>8</v>
      </c>
      <c r="Y50" s="694">
        <v>8</v>
      </c>
      <c r="Z50" s="694">
        <v>8</v>
      </c>
      <c r="AA50" s="694">
        <v>8</v>
      </c>
      <c r="AB50" s="694">
        <v>8</v>
      </c>
      <c r="AC50" s="694">
        <v>8</v>
      </c>
      <c r="AD50" s="694">
        <v>8</v>
      </c>
      <c r="AE50" s="694">
        <v>8</v>
      </c>
      <c r="AF50" s="694">
        <v>3</v>
      </c>
      <c r="AG50" s="694">
        <v>0</v>
      </c>
      <c r="AH50" s="694">
        <v>0</v>
      </c>
      <c r="AI50" s="694">
        <v>0</v>
      </c>
      <c r="AJ50" s="694">
        <v>0</v>
      </c>
      <c r="AK50" s="694"/>
      <c r="AL50" s="694"/>
      <c r="AM50" s="694"/>
      <c r="AN50" s="694"/>
      <c r="AO50" s="695"/>
      <c r="AP50" s="633"/>
      <c r="AQ50" s="693"/>
      <c r="AR50" s="694"/>
      <c r="AS50" s="694"/>
      <c r="AT50" s="694"/>
      <c r="AU50" s="694"/>
      <c r="AV50" s="694">
        <v>5102</v>
      </c>
      <c r="AW50" s="694">
        <v>5102</v>
      </c>
      <c r="AX50" s="694">
        <v>5102</v>
      </c>
      <c r="AY50" s="694">
        <v>5102</v>
      </c>
      <c r="AZ50" s="694">
        <v>5102</v>
      </c>
      <c r="BA50" s="694">
        <v>5102</v>
      </c>
      <c r="BB50" s="694">
        <v>5102</v>
      </c>
      <c r="BC50" s="694">
        <v>5102</v>
      </c>
      <c r="BD50" s="694">
        <v>5102</v>
      </c>
      <c r="BE50" s="694">
        <v>5102</v>
      </c>
      <c r="BF50" s="694">
        <v>5102</v>
      </c>
      <c r="BG50" s="694">
        <v>5102</v>
      </c>
      <c r="BH50" s="694">
        <v>5102</v>
      </c>
      <c r="BI50" s="694">
        <v>5102</v>
      </c>
      <c r="BJ50" s="694">
        <v>5102</v>
      </c>
      <c r="BK50" s="694">
        <v>1833</v>
      </c>
      <c r="BL50" s="694">
        <v>0</v>
      </c>
      <c r="BM50" s="694">
        <v>0</v>
      </c>
      <c r="BN50" s="694">
        <v>0</v>
      </c>
      <c r="BO50" s="694">
        <v>0</v>
      </c>
      <c r="BP50" s="694"/>
      <c r="BQ50" s="694"/>
      <c r="BR50" s="694"/>
      <c r="BS50" s="694"/>
      <c r="BT50" s="695"/>
      <c r="BU50" s="16"/>
    </row>
    <row r="51" spans="2:73" s="17" customFormat="1" ht="15.5">
      <c r="B51" s="689"/>
      <c r="C51" s="689" t="s">
        <v>789</v>
      </c>
      <c r="D51" s="804" t="s">
        <v>787</v>
      </c>
      <c r="E51" s="689" t="s">
        <v>790</v>
      </c>
      <c r="F51" s="689" t="s">
        <v>29</v>
      </c>
      <c r="G51" s="689" t="s">
        <v>791</v>
      </c>
      <c r="H51" s="689">
        <v>2016</v>
      </c>
      <c r="I51" s="644" t="s">
        <v>579</v>
      </c>
      <c r="J51" s="644" t="s">
        <v>591</v>
      </c>
      <c r="K51" s="633"/>
      <c r="L51" s="693"/>
      <c r="M51" s="694"/>
      <c r="N51" s="694"/>
      <c r="O51" s="694"/>
      <c r="P51" s="694"/>
      <c r="Q51" s="694">
        <v>0</v>
      </c>
      <c r="R51" s="694">
        <v>0</v>
      </c>
      <c r="S51" s="694">
        <v>0</v>
      </c>
      <c r="T51" s="694">
        <v>0</v>
      </c>
      <c r="U51" s="694">
        <v>0</v>
      </c>
      <c r="V51" s="694">
        <v>0</v>
      </c>
      <c r="W51" s="694">
        <v>0</v>
      </c>
      <c r="X51" s="694">
        <v>0</v>
      </c>
      <c r="Y51" s="694">
        <v>0</v>
      </c>
      <c r="Z51" s="694">
        <v>0</v>
      </c>
      <c r="AA51" s="694">
        <v>0</v>
      </c>
      <c r="AB51" s="694">
        <v>0</v>
      </c>
      <c r="AC51" s="694">
        <v>0</v>
      </c>
      <c r="AD51" s="694">
        <v>0</v>
      </c>
      <c r="AE51" s="694">
        <v>0</v>
      </c>
      <c r="AF51" s="694">
        <v>0</v>
      </c>
      <c r="AG51" s="694">
        <v>0</v>
      </c>
      <c r="AH51" s="694">
        <v>0</v>
      </c>
      <c r="AI51" s="694">
        <v>0</v>
      </c>
      <c r="AJ51" s="694">
        <v>0</v>
      </c>
      <c r="AK51" s="694"/>
      <c r="AL51" s="694"/>
      <c r="AM51" s="694"/>
      <c r="AN51" s="694"/>
      <c r="AO51" s="695"/>
      <c r="AP51" s="633"/>
      <c r="AQ51" s="693"/>
      <c r="AR51" s="694"/>
      <c r="AS51" s="694"/>
      <c r="AT51" s="694"/>
      <c r="AU51" s="694"/>
      <c r="AV51" s="694">
        <v>813</v>
      </c>
      <c r="AW51" s="694">
        <v>813</v>
      </c>
      <c r="AX51" s="694">
        <v>813</v>
      </c>
      <c r="AY51" s="694">
        <v>813</v>
      </c>
      <c r="AZ51" s="694">
        <v>813</v>
      </c>
      <c r="BA51" s="694">
        <v>813</v>
      </c>
      <c r="BB51" s="694">
        <v>813</v>
      </c>
      <c r="BC51" s="694">
        <v>813</v>
      </c>
      <c r="BD51" s="694">
        <v>813</v>
      </c>
      <c r="BE51" s="694">
        <v>813</v>
      </c>
      <c r="BF51" s="694">
        <v>813</v>
      </c>
      <c r="BG51" s="694">
        <v>813</v>
      </c>
      <c r="BH51" s="694">
        <v>813</v>
      </c>
      <c r="BI51" s="694">
        <v>813</v>
      </c>
      <c r="BJ51" s="694">
        <v>570</v>
      </c>
      <c r="BK51" s="694">
        <v>570</v>
      </c>
      <c r="BL51" s="694">
        <v>570</v>
      </c>
      <c r="BM51" s="694">
        <v>570</v>
      </c>
      <c r="BN51" s="694">
        <v>0</v>
      </c>
      <c r="BO51" s="694">
        <v>0</v>
      </c>
      <c r="BP51" s="694"/>
      <c r="BQ51" s="694"/>
      <c r="BR51" s="694"/>
      <c r="BS51" s="694"/>
      <c r="BT51" s="695"/>
      <c r="BU51" s="16"/>
    </row>
    <row r="52" spans="2:73" s="17" customFormat="1" ht="15.5">
      <c r="B52" s="689"/>
      <c r="C52" s="805"/>
      <c r="D52" s="805"/>
      <c r="E52" s="805"/>
      <c r="F52" s="805"/>
      <c r="G52" s="805"/>
      <c r="H52" s="805"/>
      <c r="I52" s="806"/>
      <c r="J52" s="806"/>
      <c r="K52" s="807"/>
      <c r="L52" s="808"/>
      <c r="M52" s="809"/>
      <c r="N52" s="809"/>
      <c r="O52" s="809"/>
      <c r="P52" s="809"/>
      <c r="Q52" s="809"/>
      <c r="R52" s="809"/>
      <c r="S52" s="809"/>
      <c r="T52" s="809"/>
      <c r="U52" s="809"/>
      <c r="V52" s="809"/>
      <c r="W52" s="809"/>
      <c r="X52" s="809"/>
      <c r="Y52" s="809"/>
      <c r="Z52" s="809"/>
      <c r="AA52" s="809"/>
      <c r="AB52" s="809"/>
      <c r="AC52" s="809"/>
      <c r="AD52" s="809"/>
      <c r="AE52" s="809"/>
      <c r="AF52" s="809"/>
      <c r="AG52" s="809"/>
      <c r="AH52" s="809"/>
      <c r="AI52" s="809"/>
      <c r="AJ52" s="809"/>
      <c r="AK52" s="809"/>
      <c r="AL52" s="809"/>
      <c r="AM52" s="809"/>
      <c r="AN52" s="809"/>
      <c r="AO52" s="810"/>
      <c r="AP52" s="807"/>
      <c r="AQ52" s="808"/>
      <c r="AR52" s="809"/>
      <c r="AS52" s="809"/>
      <c r="AT52" s="809"/>
      <c r="AU52" s="809"/>
      <c r="AV52" s="809"/>
      <c r="AW52" s="809"/>
      <c r="AX52" s="809"/>
      <c r="AY52" s="809"/>
      <c r="AZ52" s="809"/>
      <c r="BA52" s="809"/>
      <c r="BB52" s="809"/>
      <c r="BC52" s="809"/>
      <c r="BD52" s="809"/>
      <c r="BE52" s="809"/>
      <c r="BF52" s="809"/>
      <c r="BG52" s="809"/>
      <c r="BH52" s="809"/>
      <c r="BI52" s="809"/>
      <c r="BJ52" s="809"/>
      <c r="BK52" s="809"/>
      <c r="BL52" s="809"/>
      <c r="BM52" s="809"/>
      <c r="BN52" s="809"/>
      <c r="BO52" s="809"/>
      <c r="BP52" s="809"/>
      <c r="BQ52" s="809"/>
      <c r="BR52" s="809"/>
      <c r="BS52" s="809"/>
      <c r="BT52" s="810"/>
      <c r="BU52" s="16"/>
    </row>
    <row r="53" spans="2:73">
      <c r="B53" s="689"/>
      <c r="C53" s="689" t="s">
        <v>796</v>
      </c>
      <c r="D53" s="804" t="s">
        <v>113</v>
      </c>
      <c r="E53" s="689" t="s">
        <v>790</v>
      </c>
      <c r="F53" s="689" t="s">
        <v>29</v>
      </c>
      <c r="G53" s="689" t="s">
        <v>791</v>
      </c>
      <c r="H53" s="689">
        <v>2016</v>
      </c>
      <c r="I53" s="644" t="s">
        <v>579</v>
      </c>
      <c r="J53" s="644" t="s">
        <v>584</v>
      </c>
      <c r="K53" s="633"/>
      <c r="L53" s="693"/>
      <c r="M53" s="694"/>
      <c r="N53" s="694"/>
      <c r="O53" s="694"/>
      <c r="P53" s="694"/>
      <c r="Q53" s="694">
        <v>51</v>
      </c>
      <c r="R53" s="694">
        <v>51</v>
      </c>
      <c r="S53" s="694">
        <v>51</v>
      </c>
      <c r="T53" s="694">
        <v>51</v>
      </c>
      <c r="U53" s="694">
        <v>51</v>
      </c>
      <c r="V53" s="694">
        <v>51</v>
      </c>
      <c r="W53" s="694">
        <v>51</v>
      </c>
      <c r="X53" s="694">
        <v>51</v>
      </c>
      <c r="Y53" s="694">
        <v>51</v>
      </c>
      <c r="Z53" s="694">
        <v>51</v>
      </c>
      <c r="AA53" s="694">
        <v>52</v>
      </c>
      <c r="AB53" s="694">
        <v>52</v>
      </c>
      <c r="AC53" s="694">
        <v>52</v>
      </c>
      <c r="AD53" s="694">
        <v>52</v>
      </c>
      <c r="AE53" s="694">
        <v>45</v>
      </c>
      <c r="AF53" s="694">
        <v>45</v>
      </c>
      <c r="AG53" s="694">
        <v>18</v>
      </c>
      <c r="AH53" s="694">
        <v>0</v>
      </c>
      <c r="AI53" s="694">
        <v>0</v>
      </c>
      <c r="AJ53" s="694">
        <v>0</v>
      </c>
      <c r="AK53" s="694">
        <v>0</v>
      </c>
      <c r="AL53" s="694"/>
      <c r="AM53" s="694"/>
      <c r="AN53" s="694"/>
      <c r="AO53" s="695"/>
      <c r="AP53" s="633"/>
      <c r="AQ53" s="693"/>
      <c r="AR53" s="694"/>
      <c r="AS53" s="694"/>
      <c r="AT53" s="694"/>
      <c r="AU53" s="694"/>
      <c r="AV53" s="694">
        <v>807124</v>
      </c>
      <c r="AW53" s="694">
        <v>807124</v>
      </c>
      <c r="AX53" s="694">
        <v>807124</v>
      </c>
      <c r="AY53" s="694">
        <v>807124</v>
      </c>
      <c r="AZ53" s="694">
        <v>807124</v>
      </c>
      <c r="BA53" s="694">
        <v>807124</v>
      </c>
      <c r="BB53" s="694">
        <v>807124</v>
      </c>
      <c r="BC53" s="694">
        <v>807056</v>
      </c>
      <c r="BD53" s="694">
        <v>807056</v>
      </c>
      <c r="BE53" s="694">
        <v>808265</v>
      </c>
      <c r="BF53" s="694">
        <v>808803</v>
      </c>
      <c r="BG53" s="694">
        <v>809570</v>
      </c>
      <c r="BH53" s="694">
        <v>809570</v>
      </c>
      <c r="BI53" s="694">
        <v>807425</v>
      </c>
      <c r="BJ53" s="694">
        <v>699371</v>
      </c>
      <c r="BK53" s="694">
        <v>699371</v>
      </c>
      <c r="BL53" s="694">
        <v>288222</v>
      </c>
      <c r="BM53" s="694">
        <v>0</v>
      </c>
      <c r="BN53" s="694">
        <v>0</v>
      </c>
      <c r="BO53" s="694">
        <v>0</v>
      </c>
      <c r="BP53" s="694"/>
      <c r="BQ53" s="694"/>
      <c r="BR53" s="694"/>
      <c r="BS53" s="694"/>
      <c r="BT53" s="695"/>
    </row>
    <row r="54" spans="2:73">
      <c r="B54" s="689"/>
      <c r="C54" s="689" t="s">
        <v>796</v>
      </c>
      <c r="D54" s="804" t="s">
        <v>797</v>
      </c>
      <c r="E54" s="689" t="s">
        <v>790</v>
      </c>
      <c r="F54" s="689" t="s">
        <v>29</v>
      </c>
      <c r="G54" s="689" t="s">
        <v>791</v>
      </c>
      <c r="H54" s="689">
        <v>2016</v>
      </c>
      <c r="I54" s="644" t="s">
        <v>579</v>
      </c>
      <c r="J54" s="644" t="s">
        <v>584</v>
      </c>
      <c r="K54" s="633"/>
      <c r="L54" s="693"/>
      <c r="M54" s="694"/>
      <c r="N54" s="694"/>
      <c r="O54" s="694"/>
      <c r="P54" s="694"/>
      <c r="Q54" s="694">
        <v>0</v>
      </c>
      <c r="R54" s="694">
        <v>0</v>
      </c>
      <c r="S54" s="694">
        <v>0</v>
      </c>
      <c r="T54" s="694">
        <v>0</v>
      </c>
      <c r="U54" s="694">
        <v>0</v>
      </c>
      <c r="V54" s="694">
        <v>0</v>
      </c>
      <c r="W54" s="694">
        <v>0</v>
      </c>
      <c r="X54" s="694">
        <v>0</v>
      </c>
      <c r="Y54" s="694">
        <v>0</v>
      </c>
      <c r="Z54" s="694">
        <v>0</v>
      </c>
      <c r="AA54" s="694">
        <v>0</v>
      </c>
      <c r="AB54" s="694">
        <v>0</v>
      </c>
      <c r="AC54" s="694">
        <v>0</v>
      </c>
      <c r="AD54" s="694">
        <v>0</v>
      </c>
      <c r="AE54" s="694">
        <v>0</v>
      </c>
      <c r="AF54" s="694">
        <v>0</v>
      </c>
      <c r="AG54" s="694">
        <v>0</v>
      </c>
      <c r="AH54" s="694">
        <v>0</v>
      </c>
      <c r="AI54" s="694">
        <v>0</v>
      </c>
      <c r="AJ54" s="694">
        <v>0</v>
      </c>
      <c r="AK54" s="694">
        <v>0</v>
      </c>
      <c r="AL54" s="694"/>
      <c r="AM54" s="694"/>
      <c r="AN54" s="694"/>
      <c r="AO54" s="695"/>
      <c r="AP54" s="633"/>
      <c r="AQ54" s="693"/>
      <c r="AR54" s="694"/>
      <c r="AS54" s="694"/>
      <c r="AT54" s="694"/>
      <c r="AU54" s="694"/>
      <c r="AV54" s="694">
        <v>1020</v>
      </c>
      <c r="AW54" s="694">
        <v>1020</v>
      </c>
      <c r="AX54" s="694">
        <v>1020</v>
      </c>
      <c r="AY54" s="694">
        <v>1020</v>
      </c>
      <c r="AZ54" s="694">
        <v>1020</v>
      </c>
      <c r="BA54" s="694">
        <v>1020</v>
      </c>
      <c r="BB54" s="694">
        <v>1020</v>
      </c>
      <c r="BC54" s="694">
        <v>1020</v>
      </c>
      <c r="BD54" s="694">
        <v>1020</v>
      </c>
      <c r="BE54" s="694">
        <v>1020</v>
      </c>
      <c r="BF54" s="694">
        <v>1020</v>
      </c>
      <c r="BG54" s="694">
        <v>1020</v>
      </c>
      <c r="BH54" s="694">
        <v>1020</v>
      </c>
      <c r="BI54" s="694">
        <v>1020</v>
      </c>
      <c r="BJ54" s="694">
        <v>1020</v>
      </c>
      <c r="BK54" s="694">
        <v>1020</v>
      </c>
      <c r="BL54" s="694">
        <v>1020</v>
      </c>
      <c r="BM54" s="694">
        <v>1020</v>
      </c>
      <c r="BN54" s="694">
        <v>957</v>
      </c>
      <c r="BO54" s="694">
        <v>0</v>
      </c>
      <c r="BP54" s="694"/>
      <c r="BQ54" s="694"/>
      <c r="BR54" s="694"/>
      <c r="BS54" s="694"/>
      <c r="BT54" s="695"/>
    </row>
    <row r="55" spans="2:73">
      <c r="B55" s="689"/>
      <c r="C55" s="689" t="s">
        <v>796</v>
      </c>
      <c r="D55" s="804" t="s">
        <v>115</v>
      </c>
      <c r="E55" s="689" t="s">
        <v>790</v>
      </c>
      <c r="F55" s="689" t="s">
        <v>29</v>
      </c>
      <c r="G55" s="689" t="s">
        <v>791</v>
      </c>
      <c r="H55" s="689">
        <v>2016</v>
      </c>
      <c r="I55" s="644" t="s">
        <v>579</v>
      </c>
      <c r="J55" s="644" t="s">
        <v>584</v>
      </c>
      <c r="K55" s="633"/>
      <c r="L55" s="693"/>
      <c r="M55" s="694"/>
      <c r="N55" s="694"/>
      <c r="O55" s="694"/>
      <c r="P55" s="694"/>
      <c r="Q55" s="694">
        <v>19</v>
      </c>
      <c r="R55" s="694">
        <v>19</v>
      </c>
      <c r="S55" s="694">
        <v>19</v>
      </c>
      <c r="T55" s="694">
        <v>19</v>
      </c>
      <c r="U55" s="694">
        <v>19</v>
      </c>
      <c r="V55" s="694">
        <v>19</v>
      </c>
      <c r="W55" s="694">
        <v>19</v>
      </c>
      <c r="X55" s="694">
        <v>19</v>
      </c>
      <c r="Y55" s="694">
        <v>19</v>
      </c>
      <c r="Z55" s="694">
        <v>19</v>
      </c>
      <c r="AA55" s="694">
        <v>19</v>
      </c>
      <c r="AB55" s="694">
        <v>19</v>
      </c>
      <c r="AC55" s="694">
        <v>19</v>
      </c>
      <c r="AD55" s="694">
        <v>19</v>
      </c>
      <c r="AE55" s="694">
        <v>19</v>
      </c>
      <c r="AF55" s="694">
        <v>0</v>
      </c>
      <c r="AG55" s="694">
        <v>0</v>
      </c>
      <c r="AH55" s="694">
        <v>0</v>
      </c>
      <c r="AI55" s="694">
        <v>0</v>
      </c>
      <c r="AJ55" s="694">
        <v>0</v>
      </c>
      <c r="AK55" s="694">
        <v>0</v>
      </c>
      <c r="AL55" s="694"/>
      <c r="AM55" s="694"/>
      <c r="AN55" s="694"/>
      <c r="AO55" s="695"/>
      <c r="AP55" s="633"/>
      <c r="AQ55" s="693"/>
      <c r="AR55" s="694"/>
      <c r="AS55" s="694"/>
      <c r="AT55" s="694"/>
      <c r="AU55" s="694"/>
      <c r="AV55" s="694">
        <v>64856</v>
      </c>
      <c r="AW55" s="694">
        <v>64856</v>
      </c>
      <c r="AX55" s="694">
        <v>64856</v>
      </c>
      <c r="AY55" s="694">
        <v>64856</v>
      </c>
      <c r="AZ55" s="694">
        <v>64856</v>
      </c>
      <c r="BA55" s="694">
        <v>64856</v>
      </c>
      <c r="BB55" s="694">
        <v>64856</v>
      </c>
      <c r="BC55" s="694">
        <v>64856</v>
      </c>
      <c r="BD55" s="694">
        <v>64856</v>
      </c>
      <c r="BE55" s="694">
        <v>64856</v>
      </c>
      <c r="BF55" s="694">
        <v>64760</v>
      </c>
      <c r="BG55" s="694">
        <v>64760</v>
      </c>
      <c r="BH55" s="694">
        <v>64760</v>
      </c>
      <c r="BI55" s="694">
        <v>64760</v>
      </c>
      <c r="BJ55" s="694">
        <v>64760</v>
      </c>
      <c r="BK55" s="694">
        <v>7680</v>
      </c>
      <c r="BL55" s="694">
        <v>7680</v>
      </c>
      <c r="BM55" s="694">
        <v>0</v>
      </c>
      <c r="BN55" s="694">
        <v>0</v>
      </c>
      <c r="BO55" s="694">
        <v>0</v>
      </c>
      <c r="BP55" s="694"/>
      <c r="BQ55" s="694"/>
      <c r="BR55" s="694"/>
      <c r="BS55" s="694"/>
      <c r="BT55" s="695"/>
    </row>
    <row r="56" spans="2:73">
      <c r="B56" s="689"/>
      <c r="C56" s="689" t="s">
        <v>795</v>
      </c>
      <c r="D56" s="804" t="s">
        <v>117</v>
      </c>
      <c r="E56" s="689" t="s">
        <v>790</v>
      </c>
      <c r="F56" s="689" t="s">
        <v>793</v>
      </c>
      <c r="G56" s="689" t="s">
        <v>791</v>
      </c>
      <c r="H56" s="689">
        <v>2016</v>
      </c>
      <c r="I56" s="644" t="s">
        <v>579</v>
      </c>
      <c r="J56" s="644" t="s">
        <v>584</v>
      </c>
      <c r="K56" s="633"/>
      <c r="L56" s="693"/>
      <c r="M56" s="694"/>
      <c r="N56" s="694"/>
      <c r="O56" s="694"/>
      <c r="P56" s="694"/>
      <c r="Q56" s="694">
        <v>9</v>
      </c>
      <c r="R56" s="694">
        <v>9</v>
      </c>
      <c r="S56" s="694">
        <v>9</v>
      </c>
      <c r="T56" s="694">
        <v>9</v>
      </c>
      <c r="U56" s="694">
        <v>9</v>
      </c>
      <c r="V56" s="694">
        <v>9</v>
      </c>
      <c r="W56" s="694">
        <v>9</v>
      </c>
      <c r="X56" s="694">
        <v>9</v>
      </c>
      <c r="Y56" s="694">
        <v>9</v>
      </c>
      <c r="Z56" s="694">
        <v>9</v>
      </c>
      <c r="AA56" s="694">
        <v>2</v>
      </c>
      <c r="AB56" s="694">
        <v>0</v>
      </c>
      <c r="AC56" s="694">
        <v>0</v>
      </c>
      <c r="AD56" s="694">
        <v>0</v>
      </c>
      <c r="AE56" s="694">
        <v>0</v>
      </c>
      <c r="AF56" s="694">
        <v>0</v>
      </c>
      <c r="AG56" s="694">
        <v>0</v>
      </c>
      <c r="AH56" s="694">
        <v>0</v>
      </c>
      <c r="AI56" s="694">
        <v>0</v>
      </c>
      <c r="AJ56" s="694">
        <v>0</v>
      </c>
      <c r="AK56" s="694">
        <v>0</v>
      </c>
      <c r="AL56" s="694"/>
      <c r="AM56" s="694"/>
      <c r="AN56" s="694"/>
      <c r="AO56" s="695"/>
      <c r="AP56" s="633"/>
      <c r="AQ56" s="693"/>
      <c r="AR56" s="694"/>
      <c r="AS56" s="694"/>
      <c r="AT56" s="694"/>
      <c r="AU56" s="694"/>
      <c r="AV56" s="694">
        <v>65713</v>
      </c>
      <c r="AW56" s="694">
        <v>65713</v>
      </c>
      <c r="AX56" s="694">
        <v>65713</v>
      </c>
      <c r="AY56" s="694">
        <v>65713</v>
      </c>
      <c r="AZ56" s="694">
        <v>65713</v>
      </c>
      <c r="BA56" s="694">
        <v>65713</v>
      </c>
      <c r="BB56" s="694">
        <v>65713</v>
      </c>
      <c r="BC56" s="694">
        <v>65713</v>
      </c>
      <c r="BD56" s="694">
        <v>65713</v>
      </c>
      <c r="BE56" s="694">
        <v>65713</v>
      </c>
      <c r="BF56" s="694">
        <v>16224</v>
      </c>
      <c r="BG56" s="694">
        <v>0</v>
      </c>
      <c r="BH56" s="694">
        <v>0</v>
      </c>
      <c r="BI56" s="694">
        <v>0</v>
      </c>
      <c r="BJ56" s="694">
        <v>0</v>
      </c>
      <c r="BK56" s="694">
        <v>0</v>
      </c>
      <c r="BL56" s="694">
        <v>0</v>
      </c>
      <c r="BM56" s="694">
        <v>0</v>
      </c>
      <c r="BN56" s="694">
        <v>0</v>
      </c>
      <c r="BO56" s="694">
        <v>0</v>
      </c>
      <c r="BP56" s="694"/>
      <c r="BQ56" s="694"/>
      <c r="BR56" s="694"/>
      <c r="BS56" s="694"/>
      <c r="BT56" s="695"/>
    </row>
    <row r="57" spans="2:73">
      <c r="B57" s="689"/>
      <c r="C57" s="689" t="s">
        <v>795</v>
      </c>
      <c r="D57" s="804" t="s">
        <v>118</v>
      </c>
      <c r="E57" s="689" t="s">
        <v>790</v>
      </c>
      <c r="F57" s="689" t="s">
        <v>793</v>
      </c>
      <c r="G57" s="689" t="s">
        <v>791</v>
      </c>
      <c r="H57" s="689">
        <v>2016</v>
      </c>
      <c r="I57" s="644" t="s">
        <v>579</v>
      </c>
      <c r="J57" s="644" t="s">
        <v>584</v>
      </c>
      <c r="K57" s="633"/>
      <c r="L57" s="693"/>
      <c r="M57" s="694"/>
      <c r="N57" s="694"/>
      <c r="O57" s="694"/>
      <c r="P57" s="694"/>
      <c r="Q57" s="694">
        <v>117</v>
      </c>
      <c r="R57" s="694">
        <v>121</v>
      </c>
      <c r="S57" s="694">
        <v>124</v>
      </c>
      <c r="T57" s="694">
        <v>124</v>
      </c>
      <c r="U57" s="694">
        <v>124</v>
      </c>
      <c r="V57" s="694">
        <v>124</v>
      </c>
      <c r="W57" s="694">
        <v>124</v>
      </c>
      <c r="X57" s="694">
        <v>124</v>
      </c>
      <c r="Y57" s="694">
        <v>123</v>
      </c>
      <c r="Z57" s="694">
        <v>123</v>
      </c>
      <c r="AA57" s="694">
        <v>120</v>
      </c>
      <c r="AB57" s="694">
        <v>110</v>
      </c>
      <c r="AC57" s="694">
        <v>62</v>
      </c>
      <c r="AD57" s="694">
        <v>62</v>
      </c>
      <c r="AE57" s="694">
        <v>56</v>
      </c>
      <c r="AF57" s="694">
        <v>2</v>
      </c>
      <c r="AG57" s="694">
        <v>2</v>
      </c>
      <c r="AH57" s="694">
        <v>2</v>
      </c>
      <c r="AI57" s="694">
        <v>2</v>
      </c>
      <c r="AJ57" s="694">
        <v>2</v>
      </c>
      <c r="AK57" s="694">
        <v>0</v>
      </c>
      <c r="AL57" s="694"/>
      <c r="AM57" s="694"/>
      <c r="AN57" s="694"/>
      <c r="AO57" s="695"/>
      <c r="AP57" s="633"/>
      <c r="AQ57" s="693"/>
      <c r="AR57" s="694"/>
      <c r="AS57" s="694"/>
      <c r="AT57" s="694"/>
      <c r="AU57" s="694"/>
      <c r="AV57" s="694">
        <v>1035652</v>
      </c>
      <c r="AW57" s="694">
        <v>1058380</v>
      </c>
      <c r="AX57" s="694">
        <v>1073529</v>
      </c>
      <c r="AY57" s="694">
        <v>1073529</v>
      </c>
      <c r="AZ57" s="694">
        <v>1073529</v>
      </c>
      <c r="BA57" s="694">
        <v>1073529</v>
      </c>
      <c r="BB57" s="694">
        <v>1073529</v>
      </c>
      <c r="BC57" s="694">
        <v>1073529</v>
      </c>
      <c r="BD57" s="694">
        <v>1068922</v>
      </c>
      <c r="BE57" s="694">
        <v>1068922</v>
      </c>
      <c r="BF57" s="694">
        <v>1027483</v>
      </c>
      <c r="BG57" s="694">
        <v>959739</v>
      </c>
      <c r="BH57" s="694">
        <v>618178</v>
      </c>
      <c r="BI57" s="694">
        <v>618178</v>
      </c>
      <c r="BJ57" s="694">
        <v>217759</v>
      </c>
      <c r="BK57" s="694">
        <v>1299</v>
      </c>
      <c r="BL57" s="694">
        <v>1299</v>
      </c>
      <c r="BM57" s="694">
        <v>1299</v>
      </c>
      <c r="BN57" s="694">
        <v>1299</v>
      </c>
      <c r="BO57" s="694">
        <v>1299</v>
      </c>
      <c r="BP57" s="694"/>
      <c r="BQ57" s="694"/>
      <c r="BR57" s="694"/>
      <c r="BS57" s="694"/>
      <c r="BT57" s="695"/>
    </row>
    <row r="58" spans="2:73">
      <c r="B58" s="689"/>
      <c r="C58" s="689" t="s">
        <v>795</v>
      </c>
      <c r="D58" s="804" t="s">
        <v>119</v>
      </c>
      <c r="E58" s="689" t="s">
        <v>790</v>
      </c>
      <c r="F58" s="689" t="s">
        <v>793</v>
      </c>
      <c r="G58" s="689" t="s">
        <v>791</v>
      </c>
      <c r="H58" s="689">
        <v>2016</v>
      </c>
      <c r="I58" s="644" t="s">
        <v>579</v>
      </c>
      <c r="J58" s="644" t="s">
        <v>584</v>
      </c>
      <c r="K58" s="633"/>
      <c r="L58" s="693"/>
      <c r="M58" s="694"/>
      <c r="N58" s="694"/>
      <c r="O58" s="694"/>
      <c r="P58" s="694"/>
      <c r="Q58" s="694">
        <v>60</v>
      </c>
      <c r="R58" s="694">
        <v>60</v>
      </c>
      <c r="S58" s="694">
        <v>60</v>
      </c>
      <c r="T58" s="694">
        <v>56</v>
      </c>
      <c r="U58" s="694">
        <v>53</v>
      </c>
      <c r="V58" s="694">
        <v>40</v>
      </c>
      <c r="W58" s="694">
        <v>34</v>
      </c>
      <c r="X58" s="694">
        <v>29</v>
      </c>
      <c r="Y58" s="694">
        <v>21</v>
      </c>
      <c r="Z58" s="694">
        <v>14</v>
      </c>
      <c r="AA58" s="694">
        <v>8</v>
      </c>
      <c r="AB58" s="694">
        <v>6</v>
      </c>
      <c r="AC58" s="694">
        <v>3</v>
      </c>
      <c r="AD58" s="694">
        <v>2</v>
      </c>
      <c r="AE58" s="694">
        <v>1</v>
      </c>
      <c r="AF58" s="694">
        <v>0</v>
      </c>
      <c r="AG58" s="694">
        <v>0</v>
      </c>
      <c r="AH58" s="694">
        <v>0</v>
      </c>
      <c r="AI58" s="694">
        <v>0</v>
      </c>
      <c r="AJ58" s="694">
        <v>0</v>
      </c>
      <c r="AK58" s="694">
        <v>0</v>
      </c>
      <c r="AL58" s="694"/>
      <c r="AM58" s="694"/>
      <c r="AN58" s="694"/>
      <c r="AO58" s="695"/>
      <c r="AP58" s="633"/>
      <c r="AQ58" s="693"/>
      <c r="AR58" s="694"/>
      <c r="AS58" s="694"/>
      <c r="AT58" s="694"/>
      <c r="AU58" s="694"/>
      <c r="AV58" s="694">
        <v>348309</v>
      </c>
      <c r="AW58" s="694">
        <v>348309</v>
      </c>
      <c r="AX58" s="694">
        <v>343808</v>
      </c>
      <c r="AY58" s="694">
        <v>297661</v>
      </c>
      <c r="AZ58" s="694">
        <v>268410</v>
      </c>
      <c r="BA58" s="694">
        <v>178494</v>
      </c>
      <c r="BB58" s="694">
        <v>134546</v>
      </c>
      <c r="BC58" s="694">
        <v>109443</v>
      </c>
      <c r="BD58" s="694">
        <v>76319</v>
      </c>
      <c r="BE58" s="694">
        <v>45141</v>
      </c>
      <c r="BF58" s="694">
        <v>25223</v>
      </c>
      <c r="BG58" s="694">
        <v>17114</v>
      </c>
      <c r="BH58" s="694">
        <v>7454</v>
      </c>
      <c r="BI58" s="694">
        <v>5623</v>
      </c>
      <c r="BJ58" s="694">
        <v>2813</v>
      </c>
      <c r="BK58" s="694">
        <v>5</v>
      </c>
      <c r="BL58" s="694">
        <v>5</v>
      </c>
      <c r="BM58" s="694">
        <v>3</v>
      </c>
      <c r="BN58" s="694">
        <v>0</v>
      </c>
      <c r="BO58" s="694">
        <v>0</v>
      </c>
      <c r="BP58" s="694"/>
      <c r="BQ58" s="694"/>
      <c r="BR58" s="694"/>
      <c r="BS58" s="694"/>
      <c r="BT58" s="695"/>
    </row>
    <row r="59" spans="2:73">
      <c r="B59" s="689"/>
      <c r="C59" s="689" t="s">
        <v>795</v>
      </c>
      <c r="D59" s="804" t="s">
        <v>124</v>
      </c>
      <c r="E59" s="689" t="s">
        <v>790</v>
      </c>
      <c r="F59" s="689" t="s">
        <v>794</v>
      </c>
      <c r="G59" s="689" t="s">
        <v>791</v>
      </c>
      <c r="H59" s="689">
        <v>2016</v>
      </c>
      <c r="I59" s="644" t="s">
        <v>579</v>
      </c>
      <c r="J59" s="644" t="s">
        <v>584</v>
      </c>
      <c r="K59" s="633"/>
      <c r="L59" s="693"/>
      <c r="M59" s="694"/>
      <c r="N59" s="694"/>
      <c r="O59" s="694"/>
      <c r="P59" s="694"/>
      <c r="Q59" s="694">
        <v>0</v>
      </c>
      <c r="R59" s="694">
        <v>0</v>
      </c>
      <c r="S59" s="694">
        <v>0</v>
      </c>
      <c r="T59" s="694">
        <v>0</v>
      </c>
      <c r="U59" s="694">
        <v>0</v>
      </c>
      <c r="V59" s="694">
        <v>0</v>
      </c>
      <c r="W59" s="694">
        <v>0</v>
      </c>
      <c r="X59" s="694">
        <v>0</v>
      </c>
      <c r="Y59" s="694">
        <v>0</v>
      </c>
      <c r="Z59" s="694">
        <v>0</v>
      </c>
      <c r="AA59" s="694">
        <v>0</v>
      </c>
      <c r="AB59" s="694">
        <v>0</v>
      </c>
      <c r="AC59" s="694">
        <v>0</v>
      </c>
      <c r="AD59" s="694">
        <v>0</v>
      </c>
      <c r="AE59" s="694">
        <v>0</v>
      </c>
      <c r="AF59" s="694">
        <v>0</v>
      </c>
      <c r="AG59" s="694">
        <v>0</v>
      </c>
      <c r="AH59" s="694">
        <v>0</v>
      </c>
      <c r="AI59" s="694">
        <v>0</v>
      </c>
      <c r="AJ59" s="694">
        <v>0</v>
      </c>
      <c r="AK59" s="694">
        <v>0</v>
      </c>
      <c r="AL59" s="694"/>
      <c r="AM59" s="694"/>
      <c r="AN59" s="694"/>
      <c r="AO59" s="695"/>
      <c r="AP59" s="633"/>
      <c r="AQ59" s="693"/>
      <c r="AR59" s="694"/>
      <c r="AS59" s="694"/>
      <c r="AT59" s="694"/>
      <c r="AU59" s="694"/>
      <c r="AV59" s="694">
        <v>835</v>
      </c>
      <c r="AW59" s="694">
        <v>835</v>
      </c>
      <c r="AX59" s="694">
        <v>835</v>
      </c>
      <c r="AY59" s="694">
        <v>835</v>
      </c>
      <c r="AZ59" s="694">
        <v>835</v>
      </c>
      <c r="BA59" s="694">
        <v>835</v>
      </c>
      <c r="BB59" s="694">
        <v>835</v>
      </c>
      <c r="BC59" s="694">
        <v>835</v>
      </c>
      <c r="BD59" s="694">
        <v>835</v>
      </c>
      <c r="BE59" s="694">
        <v>835</v>
      </c>
      <c r="BF59" s="694">
        <v>835</v>
      </c>
      <c r="BG59" s="694">
        <v>835</v>
      </c>
      <c r="BH59" s="694">
        <v>0</v>
      </c>
      <c r="BI59" s="694">
        <v>0</v>
      </c>
      <c r="BJ59" s="694">
        <v>0</v>
      </c>
      <c r="BK59" s="694">
        <v>0</v>
      </c>
      <c r="BL59" s="694">
        <v>0</v>
      </c>
      <c r="BM59" s="694">
        <v>0</v>
      </c>
      <c r="BN59" s="694">
        <v>0</v>
      </c>
      <c r="BO59" s="694">
        <v>0</v>
      </c>
      <c r="BP59" s="694"/>
      <c r="BQ59" s="694"/>
      <c r="BR59" s="694"/>
      <c r="BS59" s="694"/>
      <c r="BT59" s="695"/>
    </row>
    <row r="60" spans="2:73" ht="15.5">
      <c r="B60" s="689"/>
      <c r="C60" s="805"/>
      <c r="D60" s="805"/>
      <c r="E60" s="805"/>
      <c r="F60" s="805"/>
      <c r="G60" s="805"/>
      <c r="H60" s="805"/>
      <c r="I60" s="806"/>
      <c r="J60" s="806"/>
      <c r="K60" s="807"/>
      <c r="L60" s="808"/>
      <c r="M60" s="809"/>
      <c r="N60" s="809"/>
      <c r="O60" s="809"/>
      <c r="P60" s="809"/>
      <c r="Q60" s="809"/>
      <c r="R60" s="809"/>
      <c r="S60" s="809"/>
      <c r="T60" s="809"/>
      <c r="U60" s="809"/>
      <c r="V60" s="809"/>
      <c r="W60" s="809"/>
      <c r="X60" s="809"/>
      <c r="Y60" s="809"/>
      <c r="Z60" s="809"/>
      <c r="AA60" s="809"/>
      <c r="AB60" s="809"/>
      <c r="AC60" s="809"/>
      <c r="AD60" s="809"/>
      <c r="AE60" s="809"/>
      <c r="AF60" s="809"/>
      <c r="AG60" s="809"/>
      <c r="AH60" s="809"/>
      <c r="AI60" s="809"/>
      <c r="AJ60" s="809"/>
      <c r="AK60" s="809"/>
      <c r="AL60" s="809"/>
      <c r="AM60" s="809"/>
      <c r="AN60" s="809"/>
      <c r="AO60" s="810"/>
      <c r="AP60" s="807"/>
      <c r="AQ60" s="808"/>
      <c r="AR60" s="809"/>
      <c r="AS60" s="809"/>
      <c r="AT60" s="809"/>
      <c r="AU60" s="809"/>
      <c r="AV60" s="809"/>
      <c r="AW60" s="809"/>
      <c r="AX60" s="809"/>
      <c r="AY60" s="809"/>
      <c r="AZ60" s="809"/>
      <c r="BA60" s="809"/>
      <c r="BB60" s="809"/>
      <c r="BC60" s="809"/>
      <c r="BD60" s="809"/>
      <c r="BE60" s="809"/>
      <c r="BF60" s="809"/>
      <c r="BG60" s="809"/>
      <c r="BH60" s="809"/>
      <c r="BI60" s="809"/>
      <c r="BJ60" s="809"/>
      <c r="BK60" s="809"/>
      <c r="BL60" s="809"/>
      <c r="BM60" s="809"/>
      <c r="BN60" s="809"/>
      <c r="BO60" s="809"/>
      <c r="BP60" s="809"/>
      <c r="BQ60" s="809"/>
      <c r="BR60" s="809"/>
      <c r="BS60" s="809"/>
      <c r="BT60" s="810"/>
      <c r="BU60" s="163"/>
    </row>
    <row r="61" spans="2:73">
      <c r="B61" s="689"/>
      <c r="C61" s="689" t="s">
        <v>796</v>
      </c>
      <c r="D61" s="804" t="s">
        <v>113</v>
      </c>
      <c r="E61" s="689" t="s">
        <v>790</v>
      </c>
      <c r="F61" s="689" t="s">
        <v>29</v>
      </c>
      <c r="G61" s="689" t="s">
        <v>791</v>
      </c>
      <c r="H61" s="689">
        <v>2017</v>
      </c>
      <c r="I61" s="644" t="s">
        <v>579</v>
      </c>
      <c r="J61" s="644" t="s">
        <v>591</v>
      </c>
      <c r="K61" s="633"/>
      <c r="L61" s="693"/>
      <c r="M61" s="694"/>
      <c r="N61" s="694"/>
      <c r="O61" s="694"/>
      <c r="P61" s="694"/>
      <c r="Q61" s="694"/>
      <c r="R61" s="694">
        <v>627</v>
      </c>
      <c r="S61" s="694">
        <v>508</v>
      </c>
      <c r="T61" s="694">
        <v>508</v>
      </c>
      <c r="U61" s="694">
        <v>508</v>
      </c>
      <c r="V61" s="694">
        <v>508</v>
      </c>
      <c r="W61" s="694">
        <v>508</v>
      </c>
      <c r="X61" s="694">
        <v>508</v>
      </c>
      <c r="Y61" s="694">
        <v>508</v>
      </c>
      <c r="Z61" s="694">
        <v>508</v>
      </c>
      <c r="AA61" s="694">
        <v>507</v>
      </c>
      <c r="AB61" s="694">
        <v>478</v>
      </c>
      <c r="AC61" s="694">
        <v>478</v>
      </c>
      <c r="AD61" s="694">
        <v>478</v>
      </c>
      <c r="AE61" s="694">
        <v>478</v>
      </c>
      <c r="AF61" s="694">
        <v>421</v>
      </c>
      <c r="AG61" s="694">
        <v>421</v>
      </c>
      <c r="AH61" s="694">
        <v>38</v>
      </c>
      <c r="AI61" s="694">
        <v>0</v>
      </c>
      <c r="AJ61" s="694">
        <v>0</v>
      </c>
      <c r="AK61" s="694">
        <v>0</v>
      </c>
      <c r="AL61" s="694"/>
      <c r="AM61" s="694"/>
      <c r="AN61" s="694"/>
      <c r="AO61" s="695"/>
      <c r="AP61" s="633"/>
      <c r="AQ61" s="693"/>
      <c r="AR61" s="694"/>
      <c r="AS61" s="694"/>
      <c r="AT61" s="694"/>
      <c r="AU61" s="694"/>
      <c r="AV61" s="694"/>
      <c r="AW61" s="694">
        <v>9110804</v>
      </c>
      <c r="AX61" s="694">
        <v>7342121</v>
      </c>
      <c r="AY61" s="694">
        <v>7342121</v>
      </c>
      <c r="AZ61" s="694">
        <v>7342121</v>
      </c>
      <c r="BA61" s="694">
        <v>7342121</v>
      </c>
      <c r="BB61" s="694">
        <v>7342121</v>
      </c>
      <c r="BC61" s="694">
        <v>7342121</v>
      </c>
      <c r="BD61" s="694">
        <v>7342063</v>
      </c>
      <c r="BE61" s="694">
        <v>7342063</v>
      </c>
      <c r="BF61" s="694">
        <v>7328142</v>
      </c>
      <c r="BG61" s="694">
        <v>7134909</v>
      </c>
      <c r="BH61" s="694">
        <v>7134008</v>
      </c>
      <c r="BI61" s="694">
        <v>7134008</v>
      </c>
      <c r="BJ61" s="694">
        <v>7133539</v>
      </c>
      <c r="BK61" s="694">
        <v>6281419</v>
      </c>
      <c r="BL61" s="694">
        <v>6281419</v>
      </c>
      <c r="BM61" s="694">
        <v>564291</v>
      </c>
      <c r="BN61" s="694">
        <v>0</v>
      </c>
      <c r="BO61" s="694">
        <v>0</v>
      </c>
      <c r="BP61" s="694">
        <v>0</v>
      </c>
      <c r="BQ61" s="694"/>
      <c r="BR61" s="694"/>
      <c r="BS61" s="694"/>
      <c r="BT61" s="695"/>
    </row>
    <row r="62" spans="2:73">
      <c r="B62" s="689"/>
      <c r="C62" s="689" t="s">
        <v>490</v>
      </c>
      <c r="D62" s="804" t="s">
        <v>785</v>
      </c>
      <c r="E62" s="689" t="s">
        <v>790</v>
      </c>
      <c r="F62" s="689" t="s">
        <v>490</v>
      </c>
      <c r="G62" s="689"/>
      <c r="H62" s="689">
        <v>2017</v>
      </c>
      <c r="I62" s="644" t="s">
        <v>579</v>
      </c>
      <c r="J62" s="644" t="s">
        <v>591</v>
      </c>
      <c r="K62" s="633"/>
      <c r="L62" s="693"/>
      <c r="M62" s="694"/>
      <c r="N62" s="694"/>
      <c r="O62" s="694"/>
      <c r="P62" s="694"/>
      <c r="Q62" s="694"/>
      <c r="R62" s="694">
        <v>451</v>
      </c>
      <c r="S62" s="694">
        <v>329</v>
      </c>
      <c r="T62" s="694">
        <v>329</v>
      </c>
      <c r="U62" s="694">
        <v>329</v>
      </c>
      <c r="V62" s="694">
        <v>329</v>
      </c>
      <c r="W62" s="694">
        <v>329</v>
      </c>
      <c r="X62" s="694">
        <v>329</v>
      </c>
      <c r="Y62" s="694">
        <v>329</v>
      </c>
      <c r="Z62" s="694">
        <v>329</v>
      </c>
      <c r="AA62" s="694">
        <v>329</v>
      </c>
      <c r="AB62" s="694">
        <v>312</v>
      </c>
      <c r="AC62" s="694">
        <v>312</v>
      </c>
      <c r="AD62" s="694">
        <v>312</v>
      </c>
      <c r="AE62" s="694">
        <v>264</v>
      </c>
      <c r="AF62" s="694">
        <v>264</v>
      </c>
      <c r="AG62" s="694">
        <v>205</v>
      </c>
      <c r="AH62" s="694">
        <v>162</v>
      </c>
      <c r="AI62" s="694">
        <v>0</v>
      </c>
      <c r="AJ62" s="694">
        <v>0</v>
      </c>
      <c r="AK62" s="694">
        <v>0</v>
      </c>
      <c r="AL62" s="694"/>
      <c r="AM62" s="694"/>
      <c r="AN62" s="694"/>
      <c r="AO62" s="695"/>
      <c r="AP62" s="633"/>
      <c r="AQ62" s="693"/>
      <c r="AR62" s="694"/>
      <c r="AS62" s="694"/>
      <c r="AT62" s="694"/>
      <c r="AU62" s="694"/>
      <c r="AV62" s="694"/>
      <c r="AW62" s="694">
        <v>6573748</v>
      </c>
      <c r="AX62" s="694">
        <v>4760633</v>
      </c>
      <c r="AY62" s="694">
        <v>4760633</v>
      </c>
      <c r="AZ62" s="694">
        <v>4760633</v>
      </c>
      <c r="BA62" s="694">
        <v>4760633</v>
      </c>
      <c r="BB62" s="694">
        <v>4760633</v>
      </c>
      <c r="BC62" s="694">
        <v>4760633</v>
      </c>
      <c r="BD62" s="694">
        <v>4760541</v>
      </c>
      <c r="BE62" s="694">
        <v>4760541</v>
      </c>
      <c r="BF62" s="694">
        <v>4760541</v>
      </c>
      <c r="BG62" s="694">
        <v>4673870</v>
      </c>
      <c r="BH62" s="694">
        <v>4665723</v>
      </c>
      <c r="BI62" s="694">
        <v>4665723</v>
      </c>
      <c r="BJ62" s="694">
        <v>3939574</v>
      </c>
      <c r="BK62" s="694">
        <v>3939574</v>
      </c>
      <c r="BL62" s="694">
        <v>3051378</v>
      </c>
      <c r="BM62" s="694">
        <v>2418438</v>
      </c>
      <c r="BN62" s="694">
        <v>0</v>
      </c>
      <c r="BO62" s="694">
        <v>0</v>
      </c>
      <c r="BP62" s="694">
        <v>0</v>
      </c>
      <c r="BQ62" s="694"/>
      <c r="BR62" s="694"/>
      <c r="BS62" s="694"/>
      <c r="BT62" s="695"/>
    </row>
    <row r="63" spans="2:73">
      <c r="B63" s="689"/>
      <c r="C63" s="689" t="s">
        <v>796</v>
      </c>
      <c r="D63" s="804" t="s">
        <v>797</v>
      </c>
      <c r="E63" s="689" t="s">
        <v>790</v>
      </c>
      <c r="F63" s="689" t="s">
        <v>29</v>
      </c>
      <c r="G63" s="689" t="s">
        <v>791</v>
      </c>
      <c r="H63" s="689">
        <v>2017</v>
      </c>
      <c r="I63" s="644" t="s">
        <v>579</v>
      </c>
      <c r="J63" s="644" t="s">
        <v>591</v>
      </c>
      <c r="K63" s="633"/>
      <c r="L63" s="693"/>
      <c r="M63" s="694"/>
      <c r="N63" s="694"/>
      <c r="O63" s="694"/>
      <c r="P63" s="694"/>
      <c r="Q63" s="694"/>
      <c r="R63" s="694">
        <v>256</v>
      </c>
      <c r="S63" s="694">
        <v>256</v>
      </c>
      <c r="T63" s="694">
        <v>256</v>
      </c>
      <c r="U63" s="694">
        <v>256</v>
      </c>
      <c r="V63" s="694">
        <v>256</v>
      </c>
      <c r="W63" s="694">
        <v>256</v>
      </c>
      <c r="X63" s="694">
        <v>256</v>
      </c>
      <c r="Y63" s="694">
        <v>256</v>
      </c>
      <c r="Z63" s="694">
        <v>256</v>
      </c>
      <c r="AA63" s="694">
        <v>256</v>
      </c>
      <c r="AB63" s="694">
        <v>256</v>
      </c>
      <c r="AC63" s="694">
        <v>256</v>
      </c>
      <c r="AD63" s="694">
        <v>256</v>
      </c>
      <c r="AE63" s="694">
        <v>256</v>
      </c>
      <c r="AF63" s="694">
        <v>256</v>
      </c>
      <c r="AG63" s="694">
        <v>256</v>
      </c>
      <c r="AH63" s="694">
        <v>256</v>
      </c>
      <c r="AI63" s="694">
        <v>256</v>
      </c>
      <c r="AJ63" s="694">
        <v>229</v>
      </c>
      <c r="AK63" s="694">
        <v>0</v>
      </c>
      <c r="AL63" s="694"/>
      <c r="AM63" s="694"/>
      <c r="AN63" s="694"/>
      <c r="AO63" s="695"/>
      <c r="AP63" s="633"/>
      <c r="AQ63" s="693"/>
      <c r="AR63" s="694"/>
      <c r="AS63" s="694"/>
      <c r="AT63" s="694"/>
      <c r="AU63" s="694"/>
      <c r="AV63" s="694"/>
      <c r="AW63" s="694">
        <v>898827</v>
      </c>
      <c r="AX63" s="694">
        <v>898827</v>
      </c>
      <c r="AY63" s="694">
        <v>898827</v>
      </c>
      <c r="AZ63" s="694">
        <v>898827</v>
      </c>
      <c r="BA63" s="694">
        <v>898827</v>
      </c>
      <c r="BB63" s="694">
        <v>898827</v>
      </c>
      <c r="BC63" s="694">
        <v>898827</v>
      </c>
      <c r="BD63" s="694">
        <v>898827</v>
      </c>
      <c r="BE63" s="694">
        <v>898827</v>
      </c>
      <c r="BF63" s="694">
        <v>898827</v>
      </c>
      <c r="BG63" s="694">
        <v>898827</v>
      </c>
      <c r="BH63" s="694">
        <v>898827</v>
      </c>
      <c r="BI63" s="694">
        <v>898827</v>
      </c>
      <c r="BJ63" s="694">
        <v>898827</v>
      </c>
      <c r="BK63" s="694">
        <v>898827</v>
      </c>
      <c r="BL63" s="694">
        <v>898827</v>
      </c>
      <c r="BM63" s="694">
        <v>898827</v>
      </c>
      <c r="BN63" s="694">
        <v>898827</v>
      </c>
      <c r="BO63" s="694">
        <v>849378</v>
      </c>
      <c r="BP63" s="694">
        <v>0</v>
      </c>
      <c r="BQ63" s="694"/>
      <c r="BR63" s="694"/>
      <c r="BS63" s="694"/>
      <c r="BT63" s="695"/>
    </row>
    <row r="64" spans="2:73">
      <c r="B64" s="689"/>
      <c r="C64" s="689" t="s">
        <v>796</v>
      </c>
      <c r="D64" s="804" t="s">
        <v>116</v>
      </c>
      <c r="E64" s="689" t="s">
        <v>790</v>
      </c>
      <c r="F64" s="689" t="s">
        <v>29</v>
      </c>
      <c r="G64" s="689" t="s">
        <v>791</v>
      </c>
      <c r="H64" s="689">
        <v>2017</v>
      </c>
      <c r="I64" s="644" t="s">
        <v>579</v>
      </c>
      <c r="J64" s="644" t="s">
        <v>591</v>
      </c>
      <c r="K64" s="633"/>
      <c r="L64" s="693"/>
      <c r="M64" s="694"/>
      <c r="N64" s="694"/>
      <c r="O64" s="694"/>
      <c r="P64" s="694"/>
      <c r="Q64" s="694"/>
      <c r="R64" s="694">
        <v>16</v>
      </c>
      <c r="S64" s="694">
        <v>16</v>
      </c>
      <c r="T64" s="694">
        <v>16</v>
      </c>
      <c r="U64" s="694">
        <v>16</v>
      </c>
      <c r="V64" s="694">
        <v>16</v>
      </c>
      <c r="W64" s="694">
        <v>16</v>
      </c>
      <c r="X64" s="694">
        <v>16</v>
      </c>
      <c r="Y64" s="694">
        <v>16</v>
      </c>
      <c r="Z64" s="694">
        <v>16</v>
      </c>
      <c r="AA64" s="694">
        <v>16</v>
      </c>
      <c r="AB64" s="694">
        <v>5</v>
      </c>
      <c r="AC64" s="694">
        <v>5</v>
      </c>
      <c r="AD64" s="694">
        <v>4</v>
      </c>
      <c r="AE64" s="694">
        <v>4</v>
      </c>
      <c r="AF64" s="694">
        <v>4</v>
      </c>
      <c r="AG64" s="694">
        <v>3</v>
      </c>
      <c r="AH64" s="694">
        <v>3</v>
      </c>
      <c r="AI64" s="694">
        <v>3</v>
      </c>
      <c r="AJ64" s="694">
        <v>3</v>
      </c>
      <c r="AK64" s="694">
        <v>3</v>
      </c>
      <c r="AL64" s="694"/>
      <c r="AM64" s="694"/>
      <c r="AN64" s="694"/>
      <c r="AO64" s="695"/>
      <c r="AP64" s="633"/>
      <c r="AQ64" s="693"/>
      <c r="AR64" s="694"/>
      <c r="AS64" s="694"/>
      <c r="AT64" s="694"/>
      <c r="AU64" s="694"/>
      <c r="AV64" s="694"/>
      <c r="AW64" s="694">
        <v>78940</v>
      </c>
      <c r="AX64" s="694">
        <v>78940</v>
      </c>
      <c r="AY64" s="694">
        <v>78940</v>
      </c>
      <c r="AZ64" s="694">
        <v>78940</v>
      </c>
      <c r="BA64" s="694">
        <v>78940</v>
      </c>
      <c r="BB64" s="694">
        <v>78940</v>
      </c>
      <c r="BC64" s="694">
        <v>78940</v>
      </c>
      <c r="BD64" s="694">
        <v>78940</v>
      </c>
      <c r="BE64" s="694">
        <v>78940</v>
      </c>
      <c r="BF64" s="694">
        <v>78370</v>
      </c>
      <c r="BG64" s="694">
        <v>60057</v>
      </c>
      <c r="BH64" s="694">
        <v>59634</v>
      </c>
      <c r="BI64" s="694">
        <v>54899</v>
      </c>
      <c r="BJ64" s="694">
        <v>54899</v>
      </c>
      <c r="BK64" s="694">
        <v>52579</v>
      </c>
      <c r="BL64" s="694">
        <v>52192</v>
      </c>
      <c r="BM64" s="694">
        <v>52192</v>
      </c>
      <c r="BN64" s="694">
        <v>52192</v>
      </c>
      <c r="BO64" s="694">
        <v>52192</v>
      </c>
      <c r="BP64" s="694">
        <v>52192</v>
      </c>
      <c r="BQ64" s="694"/>
      <c r="BR64" s="694"/>
      <c r="BS64" s="694"/>
      <c r="BT64" s="695"/>
    </row>
    <row r="65" spans="2:73">
      <c r="B65" s="689"/>
      <c r="C65" s="689" t="s">
        <v>795</v>
      </c>
      <c r="D65" s="804" t="s">
        <v>118</v>
      </c>
      <c r="E65" s="689" t="s">
        <v>790</v>
      </c>
      <c r="F65" s="689" t="s">
        <v>793</v>
      </c>
      <c r="G65" s="689" t="s">
        <v>791</v>
      </c>
      <c r="H65" s="689">
        <v>2017</v>
      </c>
      <c r="I65" s="644" t="s">
        <v>579</v>
      </c>
      <c r="J65" s="644" t="s">
        <v>591</v>
      </c>
      <c r="K65" s="633"/>
      <c r="L65" s="693"/>
      <c r="M65" s="694"/>
      <c r="N65" s="694"/>
      <c r="O65" s="694"/>
      <c r="P65" s="694"/>
      <c r="Q65" s="694"/>
      <c r="R65" s="694">
        <v>661</v>
      </c>
      <c r="S65" s="694">
        <v>662</v>
      </c>
      <c r="T65" s="694">
        <v>662</v>
      </c>
      <c r="U65" s="694">
        <v>662</v>
      </c>
      <c r="V65" s="694">
        <v>662</v>
      </c>
      <c r="W65" s="694">
        <v>611</v>
      </c>
      <c r="X65" s="694">
        <v>611</v>
      </c>
      <c r="Y65" s="694">
        <v>611</v>
      </c>
      <c r="Z65" s="694">
        <v>611</v>
      </c>
      <c r="AA65" s="694">
        <v>611</v>
      </c>
      <c r="AB65" s="694">
        <v>590</v>
      </c>
      <c r="AC65" s="694">
        <v>586</v>
      </c>
      <c r="AD65" s="694">
        <v>173</v>
      </c>
      <c r="AE65" s="694">
        <v>106</v>
      </c>
      <c r="AF65" s="694">
        <v>11</v>
      </c>
      <c r="AG65" s="694">
        <v>0</v>
      </c>
      <c r="AH65" s="694">
        <v>0</v>
      </c>
      <c r="AI65" s="694">
        <v>0</v>
      </c>
      <c r="AJ65" s="694">
        <v>0</v>
      </c>
      <c r="AK65" s="694">
        <v>0</v>
      </c>
      <c r="AL65" s="694"/>
      <c r="AM65" s="694"/>
      <c r="AN65" s="694"/>
      <c r="AO65" s="695"/>
      <c r="AP65" s="633"/>
      <c r="AQ65" s="693"/>
      <c r="AR65" s="694"/>
      <c r="AS65" s="694"/>
      <c r="AT65" s="694"/>
      <c r="AU65" s="694"/>
      <c r="AV65" s="694"/>
      <c r="AW65" s="811">
        <f>9198528-6288659</f>
        <v>2909869</v>
      </c>
      <c r="AX65" s="811">
        <f>9203461-6288659</f>
        <v>2914802</v>
      </c>
      <c r="AY65" s="811">
        <f>9203461-6288659</f>
        <v>2914802</v>
      </c>
      <c r="AZ65" s="811">
        <f>9203461-6288659</f>
        <v>2914802</v>
      </c>
      <c r="BA65" s="811">
        <f>9203461-6288659</f>
        <v>2914802</v>
      </c>
      <c r="BB65" s="811">
        <f>8951413-6288659</f>
        <v>2662754</v>
      </c>
      <c r="BC65" s="811">
        <f>8951413-6288659</f>
        <v>2662754</v>
      </c>
      <c r="BD65" s="811">
        <f>8951413-6288659</f>
        <v>2662754</v>
      </c>
      <c r="BE65" s="811">
        <f>8948494-6288659</f>
        <v>2659835</v>
      </c>
      <c r="BF65" s="811">
        <f>8948494-6288659</f>
        <v>2659835</v>
      </c>
      <c r="BG65" s="811">
        <f>8846694-6288659</f>
        <v>2558035</v>
      </c>
      <c r="BH65" s="811">
        <f>8819114-6288659</f>
        <v>2530455</v>
      </c>
      <c r="BI65" s="694">
        <v>684209</v>
      </c>
      <c r="BJ65" s="694">
        <v>411867</v>
      </c>
      <c r="BK65" s="694">
        <v>57330</v>
      </c>
      <c r="BL65" s="694">
        <v>0</v>
      </c>
      <c r="BM65" s="694">
        <v>0</v>
      </c>
      <c r="BN65" s="694">
        <v>0</v>
      </c>
      <c r="BO65" s="694">
        <v>0</v>
      </c>
      <c r="BP65" s="694">
        <v>0</v>
      </c>
      <c r="BQ65" s="694"/>
      <c r="BR65" s="694"/>
      <c r="BS65" s="694"/>
      <c r="BT65" s="695"/>
    </row>
    <row r="66" spans="2:73">
      <c r="B66" s="689"/>
      <c r="C66" s="689" t="s">
        <v>795</v>
      </c>
      <c r="D66" s="804" t="s">
        <v>119</v>
      </c>
      <c r="E66" s="689" t="s">
        <v>790</v>
      </c>
      <c r="F66" s="689" t="s">
        <v>793</v>
      </c>
      <c r="G66" s="689" t="s">
        <v>791</v>
      </c>
      <c r="H66" s="689">
        <v>2017</v>
      </c>
      <c r="I66" s="644" t="s">
        <v>579</v>
      </c>
      <c r="J66" s="644" t="s">
        <v>591</v>
      </c>
      <c r="K66" s="633"/>
      <c r="L66" s="693"/>
      <c r="M66" s="694"/>
      <c r="N66" s="694"/>
      <c r="O66" s="694"/>
      <c r="P66" s="694"/>
      <c r="Q66" s="694"/>
      <c r="R66" s="694">
        <v>149</v>
      </c>
      <c r="S66" s="694">
        <v>149</v>
      </c>
      <c r="T66" s="694">
        <v>149</v>
      </c>
      <c r="U66" s="694">
        <v>145</v>
      </c>
      <c r="V66" s="694">
        <v>139</v>
      </c>
      <c r="W66" s="694">
        <v>120</v>
      </c>
      <c r="X66" s="694">
        <v>90</v>
      </c>
      <c r="Y66" s="694">
        <v>87</v>
      </c>
      <c r="Z66" s="694">
        <v>76</v>
      </c>
      <c r="AA66" s="694">
        <v>59</v>
      </c>
      <c r="AB66" s="694">
        <v>33</v>
      </c>
      <c r="AC66" s="694">
        <v>20</v>
      </c>
      <c r="AD66" s="694">
        <v>12</v>
      </c>
      <c r="AE66" s="694">
        <v>6</v>
      </c>
      <c r="AF66" s="694">
        <v>3</v>
      </c>
      <c r="AG66" s="694">
        <v>1</v>
      </c>
      <c r="AH66" s="694">
        <v>0</v>
      </c>
      <c r="AI66" s="694">
        <v>0</v>
      </c>
      <c r="AJ66" s="694">
        <v>0</v>
      </c>
      <c r="AK66" s="694">
        <v>0</v>
      </c>
      <c r="AL66" s="694"/>
      <c r="AM66" s="694"/>
      <c r="AN66" s="694"/>
      <c r="AO66" s="695"/>
      <c r="AP66" s="633"/>
      <c r="AQ66" s="693"/>
      <c r="AR66" s="694"/>
      <c r="AS66" s="694"/>
      <c r="AT66" s="694"/>
      <c r="AU66" s="694"/>
      <c r="AV66" s="694"/>
      <c r="AW66" s="694">
        <v>740956</v>
      </c>
      <c r="AX66" s="694">
        <v>740956</v>
      </c>
      <c r="AY66" s="694">
        <v>734673</v>
      </c>
      <c r="AZ66" s="694">
        <v>695741</v>
      </c>
      <c r="BA66" s="694">
        <v>649974</v>
      </c>
      <c r="BB66" s="694">
        <v>516856</v>
      </c>
      <c r="BC66" s="694">
        <v>301939</v>
      </c>
      <c r="BD66" s="694">
        <v>284356</v>
      </c>
      <c r="BE66" s="694">
        <v>236406</v>
      </c>
      <c r="BF66" s="694">
        <v>177740</v>
      </c>
      <c r="BG66" s="694">
        <v>88319</v>
      </c>
      <c r="BH66" s="694">
        <v>47860</v>
      </c>
      <c r="BI66" s="694">
        <v>28250</v>
      </c>
      <c r="BJ66" s="694">
        <v>12271</v>
      </c>
      <c r="BK66" s="694">
        <v>6473</v>
      </c>
      <c r="BL66" s="694">
        <v>1176</v>
      </c>
      <c r="BM66" s="694">
        <v>0</v>
      </c>
      <c r="BN66" s="694">
        <v>0</v>
      </c>
      <c r="BO66" s="694">
        <v>0</v>
      </c>
      <c r="BP66" s="694">
        <v>0</v>
      </c>
      <c r="BQ66" s="694"/>
      <c r="BR66" s="694"/>
      <c r="BS66" s="694"/>
      <c r="BT66" s="695"/>
    </row>
    <row r="67" spans="2:73">
      <c r="B67" s="689"/>
      <c r="C67" s="689" t="s">
        <v>490</v>
      </c>
      <c r="D67" s="804" t="s">
        <v>786</v>
      </c>
      <c r="E67" s="689" t="s">
        <v>790</v>
      </c>
      <c r="F67" s="689" t="s">
        <v>490</v>
      </c>
      <c r="G67" s="689"/>
      <c r="H67" s="689">
        <v>2017</v>
      </c>
      <c r="I67" s="644" t="s">
        <v>579</v>
      </c>
      <c r="J67" s="644" t="s">
        <v>591</v>
      </c>
      <c r="K67" s="633"/>
      <c r="L67" s="693"/>
      <c r="M67" s="694"/>
      <c r="N67" s="694"/>
      <c r="O67" s="694"/>
      <c r="P67" s="694"/>
      <c r="Q67" s="694"/>
      <c r="R67" s="694">
        <v>6</v>
      </c>
      <c r="S67" s="694">
        <v>6</v>
      </c>
      <c r="T67" s="694">
        <v>6</v>
      </c>
      <c r="U67" s="694">
        <v>6</v>
      </c>
      <c r="V67" s="694">
        <v>6</v>
      </c>
      <c r="W67" s="694">
        <v>6</v>
      </c>
      <c r="X67" s="694">
        <v>6</v>
      </c>
      <c r="Y67" s="694">
        <v>6</v>
      </c>
      <c r="Z67" s="694">
        <v>6</v>
      </c>
      <c r="AA67" s="694">
        <v>6</v>
      </c>
      <c r="AB67" s="694">
        <v>6</v>
      </c>
      <c r="AC67" s="694">
        <v>6</v>
      </c>
      <c r="AD67" s="694">
        <v>6</v>
      </c>
      <c r="AE67" s="694">
        <v>6</v>
      </c>
      <c r="AF67" s="694">
        <v>6</v>
      </c>
      <c r="AG67" s="694">
        <v>6</v>
      </c>
      <c r="AH67" s="694">
        <v>6</v>
      </c>
      <c r="AI67" s="694">
        <v>6</v>
      </c>
      <c r="AJ67" s="694">
        <v>5</v>
      </c>
      <c r="AK67" s="694">
        <v>2</v>
      </c>
      <c r="AL67" s="694"/>
      <c r="AM67" s="694"/>
      <c r="AN67" s="694"/>
      <c r="AO67" s="695"/>
      <c r="AP67" s="633"/>
      <c r="AQ67" s="693"/>
      <c r="AR67" s="694"/>
      <c r="AS67" s="694"/>
      <c r="AT67" s="694"/>
      <c r="AU67" s="694"/>
      <c r="AV67" s="694"/>
      <c r="AW67" s="694">
        <v>60121</v>
      </c>
      <c r="AX67" s="694">
        <v>60121</v>
      </c>
      <c r="AY67" s="694">
        <v>60121</v>
      </c>
      <c r="AZ67" s="694">
        <v>60121</v>
      </c>
      <c r="BA67" s="694">
        <v>59840</v>
      </c>
      <c r="BB67" s="694">
        <v>59178</v>
      </c>
      <c r="BC67" s="694">
        <v>59178</v>
      </c>
      <c r="BD67" s="694">
        <v>59178</v>
      </c>
      <c r="BE67" s="694">
        <v>59178</v>
      </c>
      <c r="BF67" s="694">
        <v>59178</v>
      </c>
      <c r="BG67" s="694">
        <v>59178</v>
      </c>
      <c r="BH67" s="694">
        <v>59178</v>
      </c>
      <c r="BI67" s="694">
        <v>59178</v>
      </c>
      <c r="BJ67" s="694">
        <v>59178</v>
      </c>
      <c r="BK67" s="694">
        <v>59178</v>
      </c>
      <c r="BL67" s="694">
        <v>58845</v>
      </c>
      <c r="BM67" s="694">
        <v>58845</v>
      </c>
      <c r="BN67" s="694">
        <v>58763</v>
      </c>
      <c r="BO67" s="694">
        <v>57624</v>
      </c>
      <c r="BP67" s="694">
        <v>2929</v>
      </c>
      <c r="BQ67" s="694"/>
      <c r="BR67" s="694"/>
      <c r="BS67" s="694"/>
      <c r="BT67" s="695"/>
    </row>
    <row r="68" spans="2:73">
      <c r="B68" s="689"/>
      <c r="C68" s="805"/>
      <c r="D68" s="805"/>
      <c r="E68" s="805"/>
      <c r="F68" s="805"/>
      <c r="G68" s="805"/>
      <c r="H68" s="805"/>
      <c r="I68" s="806"/>
      <c r="J68" s="806"/>
      <c r="K68" s="807"/>
      <c r="L68" s="808"/>
      <c r="M68" s="809"/>
      <c r="N68" s="809"/>
      <c r="O68" s="809"/>
      <c r="P68" s="809"/>
      <c r="Q68" s="809"/>
      <c r="R68" s="809"/>
      <c r="S68" s="809"/>
      <c r="T68" s="809"/>
      <c r="U68" s="809"/>
      <c r="V68" s="809"/>
      <c r="W68" s="809"/>
      <c r="X68" s="809"/>
      <c r="Y68" s="809"/>
      <c r="Z68" s="809"/>
      <c r="AA68" s="809"/>
      <c r="AB68" s="809"/>
      <c r="AC68" s="809"/>
      <c r="AD68" s="809"/>
      <c r="AE68" s="809"/>
      <c r="AF68" s="809"/>
      <c r="AG68" s="809"/>
      <c r="AH68" s="809"/>
      <c r="AI68" s="809"/>
      <c r="AJ68" s="809"/>
      <c r="AK68" s="809"/>
      <c r="AL68" s="809"/>
      <c r="AM68" s="809"/>
      <c r="AN68" s="809"/>
      <c r="AO68" s="810"/>
      <c r="AP68" s="807"/>
      <c r="AQ68" s="808"/>
      <c r="AR68" s="809"/>
      <c r="AS68" s="809"/>
      <c r="AT68" s="809"/>
      <c r="AU68" s="809"/>
      <c r="AV68" s="809"/>
      <c r="AW68" s="809"/>
      <c r="AX68" s="809"/>
      <c r="AY68" s="809"/>
      <c r="AZ68" s="809"/>
      <c r="BA68" s="809"/>
      <c r="BB68" s="809"/>
      <c r="BC68" s="809"/>
      <c r="BD68" s="809"/>
      <c r="BE68" s="809"/>
      <c r="BF68" s="809"/>
      <c r="BG68" s="809"/>
      <c r="BH68" s="809"/>
      <c r="BI68" s="809"/>
      <c r="BJ68" s="809"/>
      <c r="BK68" s="809"/>
      <c r="BL68" s="809"/>
      <c r="BM68" s="809"/>
      <c r="BN68" s="809"/>
      <c r="BO68" s="809"/>
      <c r="BP68" s="809"/>
      <c r="BQ68" s="809"/>
      <c r="BR68" s="809"/>
      <c r="BS68" s="809"/>
      <c r="BT68" s="810"/>
    </row>
    <row r="69" spans="2:73">
      <c r="B69" s="689"/>
      <c r="C69" s="689" t="s">
        <v>798</v>
      </c>
      <c r="D69" s="815" t="s">
        <v>29</v>
      </c>
      <c r="E69" s="689"/>
      <c r="F69" s="689"/>
      <c r="G69" s="689" t="s">
        <v>791</v>
      </c>
      <c r="H69" s="689">
        <v>2018</v>
      </c>
      <c r="I69" s="644" t="s">
        <v>580</v>
      </c>
      <c r="J69" s="644" t="s">
        <v>591</v>
      </c>
      <c r="K69" s="633"/>
      <c r="L69" s="693"/>
      <c r="M69" s="694"/>
      <c r="N69" s="694"/>
      <c r="O69" s="694"/>
      <c r="P69" s="694"/>
      <c r="Q69" s="694"/>
      <c r="R69" s="694"/>
      <c r="S69" s="817">
        <f t="shared" ref="S69:AD69" si="0">AX69*$S$74</f>
        <v>222.23656157920087</v>
      </c>
      <c r="T69" s="817">
        <f t="shared" si="0"/>
        <v>220.63393779535912</v>
      </c>
      <c r="U69" s="817">
        <f t="shared" si="0"/>
        <v>220.63393779535912</v>
      </c>
      <c r="V69" s="817">
        <f t="shared" si="0"/>
        <v>220.63393779535912</v>
      </c>
      <c r="W69" s="817">
        <f t="shared" si="0"/>
        <v>220.63393779535912</v>
      </c>
      <c r="X69" s="817">
        <f t="shared" si="0"/>
        <v>220.63393779535912</v>
      </c>
      <c r="Y69" s="817">
        <f t="shared" si="0"/>
        <v>220.63393779535912</v>
      </c>
      <c r="Z69" s="817">
        <f t="shared" si="0"/>
        <v>220.63393779535912</v>
      </c>
      <c r="AA69" s="817">
        <f t="shared" si="0"/>
        <v>220.63393779535912</v>
      </c>
      <c r="AB69" s="817">
        <f t="shared" si="0"/>
        <v>220.63393779535912</v>
      </c>
      <c r="AC69" s="817">
        <f t="shared" si="0"/>
        <v>220.63393779535912</v>
      </c>
      <c r="AD69" s="817">
        <f t="shared" si="0"/>
        <v>220.63393779535912</v>
      </c>
      <c r="AE69" s="694"/>
      <c r="AF69" s="694"/>
      <c r="AG69" s="694"/>
      <c r="AH69" s="694"/>
      <c r="AI69" s="694"/>
      <c r="AJ69" s="694"/>
      <c r="AK69" s="694"/>
      <c r="AL69" s="694"/>
      <c r="AM69" s="694"/>
      <c r="AN69" s="694"/>
      <c r="AO69" s="695"/>
      <c r="AP69" s="633"/>
      <c r="AQ69" s="693"/>
      <c r="AR69" s="694"/>
      <c r="AS69" s="694"/>
      <c r="AT69" s="694"/>
      <c r="AU69" s="694"/>
      <c r="AV69" s="694"/>
      <c r="AW69" s="694"/>
      <c r="AX69" s="821">
        <v>3211983.7120835511</v>
      </c>
      <c r="AY69" s="821">
        <v>3188821</v>
      </c>
      <c r="AZ69" s="821">
        <v>3188821</v>
      </c>
      <c r="BA69" s="821">
        <v>3188821</v>
      </c>
      <c r="BB69" s="821">
        <v>3188821</v>
      </c>
      <c r="BC69" s="821">
        <v>3188821</v>
      </c>
      <c r="BD69" s="821">
        <v>3188821</v>
      </c>
      <c r="BE69" s="821">
        <v>3188821</v>
      </c>
      <c r="BF69" s="821">
        <v>3188821</v>
      </c>
      <c r="BG69" s="821">
        <v>3188821</v>
      </c>
      <c r="BH69" s="821">
        <v>3188821</v>
      </c>
      <c r="BI69" s="821">
        <v>3188821</v>
      </c>
      <c r="BJ69" s="820"/>
      <c r="BK69" s="820"/>
      <c r="BL69" s="820"/>
      <c r="BM69" s="820"/>
      <c r="BN69" s="820"/>
      <c r="BO69" s="820"/>
      <c r="BP69" s="820"/>
      <c r="BQ69" s="694"/>
      <c r="BR69" s="694"/>
      <c r="BS69" s="694"/>
      <c r="BT69" s="695"/>
    </row>
    <row r="70" spans="2:73">
      <c r="B70" s="689"/>
      <c r="C70" s="689" t="s">
        <v>798</v>
      </c>
      <c r="D70" s="815" t="s">
        <v>801</v>
      </c>
      <c r="E70" s="689"/>
      <c r="F70" s="689"/>
      <c r="G70" s="689" t="s">
        <v>791</v>
      </c>
      <c r="H70" s="689">
        <v>2018</v>
      </c>
      <c r="I70" s="644" t="s">
        <v>580</v>
      </c>
      <c r="J70" s="644" t="s">
        <v>591</v>
      </c>
      <c r="K70" s="633"/>
      <c r="L70" s="693"/>
      <c r="M70" s="694"/>
      <c r="N70" s="694"/>
      <c r="O70" s="694"/>
      <c r="P70" s="694"/>
      <c r="Q70" s="694"/>
      <c r="R70" s="694"/>
      <c r="S70" s="817">
        <f t="shared" ref="S70:S71" si="1">AX70*$S$75</f>
        <v>429.34863969832026</v>
      </c>
      <c r="T70" s="817">
        <f t="shared" ref="T70:T71" si="2">AY70*$S$75</f>
        <v>427.22545407887054</v>
      </c>
      <c r="U70" s="817">
        <f t="shared" ref="U70:U71" si="3">AZ70*$S$75</f>
        <v>427.22545407887054</v>
      </c>
      <c r="V70" s="817">
        <f t="shared" ref="V70:V71" si="4">BA70*$S$75</f>
        <v>427.22545407887054</v>
      </c>
      <c r="W70" s="817">
        <f t="shared" ref="W70:W71" si="5">BB70*$S$75</f>
        <v>427.22545407887054</v>
      </c>
      <c r="X70" s="817">
        <f t="shared" ref="X70:X71" si="6">BC70*$S$75</f>
        <v>427.22545407887054</v>
      </c>
      <c r="Y70" s="817">
        <f t="shared" ref="Y70:Y71" si="7">BD70*$S$75</f>
        <v>427.22545407887054</v>
      </c>
      <c r="Z70" s="817">
        <f t="shared" ref="Z70:Z71" si="8">BE70*$S$75</f>
        <v>427.22545407887054</v>
      </c>
      <c r="AA70" s="817">
        <f t="shared" ref="AA70:AA71" si="9">BF70*$S$75</f>
        <v>427.22545407887054</v>
      </c>
      <c r="AB70" s="817">
        <f t="shared" ref="AB70:AB71" si="10">BG70*$S$75</f>
        <v>427.22545407887054</v>
      </c>
      <c r="AC70" s="817">
        <f t="shared" ref="AC70:AC71" si="11">BH70*$S$75</f>
        <v>427.22545407887054</v>
      </c>
      <c r="AD70" s="817">
        <f t="shared" ref="AD70:AD71" si="12">BI70*$S$75</f>
        <v>427.22545407887054</v>
      </c>
      <c r="AE70" s="694"/>
      <c r="AF70" s="694"/>
      <c r="AG70" s="694"/>
      <c r="AH70" s="694"/>
      <c r="AI70" s="694"/>
      <c r="AJ70" s="694"/>
      <c r="AK70" s="694"/>
      <c r="AL70" s="694"/>
      <c r="AM70" s="694"/>
      <c r="AN70" s="694"/>
      <c r="AO70" s="695"/>
      <c r="AP70" s="633"/>
      <c r="AQ70" s="693"/>
      <c r="AR70" s="694"/>
      <c r="AS70" s="694"/>
      <c r="AT70" s="694"/>
      <c r="AU70" s="694"/>
      <c r="AV70" s="694"/>
      <c r="AW70" s="694"/>
      <c r="AX70" s="821">
        <v>1890432.4375981016</v>
      </c>
      <c r="AY70" s="821">
        <v>1881084</v>
      </c>
      <c r="AZ70" s="821">
        <v>1881084</v>
      </c>
      <c r="BA70" s="821">
        <v>1881084</v>
      </c>
      <c r="BB70" s="821">
        <v>1881084</v>
      </c>
      <c r="BC70" s="821">
        <v>1881084</v>
      </c>
      <c r="BD70" s="821">
        <v>1881084</v>
      </c>
      <c r="BE70" s="821">
        <v>1881084</v>
      </c>
      <c r="BF70" s="821">
        <v>1881084</v>
      </c>
      <c r="BG70" s="821">
        <v>1881084</v>
      </c>
      <c r="BH70" s="821">
        <v>1881084</v>
      </c>
      <c r="BI70" s="821">
        <v>1881084</v>
      </c>
      <c r="BJ70" s="820"/>
      <c r="BK70" s="820"/>
      <c r="BL70" s="820"/>
      <c r="BM70" s="820"/>
      <c r="BN70" s="820"/>
      <c r="BO70" s="820"/>
      <c r="BP70" s="820"/>
      <c r="BQ70" s="694"/>
      <c r="BR70" s="694"/>
      <c r="BS70" s="694"/>
      <c r="BT70" s="695"/>
    </row>
    <row r="71" spans="2:73">
      <c r="B71" s="689"/>
      <c r="C71" s="689" t="s">
        <v>798</v>
      </c>
      <c r="D71" s="815" t="s">
        <v>802</v>
      </c>
      <c r="E71" s="689"/>
      <c r="F71" s="689"/>
      <c r="G71" s="689" t="s">
        <v>791</v>
      </c>
      <c r="H71" s="689">
        <v>2018</v>
      </c>
      <c r="I71" s="644" t="s">
        <v>580</v>
      </c>
      <c r="J71" s="644" t="s">
        <v>591</v>
      </c>
      <c r="K71" s="633"/>
      <c r="L71" s="693"/>
      <c r="M71" s="694"/>
      <c r="N71" s="694"/>
      <c r="O71" s="694"/>
      <c r="P71" s="694"/>
      <c r="Q71" s="694"/>
      <c r="R71" s="694"/>
      <c r="S71" s="817">
        <f t="shared" si="1"/>
        <v>65.10194187432235</v>
      </c>
      <c r="T71" s="817">
        <f t="shared" si="2"/>
        <v>41.859865610082608</v>
      </c>
      <c r="U71" s="817">
        <f t="shared" si="3"/>
        <v>41.859865610082608</v>
      </c>
      <c r="V71" s="817">
        <f t="shared" si="4"/>
        <v>41.859865610082608</v>
      </c>
      <c r="W71" s="817">
        <f t="shared" si="5"/>
        <v>41.859865610082608</v>
      </c>
      <c r="X71" s="817">
        <f t="shared" si="6"/>
        <v>41.859865610082608</v>
      </c>
      <c r="Y71" s="817">
        <f t="shared" si="7"/>
        <v>41.859865610082608</v>
      </c>
      <c r="Z71" s="817">
        <f t="shared" si="8"/>
        <v>41.859865610082608</v>
      </c>
      <c r="AA71" s="817">
        <f t="shared" si="9"/>
        <v>41.859865610082608</v>
      </c>
      <c r="AB71" s="817">
        <f t="shared" si="10"/>
        <v>41.859865610082608</v>
      </c>
      <c r="AC71" s="817">
        <f t="shared" si="11"/>
        <v>41.859865610082608</v>
      </c>
      <c r="AD71" s="817">
        <f t="shared" si="12"/>
        <v>41.859865610082608</v>
      </c>
      <c r="AE71" s="694"/>
      <c r="AF71" s="694"/>
      <c r="AG71" s="694"/>
      <c r="AH71" s="694"/>
      <c r="AI71" s="694"/>
      <c r="AJ71" s="694"/>
      <c r="AK71" s="694"/>
      <c r="AL71" s="694"/>
      <c r="AM71" s="694"/>
      <c r="AN71" s="694"/>
      <c r="AO71" s="695"/>
      <c r="AP71" s="633"/>
      <c r="AQ71" s="693"/>
      <c r="AR71" s="694"/>
      <c r="AS71" s="694"/>
      <c r="AT71" s="694"/>
      <c r="AU71" s="694"/>
      <c r="AV71" s="694"/>
      <c r="AW71" s="694"/>
      <c r="AX71" s="821">
        <v>286645.42353347212</v>
      </c>
      <c r="AY71" s="821">
        <v>184310</v>
      </c>
      <c r="AZ71" s="821">
        <v>184310</v>
      </c>
      <c r="BA71" s="821">
        <v>184310</v>
      </c>
      <c r="BB71" s="821">
        <v>184310</v>
      </c>
      <c r="BC71" s="821">
        <v>184310</v>
      </c>
      <c r="BD71" s="821">
        <v>184310</v>
      </c>
      <c r="BE71" s="821">
        <v>184310</v>
      </c>
      <c r="BF71" s="821">
        <v>184310</v>
      </c>
      <c r="BG71" s="821">
        <v>184310</v>
      </c>
      <c r="BH71" s="821">
        <v>184310</v>
      </c>
      <c r="BI71" s="821">
        <v>184310</v>
      </c>
      <c r="BJ71" s="820"/>
      <c r="BK71" s="820"/>
      <c r="BL71" s="820"/>
      <c r="BM71" s="820"/>
      <c r="BN71" s="820"/>
      <c r="BO71" s="820"/>
      <c r="BP71" s="820"/>
      <c r="BQ71" s="694"/>
      <c r="BR71" s="694"/>
      <c r="BS71" s="694"/>
      <c r="BT71" s="695"/>
    </row>
    <row r="72" spans="2:73">
      <c r="B72" s="689"/>
      <c r="C72" s="689" t="s">
        <v>798</v>
      </c>
      <c r="D72" s="816" t="s">
        <v>29</v>
      </c>
      <c r="E72" s="689"/>
      <c r="F72" s="689"/>
      <c r="G72" s="689" t="s">
        <v>791</v>
      </c>
      <c r="H72" s="689">
        <v>2019</v>
      </c>
      <c r="I72" s="644" t="s">
        <v>580</v>
      </c>
      <c r="J72" s="644" t="s">
        <v>591</v>
      </c>
      <c r="K72" s="633"/>
      <c r="L72" s="693"/>
      <c r="M72" s="694"/>
      <c r="N72" s="694"/>
      <c r="O72" s="694"/>
      <c r="P72" s="694"/>
      <c r="Q72" s="694"/>
      <c r="R72" s="694"/>
      <c r="S72" s="694"/>
      <c r="T72" s="818">
        <f>AY72*$T$74</f>
        <v>0.30512708793548893</v>
      </c>
      <c r="U72" s="818">
        <f t="shared" ref="U72:AE72" si="13">AZ72*$T$74</f>
        <v>0.30512708793548893</v>
      </c>
      <c r="V72" s="818">
        <f t="shared" si="13"/>
        <v>0.30512708793548893</v>
      </c>
      <c r="W72" s="818">
        <f t="shared" si="13"/>
        <v>0.30512708793548893</v>
      </c>
      <c r="X72" s="818">
        <f t="shared" si="13"/>
        <v>0.30512708793548893</v>
      </c>
      <c r="Y72" s="818">
        <f t="shared" si="13"/>
        <v>0.30512708793548893</v>
      </c>
      <c r="Z72" s="818">
        <f t="shared" si="13"/>
        <v>0.30512708793548893</v>
      </c>
      <c r="AA72" s="818">
        <f t="shared" si="13"/>
        <v>0.30512708793548893</v>
      </c>
      <c r="AB72" s="818">
        <f t="shared" si="13"/>
        <v>0.30512708793548893</v>
      </c>
      <c r="AC72" s="818">
        <f t="shared" si="13"/>
        <v>0.30512708793548893</v>
      </c>
      <c r="AD72" s="818">
        <f t="shared" si="13"/>
        <v>0.30512708793548893</v>
      </c>
      <c r="AE72" s="818">
        <f t="shared" si="13"/>
        <v>0.30512708793548893</v>
      </c>
      <c r="AF72" s="694"/>
      <c r="AG72" s="694"/>
      <c r="AH72" s="694"/>
      <c r="AI72" s="694"/>
      <c r="AJ72" s="694"/>
      <c r="AK72" s="694"/>
      <c r="AL72" s="694"/>
      <c r="AM72" s="694"/>
      <c r="AN72" s="694"/>
      <c r="AO72" s="695"/>
      <c r="AP72" s="633"/>
      <c r="AQ72" s="693"/>
      <c r="AR72" s="694"/>
      <c r="AS72" s="694"/>
      <c r="AT72" s="694"/>
      <c r="AU72" s="694"/>
      <c r="AV72" s="694"/>
      <c r="AW72" s="694"/>
      <c r="AX72" s="694"/>
      <c r="AY72" s="818">
        <v>4410</v>
      </c>
      <c r="AZ72" s="818">
        <v>4410</v>
      </c>
      <c r="BA72" s="818">
        <v>4410</v>
      </c>
      <c r="BB72" s="818">
        <v>4410</v>
      </c>
      <c r="BC72" s="818">
        <v>4410</v>
      </c>
      <c r="BD72" s="818">
        <v>4410</v>
      </c>
      <c r="BE72" s="818">
        <v>4410</v>
      </c>
      <c r="BF72" s="818">
        <v>4410</v>
      </c>
      <c r="BG72" s="818">
        <v>4410</v>
      </c>
      <c r="BH72" s="818">
        <v>4410</v>
      </c>
      <c r="BI72" s="818">
        <v>4410</v>
      </c>
      <c r="BJ72" s="818">
        <v>4410</v>
      </c>
      <c r="BK72" s="694"/>
      <c r="BL72" s="694"/>
      <c r="BM72" s="694"/>
      <c r="BN72" s="694"/>
      <c r="BO72" s="694"/>
      <c r="BP72" s="694"/>
      <c r="BQ72" s="694"/>
      <c r="BR72" s="694"/>
      <c r="BS72" s="694"/>
      <c r="BT72" s="695"/>
    </row>
    <row r="73" spans="2:73">
      <c r="B73" s="689"/>
      <c r="C73" s="689" t="s">
        <v>798</v>
      </c>
      <c r="D73" s="816" t="s">
        <v>802</v>
      </c>
      <c r="E73" s="689"/>
      <c r="F73" s="689"/>
      <c r="G73" s="689" t="s">
        <v>791</v>
      </c>
      <c r="H73" s="689">
        <v>2019</v>
      </c>
      <c r="I73" s="644" t="s">
        <v>580</v>
      </c>
      <c r="J73" s="644" t="s">
        <v>591</v>
      </c>
      <c r="K73" s="633"/>
      <c r="L73" s="693"/>
      <c r="M73" s="694"/>
      <c r="N73" s="694"/>
      <c r="O73" s="694"/>
      <c r="P73" s="694"/>
      <c r="Q73" s="694"/>
      <c r="R73" s="694"/>
      <c r="S73" s="694"/>
      <c r="T73" s="818">
        <f>AY73*$T$75</f>
        <v>27.00497217310312</v>
      </c>
      <c r="U73" s="818">
        <f t="shared" ref="U73:AE73" si="14">AZ73*$T$75</f>
        <v>23.777975313589053</v>
      </c>
      <c r="V73" s="818">
        <f t="shared" si="14"/>
        <v>23.777975313589053</v>
      </c>
      <c r="W73" s="818">
        <f t="shared" si="14"/>
        <v>23.777975313589053</v>
      </c>
      <c r="X73" s="818">
        <f t="shared" si="14"/>
        <v>23.777975313589053</v>
      </c>
      <c r="Y73" s="818">
        <f t="shared" si="14"/>
        <v>23.777975313589053</v>
      </c>
      <c r="Z73" s="818">
        <f t="shared" si="14"/>
        <v>23.777975313589053</v>
      </c>
      <c r="AA73" s="818">
        <f t="shared" si="14"/>
        <v>23.777975313589053</v>
      </c>
      <c r="AB73" s="818">
        <f t="shared" si="14"/>
        <v>23.777975313589053</v>
      </c>
      <c r="AC73" s="818">
        <f t="shared" si="14"/>
        <v>23.777975313589053</v>
      </c>
      <c r="AD73" s="818">
        <f t="shared" si="14"/>
        <v>23.777975313589053</v>
      </c>
      <c r="AE73" s="818">
        <f t="shared" si="14"/>
        <v>23.777975313589053</v>
      </c>
      <c r="AF73" s="694"/>
      <c r="AG73" s="694"/>
      <c r="AH73" s="694"/>
      <c r="AI73" s="694"/>
      <c r="AJ73" s="694"/>
      <c r="AK73" s="694"/>
      <c r="AL73" s="694"/>
      <c r="AM73" s="694"/>
      <c r="AN73" s="694"/>
      <c r="AO73" s="695"/>
      <c r="AP73" s="633"/>
      <c r="AQ73" s="693"/>
      <c r="AR73" s="694"/>
      <c r="AS73" s="694"/>
      <c r="AT73" s="694"/>
      <c r="AU73" s="694"/>
      <c r="AV73" s="694"/>
      <c r="AW73" s="694"/>
      <c r="AX73" s="694"/>
      <c r="AY73" s="819">
        <v>118903.54516632223</v>
      </c>
      <c r="AZ73" s="819">
        <v>104695</v>
      </c>
      <c r="BA73" s="819">
        <v>104695</v>
      </c>
      <c r="BB73" s="819">
        <v>104695</v>
      </c>
      <c r="BC73" s="819">
        <v>104695</v>
      </c>
      <c r="BD73" s="819">
        <v>104695</v>
      </c>
      <c r="BE73" s="819">
        <v>104695</v>
      </c>
      <c r="BF73" s="819">
        <v>104695</v>
      </c>
      <c r="BG73" s="819">
        <v>104695</v>
      </c>
      <c r="BH73" s="819">
        <v>104695</v>
      </c>
      <c r="BI73" s="819">
        <v>104695</v>
      </c>
      <c r="BJ73" s="819">
        <v>104695</v>
      </c>
      <c r="BK73" s="694"/>
      <c r="BL73" s="694"/>
      <c r="BM73" s="694"/>
      <c r="BN73" s="694"/>
      <c r="BO73" s="694"/>
      <c r="BP73" s="694"/>
      <c r="BQ73" s="694"/>
      <c r="BR73" s="694"/>
      <c r="BS73" s="694"/>
      <c r="BT73" s="695"/>
    </row>
    <row r="74" spans="2:73">
      <c r="B74" s="689"/>
      <c r="C74" s="689"/>
      <c r="D74" s="812" t="s">
        <v>799</v>
      </c>
      <c r="E74" s="689"/>
      <c r="F74" s="689"/>
      <c r="G74" s="689"/>
      <c r="H74" s="689"/>
      <c r="I74" s="644"/>
      <c r="J74" s="644"/>
      <c r="K74" s="633"/>
      <c r="L74" s="693"/>
      <c r="M74" s="694"/>
      <c r="N74" s="694"/>
      <c r="O74" s="694"/>
      <c r="P74" s="694"/>
      <c r="Q74" s="694"/>
      <c r="R74" s="813"/>
      <c r="S74" s="814">
        <f>S61/AX61</f>
        <v>6.9189815858387513E-5</v>
      </c>
      <c r="T74" s="814">
        <f>T61/AY61</f>
        <v>6.9189815858387513E-5</v>
      </c>
      <c r="U74" s="813"/>
      <c r="V74" s="694"/>
      <c r="W74" s="694"/>
      <c r="X74" s="694"/>
      <c r="Y74" s="694"/>
      <c r="Z74" s="694"/>
      <c r="AA74" s="694"/>
      <c r="AB74" s="694"/>
      <c r="AC74" s="694"/>
      <c r="AD74" s="694"/>
      <c r="AE74" s="694"/>
      <c r="AF74" s="694"/>
      <c r="AG74" s="694"/>
      <c r="AH74" s="694"/>
      <c r="AI74" s="694"/>
      <c r="AJ74" s="694"/>
      <c r="AK74" s="694"/>
      <c r="AL74" s="694"/>
      <c r="AM74" s="694"/>
      <c r="AN74" s="694"/>
      <c r="AO74" s="695"/>
      <c r="AP74" s="633"/>
      <c r="AQ74" s="693"/>
      <c r="AR74" s="694"/>
      <c r="AS74" s="694"/>
      <c r="AT74" s="694"/>
      <c r="AU74" s="694"/>
      <c r="AV74" s="694"/>
      <c r="AW74" s="694"/>
      <c r="AX74" s="694"/>
      <c r="AY74" s="694"/>
      <c r="AZ74" s="694"/>
      <c r="BA74" s="694"/>
      <c r="BB74" s="694"/>
      <c r="BC74" s="694"/>
      <c r="BD74" s="694"/>
      <c r="BE74" s="694"/>
      <c r="BF74" s="694"/>
      <c r="BG74" s="694"/>
      <c r="BH74" s="694"/>
      <c r="BI74" s="694"/>
      <c r="BJ74" s="694"/>
      <c r="BK74" s="694"/>
      <c r="BL74" s="694"/>
      <c r="BM74" s="694"/>
      <c r="BN74" s="694"/>
      <c r="BO74" s="694"/>
      <c r="BP74" s="694"/>
      <c r="BQ74" s="694"/>
      <c r="BR74" s="694"/>
      <c r="BS74" s="694"/>
      <c r="BT74" s="695"/>
    </row>
    <row r="75" spans="2:73">
      <c r="B75" s="689"/>
      <c r="C75" s="689"/>
      <c r="D75" s="812" t="s">
        <v>800</v>
      </c>
      <c r="E75" s="689"/>
      <c r="F75" s="689"/>
      <c r="G75" s="689"/>
      <c r="H75" s="689"/>
      <c r="I75" s="644"/>
      <c r="J75" s="644"/>
      <c r="K75" s="633"/>
      <c r="L75" s="693"/>
      <c r="M75" s="694"/>
      <c r="N75" s="694"/>
      <c r="O75" s="694"/>
      <c r="P75" s="694"/>
      <c r="Q75" s="694"/>
      <c r="R75" s="813"/>
      <c r="S75" s="814">
        <f>S65/AX65</f>
        <v>2.2711662747589717E-4</v>
      </c>
      <c r="T75" s="814">
        <f>T65/AY65</f>
        <v>2.2711662747589717E-4</v>
      </c>
      <c r="U75" s="813"/>
      <c r="V75" s="694"/>
      <c r="W75" s="694"/>
      <c r="X75" s="694"/>
      <c r="Y75" s="694"/>
      <c r="Z75" s="694"/>
      <c r="AA75" s="694"/>
      <c r="AB75" s="694"/>
      <c r="AC75" s="694"/>
      <c r="AD75" s="694"/>
      <c r="AE75" s="694"/>
      <c r="AF75" s="694"/>
      <c r="AG75" s="694"/>
      <c r="AH75" s="694"/>
      <c r="AI75" s="694"/>
      <c r="AJ75" s="694"/>
      <c r="AK75" s="694"/>
      <c r="AL75" s="694"/>
      <c r="AM75" s="694"/>
      <c r="AN75" s="694"/>
      <c r="AO75" s="695"/>
      <c r="AP75" s="633"/>
      <c r="AQ75" s="693"/>
      <c r="AR75" s="694"/>
      <c r="AS75" s="694"/>
      <c r="AT75" s="694"/>
      <c r="AU75" s="694"/>
      <c r="AV75" s="694"/>
      <c r="AW75" s="694"/>
      <c r="AX75" s="694"/>
      <c r="AY75" s="694"/>
      <c r="AZ75" s="694"/>
      <c r="BA75" s="694"/>
      <c r="BB75" s="694"/>
      <c r="BC75" s="694"/>
      <c r="BD75" s="694"/>
      <c r="BE75" s="694"/>
      <c r="BF75" s="694"/>
      <c r="BG75" s="694"/>
      <c r="BH75" s="694"/>
      <c r="BI75" s="694"/>
      <c r="BJ75" s="694"/>
      <c r="BK75" s="694"/>
      <c r="BL75" s="694"/>
      <c r="BM75" s="694"/>
      <c r="BN75" s="694"/>
      <c r="BO75" s="694"/>
      <c r="BP75" s="694"/>
      <c r="BQ75" s="694"/>
      <c r="BR75" s="694"/>
      <c r="BS75" s="694"/>
      <c r="BT75" s="695"/>
    </row>
    <row r="76" spans="2:73">
      <c r="B76" s="689"/>
      <c r="C76" s="689"/>
      <c r="D76" s="689"/>
      <c r="E76" s="689"/>
      <c r="F76" s="689"/>
      <c r="G76" s="689"/>
      <c r="H76" s="689"/>
      <c r="I76" s="644"/>
      <c r="J76" s="644"/>
      <c r="K76" s="633"/>
      <c r="L76" s="693"/>
      <c r="M76" s="694"/>
      <c r="N76" s="694"/>
      <c r="O76" s="694"/>
      <c r="P76" s="694"/>
      <c r="Q76" s="694"/>
      <c r="R76" s="694"/>
      <c r="S76" s="694"/>
      <c r="T76" s="694"/>
      <c r="U76" s="694"/>
      <c r="V76" s="694"/>
      <c r="W76" s="694"/>
      <c r="X76" s="694"/>
      <c r="Y76" s="694"/>
      <c r="Z76" s="694"/>
      <c r="AA76" s="694"/>
      <c r="AB76" s="694"/>
      <c r="AC76" s="694"/>
      <c r="AD76" s="694"/>
      <c r="AE76" s="694"/>
      <c r="AF76" s="694"/>
      <c r="AG76" s="694"/>
      <c r="AH76" s="694"/>
      <c r="AI76" s="694"/>
      <c r="AJ76" s="694"/>
      <c r="AK76" s="694"/>
      <c r="AL76" s="694"/>
      <c r="AM76" s="694"/>
      <c r="AN76" s="694"/>
      <c r="AO76" s="695"/>
      <c r="AP76" s="633"/>
      <c r="AQ76" s="693"/>
      <c r="AR76" s="694"/>
      <c r="AS76" s="694"/>
      <c r="AT76" s="694"/>
      <c r="AU76" s="694"/>
      <c r="AV76" s="694"/>
      <c r="AW76" s="694"/>
      <c r="AX76" s="694"/>
      <c r="AY76" s="694"/>
      <c r="AZ76" s="694"/>
      <c r="BA76" s="694"/>
      <c r="BB76" s="694"/>
      <c r="BC76" s="694"/>
      <c r="BD76" s="694"/>
      <c r="BE76" s="694"/>
      <c r="BF76" s="694"/>
      <c r="BG76" s="694"/>
      <c r="BH76" s="694"/>
      <c r="BI76" s="694"/>
      <c r="BJ76" s="694"/>
      <c r="BK76" s="694"/>
      <c r="BL76" s="694"/>
      <c r="BM76" s="694"/>
      <c r="BN76" s="694"/>
      <c r="BO76" s="694"/>
      <c r="BP76" s="694"/>
      <c r="BQ76" s="694"/>
      <c r="BR76" s="694"/>
      <c r="BS76" s="694"/>
      <c r="BT76" s="695"/>
    </row>
    <row r="77" spans="2:73">
      <c r="B77" s="689"/>
      <c r="C77" s="689"/>
      <c r="D77" s="689"/>
      <c r="E77" s="689"/>
      <c r="F77" s="689"/>
      <c r="G77" s="689"/>
      <c r="H77" s="689"/>
      <c r="I77" s="644"/>
      <c r="J77" s="644"/>
      <c r="K77" s="633"/>
      <c r="L77" s="693"/>
      <c r="M77" s="694"/>
      <c r="N77" s="694"/>
      <c r="O77" s="694"/>
      <c r="P77" s="694"/>
      <c r="Q77" s="694"/>
      <c r="R77" s="694"/>
      <c r="S77" s="694"/>
      <c r="T77" s="694"/>
      <c r="U77" s="694"/>
      <c r="V77" s="694"/>
      <c r="W77" s="694"/>
      <c r="X77" s="694"/>
      <c r="Y77" s="694"/>
      <c r="Z77" s="694"/>
      <c r="AA77" s="694"/>
      <c r="AB77" s="694"/>
      <c r="AC77" s="694"/>
      <c r="AD77" s="694"/>
      <c r="AE77" s="694"/>
      <c r="AF77" s="694"/>
      <c r="AG77" s="694"/>
      <c r="AH77" s="694"/>
      <c r="AI77" s="694"/>
      <c r="AJ77" s="694"/>
      <c r="AK77" s="694"/>
      <c r="AL77" s="694"/>
      <c r="AM77" s="694"/>
      <c r="AN77" s="694"/>
      <c r="AO77" s="695"/>
      <c r="AP77" s="633"/>
      <c r="AQ77" s="693"/>
      <c r="AR77" s="694"/>
      <c r="AS77" s="694"/>
      <c r="AT77" s="694"/>
      <c r="AU77" s="694"/>
      <c r="AV77" s="694"/>
      <c r="AW77" s="694"/>
      <c r="AX77" s="694"/>
      <c r="AY77" s="694"/>
      <c r="AZ77" s="694"/>
      <c r="BA77" s="694"/>
      <c r="BB77" s="694"/>
      <c r="BC77" s="694"/>
      <c r="BD77" s="694"/>
      <c r="BE77" s="694"/>
      <c r="BF77" s="694"/>
      <c r="BG77" s="694"/>
      <c r="BH77" s="694"/>
      <c r="BI77" s="694"/>
      <c r="BJ77" s="694"/>
      <c r="BK77" s="694"/>
      <c r="BL77" s="694"/>
      <c r="BM77" s="694"/>
      <c r="BN77" s="694"/>
      <c r="BO77" s="694"/>
      <c r="BP77" s="694"/>
      <c r="BQ77" s="694"/>
      <c r="BR77" s="694"/>
      <c r="BS77" s="694"/>
      <c r="BT77" s="695"/>
    </row>
    <row r="78" spans="2:73">
      <c r="B78" s="689"/>
      <c r="C78" s="689"/>
      <c r="D78" s="689"/>
      <c r="E78" s="689"/>
      <c r="F78" s="689"/>
      <c r="G78" s="689"/>
      <c r="H78" s="689"/>
      <c r="I78" s="644"/>
      <c r="J78" s="644"/>
      <c r="K78" s="633"/>
      <c r="L78" s="693"/>
      <c r="M78" s="694"/>
      <c r="N78" s="694"/>
      <c r="O78" s="694"/>
      <c r="P78" s="694"/>
      <c r="Q78" s="694"/>
      <c r="R78" s="694"/>
      <c r="S78" s="694"/>
      <c r="T78" s="694"/>
      <c r="U78" s="694"/>
      <c r="V78" s="694"/>
      <c r="W78" s="694"/>
      <c r="X78" s="694"/>
      <c r="Y78" s="694"/>
      <c r="Z78" s="694"/>
      <c r="AA78" s="694"/>
      <c r="AB78" s="694"/>
      <c r="AC78" s="694"/>
      <c r="AD78" s="694"/>
      <c r="AE78" s="694"/>
      <c r="AF78" s="694"/>
      <c r="AG78" s="694"/>
      <c r="AH78" s="694"/>
      <c r="AI78" s="694"/>
      <c r="AJ78" s="694"/>
      <c r="AK78" s="694"/>
      <c r="AL78" s="694"/>
      <c r="AM78" s="694"/>
      <c r="AN78" s="694"/>
      <c r="AO78" s="695"/>
      <c r="AP78" s="633"/>
      <c r="AQ78" s="693"/>
      <c r="AR78" s="694"/>
      <c r="AS78" s="694"/>
      <c r="AT78" s="694"/>
      <c r="AU78" s="694"/>
      <c r="AV78" s="694"/>
      <c r="AW78" s="694"/>
      <c r="AX78" s="694"/>
      <c r="AY78" s="694"/>
      <c r="AZ78" s="694"/>
      <c r="BA78" s="694"/>
      <c r="BB78" s="694"/>
      <c r="BC78" s="694"/>
      <c r="BD78" s="694"/>
      <c r="BE78" s="694"/>
      <c r="BF78" s="694"/>
      <c r="BG78" s="694"/>
      <c r="BH78" s="694"/>
      <c r="BI78" s="694"/>
      <c r="BJ78" s="694"/>
      <c r="BK78" s="694"/>
      <c r="BL78" s="694"/>
      <c r="BM78" s="694"/>
      <c r="BN78" s="694"/>
      <c r="BO78" s="694"/>
      <c r="BP78" s="694"/>
      <c r="BQ78" s="694"/>
      <c r="BR78" s="694"/>
      <c r="BS78" s="694"/>
      <c r="BT78" s="695"/>
    </row>
    <row r="79" spans="2:73">
      <c r="B79" s="689"/>
      <c r="C79" s="689"/>
      <c r="D79" s="689"/>
      <c r="E79" s="689"/>
      <c r="F79" s="689"/>
      <c r="G79" s="689"/>
      <c r="H79" s="689"/>
      <c r="I79" s="644"/>
      <c r="J79" s="644"/>
      <c r="K79" s="633"/>
      <c r="L79" s="693"/>
      <c r="M79" s="694"/>
      <c r="N79" s="694"/>
      <c r="O79" s="694"/>
      <c r="P79" s="694"/>
      <c r="Q79" s="694"/>
      <c r="R79" s="694"/>
      <c r="S79" s="694"/>
      <c r="T79" s="694"/>
      <c r="U79" s="694"/>
      <c r="V79" s="694"/>
      <c r="W79" s="694"/>
      <c r="X79" s="694"/>
      <c r="Y79" s="694"/>
      <c r="Z79" s="694"/>
      <c r="AA79" s="694"/>
      <c r="AB79" s="694"/>
      <c r="AC79" s="694"/>
      <c r="AD79" s="694"/>
      <c r="AE79" s="694"/>
      <c r="AF79" s="694"/>
      <c r="AG79" s="694"/>
      <c r="AH79" s="694"/>
      <c r="AI79" s="694"/>
      <c r="AJ79" s="694"/>
      <c r="AK79" s="694"/>
      <c r="AL79" s="694"/>
      <c r="AM79" s="694"/>
      <c r="AN79" s="694"/>
      <c r="AO79" s="695"/>
      <c r="AP79" s="633"/>
      <c r="AQ79" s="693"/>
      <c r="AR79" s="694"/>
      <c r="AS79" s="694"/>
      <c r="AT79" s="694"/>
      <c r="AU79" s="694"/>
      <c r="AV79" s="694"/>
      <c r="AW79" s="694"/>
      <c r="AX79" s="694"/>
      <c r="AY79" s="694"/>
      <c r="AZ79" s="694"/>
      <c r="BA79" s="694"/>
      <c r="BB79" s="694"/>
      <c r="BC79" s="694"/>
      <c r="BD79" s="694"/>
      <c r="BE79" s="694"/>
      <c r="BF79" s="694"/>
      <c r="BG79" s="694"/>
      <c r="BH79" s="694"/>
      <c r="BI79" s="694"/>
      <c r="BJ79" s="694"/>
      <c r="BK79" s="694"/>
      <c r="BL79" s="694"/>
      <c r="BM79" s="694"/>
      <c r="BN79" s="694"/>
      <c r="BO79" s="694"/>
      <c r="BP79" s="694"/>
      <c r="BQ79" s="694"/>
      <c r="BR79" s="694"/>
      <c r="BS79" s="694"/>
      <c r="BT79" s="695"/>
    </row>
    <row r="80" spans="2:73" ht="15.5">
      <c r="B80" s="689"/>
      <c r="C80" s="689"/>
      <c r="D80" s="689"/>
      <c r="E80" s="689"/>
      <c r="F80" s="689"/>
      <c r="G80" s="689"/>
      <c r="H80" s="689"/>
      <c r="I80" s="644"/>
      <c r="J80" s="644"/>
      <c r="K80" s="633"/>
      <c r="L80" s="693"/>
      <c r="M80" s="694"/>
      <c r="N80" s="694"/>
      <c r="O80" s="694"/>
      <c r="P80" s="694"/>
      <c r="Q80" s="694"/>
      <c r="R80" s="694"/>
      <c r="S80" s="694"/>
      <c r="T80" s="694"/>
      <c r="U80" s="694"/>
      <c r="V80" s="694"/>
      <c r="W80" s="694"/>
      <c r="X80" s="694"/>
      <c r="Y80" s="694"/>
      <c r="Z80" s="694"/>
      <c r="AA80" s="694"/>
      <c r="AB80" s="694"/>
      <c r="AC80" s="694"/>
      <c r="AD80" s="694"/>
      <c r="AE80" s="694"/>
      <c r="AF80" s="694"/>
      <c r="AG80" s="694"/>
      <c r="AH80" s="694"/>
      <c r="AI80" s="694"/>
      <c r="AJ80" s="694"/>
      <c r="AK80" s="694"/>
      <c r="AL80" s="694"/>
      <c r="AM80" s="694"/>
      <c r="AN80" s="694"/>
      <c r="AO80" s="695"/>
      <c r="AP80" s="633"/>
      <c r="AQ80" s="693"/>
      <c r="AR80" s="694"/>
      <c r="AS80" s="694"/>
      <c r="AT80" s="694"/>
      <c r="AU80" s="694"/>
      <c r="AV80" s="694"/>
      <c r="AW80" s="694"/>
      <c r="AX80" s="694"/>
      <c r="AY80" s="694"/>
      <c r="AZ80" s="694"/>
      <c r="BA80" s="694"/>
      <c r="BB80" s="694"/>
      <c r="BC80" s="694"/>
      <c r="BD80" s="694"/>
      <c r="BE80" s="694"/>
      <c r="BF80" s="694"/>
      <c r="BG80" s="694"/>
      <c r="BH80" s="694"/>
      <c r="BI80" s="694"/>
      <c r="BJ80" s="694"/>
      <c r="BK80" s="694"/>
      <c r="BL80" s="694"/>
      <c r="BM80" s="694"/>
      <c r="BN80" s="694"/>
      <c r="BO80" s="694"/>
      <c r="BP80" s="694"/>
      <c r="BQ80" s="694"/>
      <c r="BR80" s="694"/>
      <c r="BS80" s="694"/>
      <c r="BT80" s="695"/>
      <c r="BU80" s="163"/>
    </row>
    <row r="81" spans="2:73" ht="15.5">
      <c r="B81" s="689"/>
      <c r="C81" s="689"/>
      <c r="D81" s="689"/>
      <c r="E81" s="689"/>
      <c r="F81" s="689"/>
      <c r="G81" s="689"/>
      <c r="H81" s="689"/>
      <c r="I81" s="644"/>
      <c r="J81" s="644"/>
      <c r="K81" s="633"/>
      <c r="L81" s="693"/>
      <c r="M81" s="694"/>
      <c r="N81" s="694"/>
      <c r="O81" s="694"/>
      <c r="P81" s="694"/>
      <c r="Q81" s="694"/>
      <c r="R81" s="694"/>
      <c r="S81" s="694"/>
      <c r="T81" s="694"/>
      <c r="U81" s="694"/>
      <c r="V81" s="694"/>
      <c r="W81" s="694"/>
      <c r="X81" s="694"/>
      <c r="Y81" s="694"/>
      <c r="Z81" s="694"/>
      <c r="AA81" s="694"/>
      <c r="AB81" s="694"/>
      <c r="AC81" s="694"/>
      <c r="AD81" s="694"/>
      <c r="AE81" s="694"/>
      <c r="AF81" s="694"/>
      <c r="AG81" s="694"/>
      <c r="AH81" s="694"/>
      <c r="AI81" s="694"/>
      <c r="AJ81" s="694"/>
      <c r="AK81" s="694"/>
      <c r="AL81" s="694"/>
      <c r="AM81" s="694"/>
      <c r="AN81" s="694"/>
      <c r="AO81" s="695"/>
      <c r="AP81" s="633"/>
      <c r="AQ81" s="693"/>
      <c r="AR81" s="694"/>
      <c r="AS81" s="694"/>
      <c r="AT81" s="694"/>
      <c r="AU81" s="694"/>
      <c r="AV81" s="694"/>
      <c r="AW81" s="694"/>
      <c r="AX81" s="694"/>
      <c r="AY81" s="694"/>
      <c r="AZ81" s="694"/>
      <c r="BA81" s="694"/>
      <c r="BB81" s="694"/>
      <c r="BC81" s="694"/>
      <c r="BD81" s="694"/>
      <c r="BE81" s="694"/>
      <c r="BF81" s="694"/>
      <c r="BG81" s="694"/>
      <c r="BH81" s="694"/>
      <c r="BI81" s="694"/>
      <c r="BJ81" s="694"/>
      <c r="BK81" s="694"/>
      <c r="BL81" s="694"/>
      <c r="BM81" s="694"/>
      <c r="BN81" s="694"/>
      <c r="BO81" s="694"/>
      <c r="BP81" s="694"/>
      <c r="BQ81" s="694"/>
      <c r="BR81" s="694"/>
      <c r="BS81" s="694"/>
      <c r="BT81" s="695"/>
      <c r="BU81" s="163"/>
    </row>
    <row r="82" spans="2:73">
      <c r="B82" s="689"/>
      <c r="C82" s="689"/>
      <c r="D82" s="689"/>
      <c r="E82" s="689"/>
      <c r="F82" s="689"/>
      <c r="G82" s="689"/>
      <c r="H82" s="689"/>
      <c r="I82" s="644"/>
      <c r="J82" s="644"/>
      <c r="K82" s="633"/>
      <c r="L82" s="693"/>
      <c r="M82" s="694"/>
      <c r="N82" s="694"/>
      <c r="O82" s="694"/>
      <c r="P82" s="694"/>
      <c r="Q82" s="694"/>
      <c r="R82" s="694"/>
      <c r="S82" s="694"/>
      <c r="T82" s="694"/>
      <c r="U82" s="694"/>
      <c r="V82" s="694"/>
      <c r="W82" s="694"/>
      <c r="X82" s="694"/>
      <c r="Y82" s="694"/>
      <c r="Z82" s="694"/>
      <c r="AA82" s="694"/>
      <c r="AB82" s="694"/>
      <c r="AC82" s="694"/>
      <c r="AD82" s="694"/>
      <c r="AE82" s="694"/>
      <c r="AF82" s="694"/>
      <c r="AG82" s="694"/>
      <c r="AH82" s="694"/>
      <c r="AI82" s="694"/>
      <c r="AJ82" s="694"/>
      <c r="AK82" s="694"/>
      <c r="AL82" s="694"/>
      <c r="AM82" s="694"/>
      <c r="AN82" s="694"/>
      <c r="AO82" s="695"/>
      <c r="AP82" s="633"/>
      <c r="AQ82" s="693"/>
      <c r="AR82" s="694"/>
      <c r="AS82" s="694"/>
      <c r="AT82" s="694"/>
      <c r="AU82" s="694"/>
      <c r="AV82" s="694"/>
      <c r="AW82" s="694"/>
      <c r="AX82" s="694"/>
      <c r="AY82" s="694"/>
      <c r="AZ82" s="694"/>
      <c r="BA82" s="694"/>
      <c r="BB82" s="694"/>
      <c r="BC82" s="694"/>
      <c r="BD82" s="694"/>
      <c r="BE82" s="694"/>
      <c r="BF82" s="694"/>
      <c r="BG82" s="694"/>
      <c r="BH82" s="694"/>
      <c r="BI82" s="694"/>
      <c r="BJ82" s="694"/>
      <c r="BK82" s="694"/>
      <c r="BL82" s="694"/>
      <c r="BM82" s="694"/>
      <c r="BN82" s="694"/>
      <c r="BO82" s="694"/>
      <c r="BP82" s="694"/>
      <c r="BQ82" s="694"/>
      <c r="BR82" s="694"/>
      <c r="BS82" s="694"/>
      <c r="BT82" s="695"/>
    </row>
    <row r="83" spans="2:73" ht="15.5">
      <c r="B83" s="689"/>
      <c r="C83" s="689"/>
      <c r="D83" s="689"/>
      <c r="E83" s="689"/>
      <c r="F83" s="689"/>
      <c r="G83" s="689"/>
      <c r="H83" s="689"/>
      <c r="I83" s="644"/>
      <c r="J83" s="644"/>
      <c r="K83" s="633"/>
      <c r="L83" s="693"/>
      <c r="M83" s="694"/>
      <c r="N83" s="694"/>
      <c r="O83" s="694"/>
      <c r="P83" s="694"/>
      <c r="Q83" s="694"/>
      <c r="R83" s="694"/>
      <c r="S83" s="694"/>
      <c r="T83" s="694"/>
      <c r="U83" s="694"/>
      <c r="V83" s="694"/>
      <c r="W83" s="694"/>
      <c r="X83" s="694"/>
      <c r="Y83" s="694"/>
      <c r="Z83" s="694"/>
      <c r="AA83" s="694"/>
      <c r="AB83" s="694"/>
      <c r="AC83" s="694"/>
      <c r="AD83" s="694"/>
      <c r="AE83" s="694"/>
      <c r="AF83" s="694"/>
      <c r="AG83" s="694"/>
      <c r="AH83" s="694"/>
      <c r="AI83" s="694"/>
      <c r="AJ83" s="694"/>
      <c r="AK83" s="694"/>
      <c r="AL83" s="694"/>
      <c r="AM83" s="694"/>
      <c r="AN83" s="694"/>
      <c r="AO83" s="695"/>
      <c r="AP83" s="633"/>
      <c r="AQ83" s="693"/>
      <c r="AR83" s="694"/>
      <c r="AS83" s="694"/>
      <c r="AT83" s="694"/>
      <c r="AU83" s="694"/>
      <c r="AV83" s="694"/>
      <c r="AW83" s="694"/>
      <c r="AX83" s="694"/>
      <c r="AY83" s="694"/>
      <c r="AZ83" s="694"/>
      <c r="BA83" s="694"/>
      <c r="BB83" s="694"/>
      <c r="BC83" s="694"/>
      <c r="BD83" s="694"/>
      <c r="BE83" s="694"/>
      <c r="BF83" s="694"/>
      <c r="BG83" s="694"/>
      <c r="BH83" s="694"/>
      <c r="BI83" s="694"/>
      <c r="BJ83" s="694"/>
      <c r="BK83" s="694"/>
      <c r="BL83" s="694"/>
      <c r="BM83" s="694"/>
      <c r="BN83" s="694"/>
      <c r="BO83" s="694"/>
      <c r="BP83" s="694"/>
      <c r="BQ83" s="694"/>
      <c r="BR83" s="694"/>
      <c r="BS83" s="694"/>
      <c r="BT83" s="695"/>
      <c r="BU83" s="163"/>
    </row>
    <row r="84" spans="2:73" ht="15.5">
      <c r="B84" s="689"/>
      <c r="C84" s="689"/>
      <c r="D84" s="689"/>
      <c r="E84" s="689"/>
      <c r="F84" s="689"/>
      <c r="G84" s="689"/>
      <c r="H84" s="689"/>
      <c r="I84" s="644"/>
      <c r="J84" s="644"/>
      <c r="K84" s="633"/>
      <c r="L84" s="693"/>
      <c r="M84" s="694"/>
      <c r="N84" s="694"/>
      <c r="O84" s="694"/>
      <c r="P84" s="694"/>
      <c r="Q84" s="694"/>
      <c r="R84" s="694"/>
      <c r="S84" s="694"/>
      <c r="T84" s="694"/>
      <c r="U84" s="694"/>
      <c r="V84" s="694"/>
      <c r="W84" s="694"/>
      <c r="X84" s="694"/>
      <c r="Y84" s="694"/>
      <c r="Z84" s="694"/>
      <c r="AA84" s="694"/>
      <c r="AB84" s="694"/>
      <c r="AC84" s="694"/>
      <c r="AD84" s="694"/>
      <c r="AE84" s="694"/>
      <c r="AF84" s="694"/>
      <c r="AG84" s="694"/>
      <c r="AH84" s="694"/>
      <c r="AI84" s="694"/>
      <c r="AJ84" s="694"/>
      <c r="AK84" s="694"/>
      <c r="AL84" s="694"/>
      <c r="AM84" s="694"/>
      <c r="AN84" s="694"/>
      <c r="AO84" s="695"/>
      <c r="AP84" s="633"/>
      <c r="AQ84" s="693"/>
      <c r="AR84" s="694"/>
      <c r="AS84" s="694"/>
      <c r="AT84" s="694"/>
      <c r="AU84" s="694"/>
      <c r="AV84" s="694"/>
      <c r="AW84" s="694"/>
      <c r="AX84" s="694"/>
      <c r="AY84" s="694"/>
      <c r="AZ84" s="694"/>
      <c r="BA84" s="694"/>
      <c r="BB84" s="694"/>
      <c r="BC84" s="694"/>
      <c r="BD84" s="694"/>
      <c r="BE84" s="694"/>
      <c r="BF84" s="694"/>
      <c r="BG84" s="694"/>
      <c r="BH84" s="694"/>
      <c r="BI84" s="694"/>
      <c r="BJ84" s="694"/>
      <c r="BK84" s="694"/>
      <c r="BL84" s="694"/>
      <c r="BM84" s="694"/>
      <c r="BN84" s="694"/>
      <c r="BO84" s="694"/>
      <c r="BP84" s="694"/>
      <c r="BQ84" s="694"/>
      <c r="BR84" s="694"/>
      <c r="BS84" s="694"/>
      <c r="BT84" s="695"/>
      <c r="BU84" s="163"/>
    </row>
    <row r="85" spans="2:73" ht="15.5">
      <c r="B85" s="689"/>
      <c r="C85" s="689"/>
      <c r="D85" s="689"/>
      <c r="E85" s="689"/>
      <c r="F85" s="689"/>
      <c r="G85" s="689"/>
      <c r="H85" s="689"/>
      <c r="I85" s="644"/>
      <c r="J85" s="644"/>
      <c r="K85" s="633"/>
      <c r="L85" s="693"/>
      <c r="M85" s="694"/>
      <c r="N85" s="694"/>
      <c r="O85" s="694"/>
      <c r="P85" s="694"/>
      <c r="Q85" s="694"/>
      <c r="R85" s="694"/>
      <c r="S85" s="694"/>
      <c r="T85" s="694"/>
      <c r="U85" s="694"/>
      <c r="V85" s="694"/>
      <c r="W85" s="694"/>
      <c r="X85" s="694"/>
      <c r="Y85" s="694"/>
      <c r="Z85" s="694"/>
      <c r="AA85" s="694"/>
      <c r="AB85" s="694"/>
      <c r="AC85" s="694"/>
      <c r="AD85" s="694"/>
      <c r="AE85" s="694"/>
      <c r="AF85" s="694"/>
      <c r="AG85" s="694"/>
      <c r="AH85" s="694"/>
      <c r="AI85" s="694"/>
      <c r="AJ85" s="694"/>
      <c r="AK85" s="694"/>
      <c r="AL85" s="694"/>
      <c r="AM85" s="694"/>
      <c r="AN85" s="694"/>
      <c r="AO85" s="695"/>
      <c r="AP85" s="633"/>
      <c r="AQ85" s="693"/>
      <c r="AR85" s="694"/>
      <c r="AS85" s="694"/>
      <c r="AT85" s="694"/>
      <c r="AU85" s="694"/>
      <c r="AV85" s="694"/>
      <c r="AW85" s="694"/>
      <c r="AX85" s="694"/>
      <c r="AY85" s="694"/>
      <c r="AZ85" s="694"/>
      <c r="BA85" s="694"/>
      <c r="BB85" s="694"/>
      <c r="BC85" s="694"/>
      <c r="BD85" s="694"/>
      <c r="BE85" s="694"/>
      <c r="BF85" s="694"/>
      <c r="BG85" s="694"/>
      <c r="BH85" s="694"/>
      <c r="BI85" s="694"/>
      <c r="BJ85" s="694"/>
      <c r="BK85" s="694"/>
      <c r="BL85" s="694"/>
      <c r="BM85" s="694"/>
      <c r="BN85" s="694"/>
      <c r="BO85" s="694"/>
      <c r="BP85" s="694"/>
      <c r="BQ85" s="694"/>
      <c r="BR85" s="694"/>
      <c r="BS85" s="694"/>
      <c r="BT85" s="695"/>
      <c r="BU85" s="163"/>
    </row>
    <row r="86" spans="2:73">
      <c r="B86" s="689"/>
      <c r="C86" s="689"/>
      <c r="D86" s="689"/>
      <c r="E86" s="689"/>
      <c r="F86" s="689"/>
      <c r="G86" s="689"/>
      <c r="H86" s="689"/>
      <c r="I86" s="644"/>
      <c r="J86" s="644"/>
      <c r="K86" s="633"/>
      <c r="L86" s="693"/>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K86" s="694"/>
      <c r="AL86" s="694"/>
      <c r="AM86" s="694"/>
      <c r="AN86" s="694"/>
      <c r="AO86" s="695"/>
      <c r="AP86" s="633"/>
      <c r="AQ86" s="693"/>
      <c r="AR86" s="694"/>
      <c r="AS86" s="694"/>
      <c r="AT86" s="694"/>
      <c r="AU86" s="694"/>
      <c r="AV86" s="694"/>
      <c r="AW86" s="694"/>
      <c r="AX86" s="694"/>
      <c r="AY86" s="694"/>
      <c r="AZ86" s="694"/>
      <c r="BA86" s="694"/>
      <c r="BB86" s="694"/>
      <c r="BC86" s="694"/>
      <c r="BD86" s="694"/>
      <c r="BE86" s="694"/>
      <c r="BF86" s="694"/>
      <c r="BG86" s="694"/>
      <c r="BH86" s="694"/>
      <c r="BI86" s="694"/>
      <c r="BJ86" s="694"/>
      <c r="BK86" s="694"/>
      <c r="BL86" s="694"/>
      <c r="BM86" s="694"/>
      <c r="BN86" s="694"/>
      <c r="BO86" s="694"/>
      <c r="BP86" s="694"/>
      <c r="BQ86" s="694"/>
      <c r="BR86" s="694"/>
      <c r="BS86" s="694"/>
      <c r="BT86" s="695"/>
    </row>
    <row r="87" spans="2:73">
      <c r="B87" s="689"/>
      <c r="C87" s="689"/>
      <c r="D87" s="689"/>
      <c r="E87" s="689"/>
      <c r="F87" s="689"/>
      <c r="G87" s="689"/>
      <c r="H87" s="689"/>
      <c r="I87" s="644"/>
      <c r="J87" s="644"/>
      <c r="K87" s="633"/>
      <c r="L87" s="693"/>
      <c r="M87" s="694"/>
      <c r="N87" s="694"/>
      <c r="O87" s="694"/>
      <c r="P87" s="694"/>
      <c r="Q87" s="694"/>
      <c r="R87" s="694"/>
      <c r="S87" s="694"/>
      <c r="T87" s="694"/>
      <c r="U87" s="694"/>
      <c r="V87" s="694"/>
      <c r="W87" s="694"/>
      <c r="X87" s="694"/>
      <c r="Y87" s="694"/>
      <c r="Z87" s="694"/>
      <c r="AA87" s="694"/>
      <c r="AB87" s="694"/>
      <c r="AC87" s="694"/>
      <c r="AD87" s="694"/>
      <c r="AE87" s="694"/>
      <c r="AF87" s="694"/>
      <c r="AG87" s="694"/>
      <c r="AH87" s="694"/>
      <c r="AI87" s="694"/>
      <c r="AJ87" s="694"/>
      <c r="AK87" s="694"/>
      <c r="AL87" s="694"/>
      <c r="AM87" s="694"/>
      <c r="AN87" s="694"/>
      <c r="AO87" s="695"/>
      <c r="AP87" s="633"/>
      <c r="AQ87" s="693"/>
      <c r="AR87" s="694"/>
      <c r="AS87" s="694"/>
      <c r="AT87" s="694"/>
      <c r="AU87" s="694"/>
      <c r="AV87" s="694"/>
      <c r="AW87" s="694"/>
      <c r="AX87" s="694"/>
      <c r="AY87" s="694"/>
      <c r="AZ87" s="694"/>
      <c r="BA87" s="694"/>
      <c r="BB87" s="694"/>
      <c r="BC87" s="694"/>
      <c r="BD87" s="694"/>
      <c r="BE87" s="694"/>
      <c r="BF87" s="694"/>
      <c r="BG87" s="694"/>
      <c r="BH87" s="694"/>
      <c r="BI87" s="694"/>
      <c r="BJ87" s="694"/>
      <c r="BK87" s="694"/>
      <c r="BL87" s="694"/>
      <c r="BM87" s="694"/>
      <c r="BN87" s="694"/>
      <c r="BO87" s="694"/>
      <c r="BP87" s="694"/>
      <c r="BQ87" s="694"/>
      <c r="BR87" s="694"/>
      <c r="BS87" s="694"/>
      <c r="BT87" s="695"/>
    </row>
    <row r="88" spans="2:73">
      <c r="B88" s="689"/>
      <c r="C88" s="689"/>
      <c r="D88" s="689"/>
      <c r="E88" s="689"/>
      <c r="F88" s="689"/>
      <c r="G88" s="689"/>
      <c r="H88" s="689"/>
      <c r="I88" s="644"/>
      <c r="J88" s="644"/>
      <c r="K88" s="633"/>
      <c r="L88" s="693"/>
      <c r="M88" s="694"/>
      <c r="N88" s="694"/>
      <c r="O88" s="694"/>
      <c r="P88" s="694"/>
      <c r="Q88" s="694"/>
      <c r="R88" s="694"/>
      <c r="S88" s="694"/>
      <c r="T88" s="694"/>
      <c r="U88" s="694"/>
      <c r="V88" s="694"/>
      <c r="W88" s="694"/>
      <c r="X88" s="694"/>
      <c r="Y88" s="694"/>
      <c r="Z88" s="694"/>
      <c r="AA88" s="694"/>
      <c r="AB88" s="694"/>
      <c r="AC88" s="694"/>
      <c r="AD88" s="694"/>
      <c r="AE88" s="694"/>
      <c r="AF88" s="694"/>
      <c r="AG88" s="694"/>
      <c r="AH88" s="694"/>
      <c r="AI88" s="694"/>
      <c r="AJ88" s="694"/>
      <c r="AK88" s="694"/>
      <c r="AL88" s="694"/>
      <c r="AM88" s="694"/>
      <c r="AN88" s="694"/>
      <c r="AO88" s="695"/>
      <c r="AP88" s="633"/>
      <c r="AQ88" s="693"/>
      <c r="AR88" s="694"/>
      <c r="AS88" s="694"/>
      <c r="AT88" s="694"/>
      <c r="AU88" s="694"/>
      <c r="AV88" s="694"/>
      <c r="AW88" s="694"/>
      <c r="AX88" s="694"/>
      <c r="AY88" s="694"/>
      <c r="AZ88" s="694"/>
      <c r="BA88" s="694"/>
      <c r="BB88" s="694"/>
      <c r="BC88" s="694"/>
      <c r="BD88" s="694"/>
      <c r="BE88" s="694"/>
      <c r="BF88" s="694"/>
      <c r="BG88" s="694"/>
      <c r="BH88" s="694"/>
      <c r="BI88" s="694"/>
      <c r="BJ88" s="694"/>
      <c r="BK88" s="694"/>
      <c r="BL88" s="694"/>
      <c r="BM88" s="694"/>
      <c r="BN88" s="694"/>
      <c r="BO88" s="694"/>
      <c r="BP88" s="694"/>
      <c r="BQ88" s="694"/>
      <c r="BR88" s="694"/>
      <c r="BS88" s="694"/>
      <c r="BT88" s="695"/>
    </row>
    <row r="89" spans="2:73">
      <c r="B89" s="689"/>
      <c r="C89" s="689"/>
      <c r="D89" s="689"/>
      <c r="E89" s="689"/>
      <c r="F89" s="689"/>
      <c r="G89" s="689"/>
      <c r="H89" s="689"/>
      <c r="I89" s="644"/>
      <c r="J89" s="644"/>
      <c r="K89" s="633"/>
      <c r="L89" s="693"/>
      <c r="M89" s="694"/>
      <c r="N89" s="694"/>
      <c r="O89" s="694"/>
      <c r="P89" s="694"/>
      <c r="Q89" s="694"/>
      <c r="R89" s="694"/>
      <c r="S89" s="694"/>
      <c r="T89" s="694"/>
      <c r="U89" s="694"/>
      <c r="V89" s="694"/>
      <c r="W89" s="694"/>
      <c r="X89" s="694"/>
      <c r="Y89" s="694"/>
      <c r="Z89" s="694"/>
      <c r="AA89" s="694"/>
      <c r="AB89" s="694"/>
      <c r="AC89" s="694"/>
      <c r="AD89" s="694"/>
      <c r="AE89" s="694"/>
      <c r="AF89" s="694"/>
      <c r="AG89" s="694"/>
      <c r="AH89" s="694"/>
      <c r="AI89" s="694"/>
      <c r="AJ89" s="694"/>
      <c r="AK89" s="694"/>
      <c r="AL89" s="694"/>
      <c r="AM89" s="694"/>
      <c r="AN89" s="694"/>
      <c r="AO89" s="695"/>
      <c r="AP89" s="633"/>
      <c r="AQ89" s="696"/>
      <c r="AR89" s="697"/>
      <c r="AS89" s="697"/>
      <c r="AT89" s="697"/>
      <c r="AU89" s="697"/>
      <c r="AV89" s="697"/>
      <c r="AW89" s="697"/>
      <c r="AX89" s="697"/>
      <c r="AY89" s="697"/>
      <c r="AZ89" s="697"/>
      <c r="BA89" s="697"/>
      <c r="BB89" s="697"/>
      <c r="BC89" s="697"/>
      <c r="BD89" s="697"/>
      <c r="BE89" s="697"/>
      <c r="BF89" s="697"/>
      <c r="BG89" s="697"/>
      <c r="BH89" s="697"/>
      <c r="BI89" s="697"/>
      <c r="BJ89" s="697"/>
      <c r="BK89" s="697"/>
      <c r="BL89" s="697"/>
      <c r="BM89" s="697"/>
      <c r="BN89" s="697"/>
      <c r="BO89" s="697"/>
      <c r="BP89" s="697"/>
      <c r="BQ89" s="697"/>
      <c r="BR89" s="697"/>
      <c r="BS89" s="697"/>
      <c r="BT89" s="698"/>
    </row>
    <row r="90" spans="2:73">
      <c r="B90" s="689"/>
      <c r="C90" s="689"/>
      <c r="D90" s="689"/>
      <c r="E90" s="689"/>
      <c r="F90" s="689"/>
      <c r="G90" s="689"/>
      <c r="H90" s="689"/>
      <c r="I90" s="644"/>
      <c r="J90" s="644"/>
      <c r="K90" s="633"/>
      <c r="L90" s="693"/>
      <c r="M90" s="694"/>
      <c r="N90" s="694"/>
      <c r="O90" s="694"/>
      <c r="P90" s="694"/>
      <c r="Q90" s="694"/>
      <c r="R90" s="694"/>
      <c r="S90" s="694"/>
      <c r="T90" s="694"/>
      <c r="U90" s="694"/>
      <c r="V90" s="694"/>
      <c r="W90" s="694"/>
      <c r="X90" s="694"/>
      <c r="Y90" s="694"/>
      <c r="Z90" s="694"/>
      <c r="AA90" s="694"/>
      <c r="AB90" s="694"/>
      <c r="AC90" s="694"/>
      <c r="AD90" s="694"/>
      <c r="AE90" s="694"/>
      <c r="AF90" s="694"/>
      <c r="AG90" s="694"/>
      <c r="AH90" s="694"/>
      <c r="AI90" s="694"/>
      <c r="AJ90" s="694"/>
      <c r="AK90" s="694"/>
      <c r="AL90" s="694"/>
      <c r="AM90" s="694"/>
      <c r="AN90" s="694"/>
      <c r="AO90" s="695"/>
      <c r="AP90" s="633"/>
      <c r="AQ90" s="690"/>
      <c r="AR90" s="691"/>
      <c r="AS90" s="691"/>
      <c r="AT90" s="691"/>
      <c r="AU90" s="691"/>
      <c r="AV90" s="691"/>
      <c r="AW90" s="691"/>
      <c r="AX90" s="691"/>
      <c r="AY90" s="691"/>
      <c r="AZ90" s="691"/>
      <c r="BA90" s="691"/>
      <c r="BB90" s="691"/>
      <c r="BC90" s="691"/>
      <c r="BD90" s="691"/>
      <c r="BE90" s="691"/>
      <c r="BF90" s="691"/>
      <c r="BG90" s="691"/>
      <c r="BH90" s="691"/>
      <c r="BI90" s="691"/>
      <c r="BJ90" s="691"/>
      <c r="BK90" s="691"/>
      <c r="BL90" s="691"/>
      <c r="BM90" s="691"/>
      <c r="BN90" s="691"/>
      <c r="BO90" s="691"/>
      <c r="BP90" s="691"/>
      <c r="BQ90" s="691"/>
      <c r="BR90" s="691"/>
      <c r="BS90" s="691"/>
      <c r="BT90" s="692"/>
    </row>
    <row r="91" spans="2:73">
      <c r="B91" s="689"/>
      <c r="C91" s="689"/>
      <c r="D91" s="689"/>
      <c r="E91" s="689"/>
      <c r="F91" s="689"/>
      <c r="G91" s="689"/>
      <c r="H91" s="689"/>
      <c r="I91" s="644"/>
      <c r="J91" s="644"/>
      <c r="K91" s="633"/>
      <c r="L91" s="693"/>
      <c r="M91" s="694"/>
      <c r="N91" s="694"/>
      <c r="O91" s="694"/>
      <c r="P91" s="694"/>
      <c r="Q91" s="694"/>
      <c r="R91" s="694"/>
      <c r="S91" s="694"/>
      <c r="T91" s="694"/>
      <c r="U91" s="694"/>
      <c r="V91" s="694"/>
      <c r="W91" s="694"/>
      <c r="X91" s="694"/>
      <c r="Y91" s="694"/>
      <c r="Z91" s="694"/>
      <c r="AA91" s="694"/>
      <c r="AB91" s="694"/>
      <c r="AC91" s="694"/>
      <c r="AD91" s="694"/>
      <c r="AE91" s="694"/>
      <c r="AF91" s="694"/>
      <c r="AG91" s="694"/>
      <c r="AH91" s="694"/>
      <c r="AI91" s="694"/>
      <c r="AJ91" s="694"/>
      <c r="AK91" s="694"/>
      <c r="AL91" s="694"/>
      <c r="AM91" s="694"/>
      <c r="AN91" s="694"/>
      <c r="AO91" s="695"/>
      <c r="AP91" s="633"/>
      <c r="AQ91" s="693"/>
      <c r="AR91" s="694"/>
      <c r="AS91" s="694"/>
      <c r="AT91" s="694"/>
      <c r="AU91" s="694"/>
      <c r="AV91" s="694"/>
      <c r="AW91" s="694"/>
      <c r="AX91" s="694"/>
      <c r="AY91" s="694"/>
      <c r="AZ91" s="694"/>
      <c r="BA91" s="694"/>
      <c r="BB91" s="694"/>
      <c r="BC91" s="694"/>
      <c r="BD91" s="694"/>
      <c r="BE91" s="694"/>
      <c r="BF91" s="694"/>
      <c r="BG91" s="694"/>
      <c r="BH91" s="694"/>
      <c r="BI91" s="694"/>
      <c r="BJ91" s="694"/>
      <c r="BK91" s="694"/>
      <c r="BL91" s="694"/>
      <c r="BM91" s="694"/>
      <c r="BN91" s="694"/>
      <c r="BO91" s="694"/>
      <c r="BP91" s="694"/>
      <c r="BQ91" s="694"/>
      <c r="BR91" s="694"/>
      <c r="BS91" s="694"/>
      <c r="BT91" s="695"/>
    </row>
    <row r="92" spans="2:73">
      <c r="B92" s="689"/>
      <c r="C92" s="689"/>
      <c r="D92" s="689"/>
      <c r="E92" s="689"/>
      <c r="F92" s="689"/>
      <c r="G92" s="689"/>
      <c r="H92" s="689"/>
      <c r="I92" s="644"/>
      <c r="J92" s="644"/>
      <c r="K92" s="633"/>
      <c r="L92" s="693"/>
      <c r="M92" s="694"/>
      <c r="N92" s="694"/>
      <c r="O92" s="694"/>
      <c r="P92" s="694"/>
      <c r="Q92" s="694"/>
      <c r="R92" s="694"/>
      <c r="S92" s="694"/>
      <c r="T92" s="694"/>
      <c r="U92" s="694"/>
      <c r="V92" s="694"/>
      <c r="W92" s="694"/>
      <c r="X92" s="694"/>
      <c r="Y92" s="694"/>
      <c r="Z92" s="694"/>
      <c r="AA92" s="694"/>
      <c r="AB92" s="694"/>
      <c r="AC92" s="694"/>
      <c r="AD92" s="694"/>
      <c r="AE92" s="694"/>
      <c r="AF92" s="694"/>
      <c r="AG92" s="694"/>
      <c r="AH92" s="694"/>
      <c r="AI92" s="694"/>
      <c r="AJ92" s="694"/>
      <c r="AK92" s="694"/>
      <c r="AL92" s="694"/>
      <c r="AM92" s="694"/>
      <c r="AN92" s="694"/>
      <c r="AO92" s="695"/>
      <c r="AP92" s="633"/>
      <c r="AQ92" s="693"/>
      <c r="AR92" s="694"/>
      <c r="AS92" s="694"/>
      <c r="AT92" s="694"/>
      <c r="AU92" s="694"/>
      <c r="AV92" s="694"/>
      <c r="AW92" s="694"/>
      <c r="AX92" s="694"/>
      <c r="AY92" s="694"/>
      <c r="AZ92" s="694"/>
      <c r="BA92" s="694"/>
      <c r="BB92" s="694"/>
      <c r="BC92" s="694"/>
      <c r="BD92" s="694"/>
      <c r="BE92" s="694"/>
      <c r="BF92" s="694"/>
      <c r="BG92" s="694"/>
      <c r="BH92" s="694"/>
      <c r="BI92" s="694"/>
      <c r="BJ92" s="694"/>
      <c r="BK92" s="694"/>
      <c r="BL92" s="694"/>
      <c r="BM92" s="694"/>
      <c r="BN92" s="694"/>
      <c r="BO92" s="694"/>
      <c r="BP92" s="694"/>
      <c r="BQ92" s="694"/>
      <c r="BR92" s="694"/>
      <c r="BS92" s="694"/>
      <c r="BT92" s="695"/>
    </row>
    <row r="93" spans="2:73">
      <c r="B93" s="689"/>
      <c r="C93" s="689"/>
      <c r="D93" s="689"/>
      <c r="E93" s="689"/>
      <c r="F93" s="689"/>
      <c r="G93" s="689"/>
      <c r="H93" s="689"/>
      <c r="I93" s="644"/>
      <c r="J93" s="644"/>
      <c r="K93" s="633"/>
      <c r="L93" s="693"/>
      <c r="M93" s="694"/>
      <c r="N93" s="694"/>
      <c r="O93" s="694"/>
      <c r="P93" s="694"/>
      <c r="Q93" s="694"/>
      <c r="R93" s="694"/>
      <c r="S93" s="694"/>
      <c r="T93" s="694"/>
      <c r="U93" s="694"/>
      <c r="V93" s="694"/>
      <c r="W93" s="694"/>
      <c r="X93" s="694"/>
      <c r="Y93" s="694"/>
      <c r="Z93" s="694"/>
      <c r="AA93" s="694"/>
      <c r="AB93" s="694"/>
      <c r="AC93" s="694"/>
      <c r="AD93" s="694"/>
      <c r="AE93" s="694"/>
      <c r="AF93" s="694"/>
      <c r="AG93" s="694"/>
      <c r="AH93" s="694"/>
      <c r="AI93" s="694"/>
      <c r="AJ93" s="694"/>
      <c r="AK93" s="694"/>
      <c r="AL93" s="694"/>
      <c r="AM93" s="694"/>
      <c r="AN93" s="694"/>
      <c r="AO93" s="695"/>
      <c r="AP93" s="633"/>
      <c r="AQ93" s="693"/>
      <c r="AR93" s="694"/>
      <c r="AS93" s="694"/>
      <c r="AT93" s="694"/>
      <c r="AU93" s="694"/>
      <c r="AV93" s="694"/>
      <c r="AW93" s="694"/>
      <c r="AX93" s="694"/>
      <c r="AY93" s="694"/>
      <c r="AZ93" s="694"/>
      <c r="BA93" s="694"/>
      <c r="BB93" s="694"/>
      <c r="BC93" s="694"/>
      <c r="BD93" s="694"/>
      <c r="BE93" s="694"/>
      <c r="BF93" s="694"/>
      <c r="BG93" s="694"/>
      <c r="BH93" s="694"/>
      <c r="BI93" s="694"/>
      <c r="BJ93" s="694"/>
      <c r="BK93" s="694"/>
      <c r="BL93" s="694"/>
      <c r="BM93" s="694"/>
      <c r="BN93" s="694"/>
      <c r="BO93" s="694"/>
      <c r="BP93" s="694"/>
      <c r="BQ93" s="694"/>
      <c r="BR93" s="694"/>
      <c r="BS93" s="694"/>
      <c r="BT93" s="695"/>
    </row>
    <row r="94" spans="2:73">
      <c r="B94" s="689"/>
      <c r="C94" s="689"/>
      <c r="D94" s="689"/>
      <c r="E94" s="689"/>
      <c r="F94" s="689"/>
      <c r="G94" s="689"/>
      <c r="H94" s="689"/>
      <c r="I94" s="644"/>
      <c r="J94" s="644"/>
      <c r="K94" s="633"/>
      <c r="L94" s="693"/>
      <c r="M94" s="694"/>
      <c r="N94" s="694"/>
      <c r="O94" s="694"/>
      <c r="P94" s="694"/>
      <c r="Q94" s="694"/>
      <c r="R94" s="694"/>
      <c r="S94" s="694"/>
      <c r="T94" s="694"/>
      <c r="U94" s="694"/>
      <c r="V94" s="694"/>
      <c r="W94" s="694"/>
      <c r="X94" s="694"/>
      <c r="Y94" s="694"/>
      <c r="Z94" s="694"/>
      <c r="AA94" s="694"/>
      <c r="AB94" s="694"/>
      <c r="AC94" s="694"/>
      <c r="AD94" s="694"/>
      <c r="AE94" s="694"/>
      <c r="AF94" s="694"/>
      <c r="AG94" s="694"/>
      <c r="AH94" s="694"/>
      <c r="AI94" s="694"/>
      <c r="AJ94" s="694"/>
      <c r="AK94" s="694"/>
      <c r="AL94" s="694"/>
      <c r="AM94" s="694"/>
      <c r="AN94" s="694"/>
      <c r="AO94" s="695"/>
      <c r="AP94" s="633"/>
      <c r="AQ94" s="693"/>
      <c r="AR94" s="694"/>
      <c r="AS94" s="694"/>
      <c r="AT94" s="694"/>
      <c r="AU94" s="694"/>
      <c r="AV94" s="694"/>
      <c r="AW94" s="694"/>
      <c r="AX94" s="694"/>
      <c r="AY94" s="694"/>
      <c r="AZ94" s="694"/>
      <c r="BA94" s="694"/>
      <c r="BB94" s="694"/>
      <c r="BC94" s="694"/>
      <c r="BD94" s="694"/>
      <c r="BE94" s="694"/>
      <c r="BF94" s="694"/>
      <c r="BG94" s="694"/>
      <c r="BH94" s="694"/>
      <c r="BI94" s="694"/>
      <c r="BJ94" s="694"/>
      <c r="BK94" s="694"/>
      <c r="BL94" s="694"/>
      <c r="BM94" s="694"/>
      <c r="BN94" s="694"/>
      <c r="BO94" s="694"/>
      <c r="BP94" s="694"/>
      <c r="BQ94" s="694"/>
      <c r="BR94" s="694"/>
      <c r="BS94" s="694"/>
      <c r="BT94" s="695"/>
    </row>
    <row r="95" spans="2:73">
      <c r="B95" s="689"/>
      <c r="C95" s="689"/>
      <c r="D95" s="689"/>
      <c r="E95" s="689"/>
      <c r="F95" s="689"/>
      <c r="G95" s="689"/>
      <c r="H95" s="689"/>
      <c r="I95" s="644"/>
      <c r="J95" s="644"/>
      <c r="K95" s="633"/>
      <c r="L95" s="693"/>
      <c r="M95" s="694"/>
      <c r="N95" s="694"/>
      <c r="O95" s="694"/>
      <c r="P95" s="694"/>
      <c r="Q95" s="694"/>
      <c r="R95" s="694"/>
      <c r="S95" s="694"/>
      <c r="T95" s="694"/>
      <c r="U95" s="694"/>
      <c r="V95" s="694"/>
      <c r="W95" s="694"/>
      <c r="X95" s="694"/>
      <c r="Y95" s="694"/>
      <c r="Z95" s="694"/>
      <c r="AA95" s="694"/>
      <c r="AB95" s="694"/>
      <c r="AC95" s="694"/>
      <c r="AD95" s="694"/>
      <c r="AE95" s="694"/>
      <c r="AF95" s="694"/>
      <c r="AG95" s="694"/>
      <c r="AH95" s="694"/>
      <c r="AI95" s="694"/>
      <c r="AJ95" s="694"/>
      <c r="AK95" s="694"/>
      <c r="AL95" s="694"/>
      <c r="AM95" s="694"/>
      <c r="AN95" s="694"/>
      <c r="AO95" s="695"/>
      <c r="AP95" s="633"/>
      <c r="AQ95" s="693"/>
      <c r="AR95" s="694"/>
      <c r="AS95" s="694"/>
      <c r="AT95" s="694"/>
      <c r="AU95" s="694"/>
      <c r="AV95" s="694"/>
      <c r="AW95" s="694"/>
      <c r="AX95" s="694"/>
      <c r="AY95" s="694"/>
      <c r="AZ95" s="694"/>
      <c r="BA95" s="694"/>
      <c r="BB95" s="694"/>
      <c r="BC95" s="694"/>
      <c r="BD95" s="694"/>
      <c r="BE95" s="694"/>
      <c r="BF95" s="694"/>
      <c r="BG95" s="694"/>
      <c r="BH95" s="694"/>
      <c r="BI95" s="694"/>
      <c r="BJ95" s="694"/>
      <c r="BK95" s="694"/>
      <c r="BL95" s="694"/>
      <c r="BM95" s="694"/>
      <c r="BN95" s="694"/>
      <c r="BO95" s="694"/>
      <c r="BP95" s="694"/>
      <c r="BQ95" s="694"/>
      <c r="BR95" s="694"/>
      <c r="BS95" s="694"/>
      <c r="BT95" s="695"/>
    </row>
    <row r="96" spans="2:73">
      <c r="B96" s="689"/>
      <c r="C96" s="689"/>
      <c r="D96" s="689"/>
      <c r="E96" s="689"/>
      <c r="F96" s="689"/>
      <c r="G96" s="689"/>
      <c r="H96" s="689"/>
      <c r="I96" s="644"/>
      <c r="J96" s="644"/>
      <c r="K96" s="633"/>
      <c r="L96" s="693"/>
      <c r="M96" s="694"/>
      <c r="N96" s="694"/>
      <c r="O96" s="694"/>
      <c r="P96" s="694"/>
      <c r="Q96" s="694"/>
      <c r="R96" s="694"/>
      <c r="S96" s="694"/>
      <c r="T96" s="694"/>
      <c r="U96" s="694"/>
      <c r="V96" s="694"/>
      <c r="W96" s="694"/>
      <c r="X96" s="694"/>
      <c r="Y96" s="694"/>
      <c r="Z96" s="694"/>
      <c r="AA96" s="694"/>
      <c r="AB96" s="694"/>
      <c r="AC96" s="694"/>
      <c r="AD96" s="694"/>
      <c r="AE96" s="694"/>
      <c r="AF96" s="694"/>
      <c r="AG96" s="694"/>
      <c r="AH96" s="694"/>
      <c r="AI96" s="694"/>
      <c r="AJ96" s="694"/>
      <c r="AK96" s="694"/>
      <c r="AL96" s="694"/>
      <c r="AM96" s="694"/>
      <c r="AN96" s="694"/>
      <c r="AO96" s="695"/>
      <c r="AP96" s="633"/>
      <c r="AQ96" s="693"/>
      <c r="AR96" s="694"/>
      <c r="AS96" s="694"/>
      <c r="AT96" s="694"/>
      <c r="AU96" s="694"/>
      <c r="AV96" s="694"/>
      <c r="AW96" s="694"/>
      <c r="AX96" s="694"/>
      <c r="AY96" s="694"/>
      <c r="AZ96" s="694"/>
      <c r="BA96" s="694"/>
      <c r="BB96" s="694"/>
      <c r="BC96" s="694"/>
      <c r="BD96" s="694"/>
      <c r="BE96" s="694"/>
      <c r="BF96" s="694"/>
      <c r="BG96" s="694"/>
      <c r="BH96" s="694"/>
      <c r="BI96" s="694"/>
      <c r="BJ96" s="694"/>
      <c r="BK96" s="694"/>
      <c r="BL96" s="694"/>
      <c r="BM96" s="694"/>
      <c r="BN96" s="694"/>
      <c r="BO96" s="694"/>
      <c r="BP96" s="694"/>
      <c r="BQ96" s="694"/>
      <c r="BR96" s="694"/>
      <c r="BS96" s="694"/>
      <c r="BT96" s="695"/>
    </row>
    <row r="97" spans="2:73">
      <c r="B97" s="689"/>
      <c r="C97" s="689"/>
      <c r="D97" s="689"/>
      <c r="E97" s="689"/>
      <c r="F97" s="689"/>
      <c r="G97" s="689"/>
      <c r="H97" s="689"/>
      <c r="I97" s="644"/>
      <c r="J97" s="644"/>
      <c r="K97" s="633"/>
      <c r="L97" s="693"/>
      <c r="M97" s="694"/>
      <c r="N97" s="694"/>
      <c r="O97" s="694"/>
      <c r="P97" s="694"/>
      <c r="Q97" s="694"/>
      <c r="R97" s="694"/>
      <c r="S97" s="694"/>
      <c r="T97" s="694"/>
      <c r="U97" s="694"/>
      <c r="V97" s="694"/>
      <c r="W97" s="694"/>
      <c r="X97" s="694"/>
      <c r="Y97" s="694"/>
      <c r="Z97" s="694"/>
      <c r="AA97" s="694"/>
      <c r="AB97" s="694"/>
      <c r="AC97" s="694"/>
      <c r="AD97" s="694"/>
      <c r="AE97" s="694"/>
      <c r="AF97" s="694"/>
      <c r="AG97" s="694"/>
      <c r="AH97" s="694"/>
      <c r="AI97" s="694"/>
      <c r="AJ97" s="694"/>
      <c r="AK97" s="694"/>
      <c r="AL97" s="694"/>
      <c r="AM97" s="694"/>
      <c r="AN97" s="694"/>
      <c r="AO97" s="695"/>
      <c r="AP97" s="633"/>
      <c r="AQ97" s="693"/>
      <c r="AR97" s="694"/>
      <c r="AS97" s="694"/>
      <c r="AT97" s="694"/>
      <c r="AU97" s="694"/>
      <c r="AV97" s="694"/>
      <c r="AW97" s="694"/>
      <c r="AX97" s="694"/>
      <c r="AY97" s="694"/>
      <c r="AZ97" s="694"/>
      <c r="BA97" s="694"/>
      <c r="BB97" s="694"/>
      <c r="BC97" s="694"/>
      <c r="BD97" s="694"/>
      <c r="BE97" s="694"/>
      <c r="BF97" s="694"/>
      <c r="BG97" s="694"/>
      <c r="BH97" s="694"/>
      <c r="BI97" s="694"/>
      <c r="BJ97" s="694"/>
      <c r="BK97" s="694"/>
      <c r="BL97" s="694"/>
      <c r="BM97" s="694"/>
      <c r="BN97" s="694"/>
      <c r="BO97" s="694"/>
      <c r="BP97" s="694"/>
      <c r="BQ97" s="694"/>
      <c r="BR97" s="694"/>
      <c r="BS97" s="694"/>
      <c r="BT97" s="695"/>
    </row>
    <row r="98" spans="2:73">
      <c r="B98" s="689"/>
      <c r="C98" s="689"/>
      <c r="D98" s="689"/>
      <c r="E98" s="689"/>
      <c r="F98" s="689"/>
      <c r="G98" s="689"/>
      <c r="H98" s="689"/>
      <c r="I98" s="644"/>
      <c r="J98" s="644"/>
      <c r="K98" s="633"/>
      <c r="L98" s="693"/>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694"/>
      <c r="AK98" s="694"/>
      <c r="AL98" s="694"/>
      <c r="AM98" s="694"/>
      <c r="AN98" s="694"/>
      <c r="AO98" s="695"/>
      <c r="AP98" s="633"/>
      <c r="AQ98" s="693"/>
      <c r="AR98" s="694"/>
      <c r="AS98" s="694"/>
      <c r="AT98" s="694"/>
      <c r="AU98" s="694"/>
      <c r="AV98" s="694"/>
      <c r="AW98" s="694"/>
      <c r="AX98" s="694"/>
      <c r="AY98" s="694"/>
      <c r="AZ98" s="694"/>
      <c r="BA98" s="694"/>
      <c r="BB98" s="694"/>
      <c r="BC98" s="694"/>
      <c r="BD98" s="694"/>
      <c r="BE98" s="694"/>
      <c r="BF98" s="694"/>
      <c r="BG98" s="694"/>
      <c r="BH98" s="694"/>
      <c r="BI98" s="694"/>
      <c r="BJ98" s="694"/>
      <c r="BK98" s="694"/>
      <c r="BL98" s="694"/>
      <c r="BM98" s="694"/>
      <c r="BN98" s="694"/>
      <c r="BO98" s="694"/>
      <c r="BP98" s="694"/>
      <c r="BQ98" s="694"/>
      <c r="BR98" s="694"/>
      <c r="BS98" s="694"/>
      <c r="BT98" s="695"/>
    </row>
    <row r="99" spans="2:73" ht="15.5">
      <c r="B99" s="689"/>
      <c r="C99" s="689"/>
      <c r="D99" s="689"/>
      <c r="E99" s="689"/>
      <c r="F99" s="689"/>
      <c r="G99" s="689"/>
      <c r="H99" s="689"/>
      <c r="I99" s="644"/>
      <c r="J99" s="644"/>
      <c r="K99" s="633"/>
      <c r="L99" s="693"/>
      <c r="M99" s="694"/>
      <c r="N99" s="694"/>
      <c r="O99" s="694"/>
      <c r="P99" s="694"/>
      <c r="Q99" s="694"/>
      <c r="R99" s="694"/>
      <c r="S99" s="694"/>
      <c r="T99" s="694"/>
      <c r="U99" s="694"/>
      <c r="V99" s="694"/>
      <c r="W99" s="694"/>
      <c r="X99" s="694"/>
      <c r="Y99" s="694"/>
      <c r="Z99" s="694"/>
      <c r="AA99" s="694"/>
      <c r="AB99" s="694"/>
      <c r="AC99" s="694"/>
      <c r="AD99" s="694"/>
      <c r="AE99" s="694"/>
      <c r="AF99" s="694"/>
      <c r="AG99" s="694"/>
      <c r="AH99" s="694"/>
      <c r="AI99" s="694"/>
      <c r="AJ99" s="694"/>
      <c r="AK99" s="694"/>
      <c r="AL99" s="694"/>
      <c r="AM99" s="694"/>
      <c r="AN99" s="694"/>
      <c r="AO99" s="695"/>
      <c r="AP99" s="633"/>
      <c r="AQ99" s="693"/>
      <c r="AR99" s="694"/>
      <c r="AS99" s="694"/>
      <c r="AT99" s="694"/>
      <c r="AU99" s="694"/>
      <c r="AV99" s="694"/>
      <c r="AW99" s="694"/>
      <c r="AX99" s="694"/>
      <c r="AY99" s="694"/>
      <c r="AZ99" s="694"/>
      <c r="BA99" s="694"/>
      <c r="BB99" s="694"/>
      <c r="BC99" s="694"/>
      <c r="BD99" s="694"/>
      <c r="BE99" s="694"/>
      <c r="BF99" s="694"/>
      <c r="BG99" s="694"/>
      <c r="BH99" s="694"/>
      <c r="BI99" s="694"/>
      <c r="BJ99" s="694"/>
      <c r="BK99" s="694"/>
      <c r="BL99" s="694"/>
      <c r="BM99" s="694"/>
      <c r="BN99" s="694"/>
      <c r="BO99" s="694"/>
      <c r="BP99" s="694"/>
      <c r="BQ99" s="694"/>
      <c r="BR99" s="694"/>
      <c r="BS99" s="694"/>
      <c r="BT99" s="695"/>
      <c r="BU99" s="163"/>
    </row>
    <row r="100" spans="2:73" ht="15.5">
      <c r="B100" s="689"/>
      <c r="C100" s="689"/>
      <c r="D100" s="689"/>
      <c r="E100" s="689"/>
      <c r="F100" s="689"/>
      <c r="G100" s="689"/>
      <c r="H100" s="689"/>
      <c r="I100" s="644"/>
      <c r="J100" s="644"/>
      <c r="K100" s="633"/>
      <c r="L100" s="693"/>
      <c r="M100" s="694"/>
      <c r="N100" s="694"/>
      <c r="O100" s="694"/>
      <c r="P100" s="694"/>
      <c r="Q100" s="694"/>
      <c r="R100" s="694"/>
      <c r="S100" s="694"/>
      <c r="T100" s="694"/>
      <c r="U100" s="694"/>
      <c r="V100" s="694"/>
      <c r="W100" s="694"/>
      <c r="X100" s="694"/>
      <c r="Y100" s="694"/>
      <c r="Z100" s="694"/>
      <c r="AA100" s="694"/>
      <c r="AB100" s="694"/>
      <c r="AC100" s="694"/>
      <c r="AD100" s="694"/>
      <c r="AE100" s="694"/>
      <c r="AF100" s="694"/>
      <c r="AG100" s="694"/>
      <c r="AH100" s="694"/>
      <c r="AI100" s="694"/>
      <c r="AJ100" s="694"/>
      <c r="AK100" s="694"/>
      <c r="AL100" s="694"/>
      <c r="AM100" s="694"/>
      <c r="AN100" s="694"/>
      <c r="AO100" s="695"/>
      <c r="AP100" s="633"/>
      <c r="AQ100" s="693"/>
      <c r="AR100" s="694"/>
      <c r="AS100" s="694"/>
      <c r="AT100" s="694"/>
      <c r="AU100" s="694"/>
      <c r="AV100" s="694"/>
      <c r="AW100" s="694"/>
      <c r="AX100" s="694"/>
      <c r="AY100" s="694"/>
      <c r="AZ100" s="694"/>
      <c r="BA100" s="694"/>
      <c r="BB100" s="694"/>
      <c r="BC100" s="694"/>
      <c r="BD100" s="694"/>
      <c r="BE100" s="694"/>
      <c r="BF100" s="694"/>
      <c r="BG100" s="694"/>
      <c r="BH100" s="694"/>
      <c r="BI100" s="694"/>
      <c r="BJ100" s="694"/>
      <c r="BK100" s="694"/>
      <c r="BL100" s="694"/>
      <c r="BM100" s="694"/>
      <c r="BN100" s="694"/>
      <c r="BO100" s="694"/>
      <c r="BP100" s="694"/>
      <c r="BQ100" s="694"/>
      <c r="BR100" s="694"/>
      <c r="BS100" s="694"/>
      <c r="BT100" s="695"/>
      <c r="BU100" s="163"/>
    </row>
    <row r="101" spans="2:73" ht="15.5">
      <c r="B101" s="689"/>
      <c r="C101" s="689"/>
      <c r="D101" s="689"/>
      <c r="E101" s="689"/>
      <c r="F101" s="689"/>
      <c r="G101" s="689"/>
      <c r="H101" s="689"/>
      <c r="I101" s="644"/>
      <c r="J101" s="644"/>
      <c r="K101" s="633"/>
      <c r="L101" s="693"/>
      <c r="M101" s="694"/>
      <c r="N101" s="694"/>
      <c r="O101" s="694"/>
      <c r="P101" s="694"/>
      <c r="Q101" s="694"/>
      <c r="R101" s="694"/>
      <c r="S101" s="694"/>
      <c r="T101" s="694"/>
      <c r="U101" s="694"/>
      <c r="V101" s="694"/>
      <c r="W101" s="694"/>
      <c r="X101" s="694"/>
      <c r="Y101" s="694"/>
      <c r="Z101" s="694"/>
      <c r="AA101" s="694"/>
      <c r="AB101" s="694"/>
      <c r="AC101" s="694"/>
      <c r="AD101" s="694"/>
      <c r="AE101" s="694"/>
      <c r="AF101" s="694"/>
      <c r="AG101" s="694"/>
      <c r="AH101" s="694"/>
      <c r="AI101" s="694"/>
      <c r="AJ101" s="694"/>
      <c r="AK101" s="694"/>
      <c r="AL101" s="694"/>
      <c r="AM101" s="694"/>
      <c r="AN101" s="694"/>
      <c r="AO101" s="695"/>
      <c r="AP101" s="633"/>
      <c r="AQ101" s="693"/>
      <c r="AR101" s="694"/>
      <c r="AS101" s="694"/>
      <c r="AT101" s="694"/>
      <c r="AU101" s="694"/>
      <c r="AV101" s="694"/>
      <c r="AW101" s="694"/>
      <c r="AX101" s="694"/>
      <c r="AY101" s="694"/>
      <c r="AZ101" s="694"/>
      <c r="BA101" s="694"/>
      <c r="BB101" s="694"/>
      <c r="BC101" s="694"/>
      <c r="BD101" s="694"/>
      <c r="BE101" s="694"/>
      <c r="BF101" s="694"/>
      <c r="BG101" s="694"/>
      <c r="BH101" s="694"/>
      <c r="BI101" s="694"/>
      <c r="BJ101" s="694"/>
      <c r="BK101" s="694"/>
      <c r="BL101" s="694"/>
      <c r="BM101" s="694"/>
      <c r="BN101" s="694"/>
      <c r="BO101" s="694"/>
      <c r="BP101" s="694"/>
      <c r="BQ101" s="694"/>
      <c r="BR101" s="694"/>
      <c r="BS101" s="694"/>
      <c r="BT101" s="695"/>
      <c r="BU101" s="163"/>
    </row>
    <row r="102" spans="2:73">
      <c r="B102" s="689"/>
      <c r="C102" s="689"/>
      <c r="D102" s="689"/>
      <c r="E102" s="689"/>
      <c r="F102" s="689"/>
      <c r="G102" s="689"/>
      <c r="H102" s="689"/>
      <c r="I102" s="644"/>
      <c r="J102" s="644"/>
      <c r="K102" s="633"/>
      <c r="L102" s="693"/>
      <c r="M102" s="694"/>
      <c r="N102" s="694"/>
      <c r="O102" s="694"/>
      <c r="P102" s="694"/>
      <c r="Q102" s="694"/>
      <c r="R102" s="694"/>
      <c r="S102" s="694"/>
      <c r="T102" s="694"/>
      <c r="U102" s="694"/>
      <c r="V102" s="694"/>
      <c r="W102" s="694"/>
      <c r="X102" s="694"/>
      <c r="Y102" s="694"/>
      <c r="Z102" s="694"/>
      <c r="AA102" s="694"/>
      <c r="AB102" s="694"/>
      <c r="AC102" s="694"/>
      <c r="AD102" s="694"/>
      <c r="AE102" s="694"/>
      <c r="AF102" s="694"/>
      <c r="AG102" s="694"/>
      <c r="AH102" s="694"/>
      <c r="AI102" s="694"/>
      <c r="AJ102" s="694"/>
      <c r="AK102" s="694"/>
      <c r="AL102" s="694"/>
      <c r="AM102" s="694"/>
      <c r="AN102" s="694"/>
      <c r="AO102" s="695"/>
      <c r="AP102" s="633"/>
      <c r="AQ102" s="693"/>
      <c r="AR102" s="694"/>
      <c r="AS102" s="694"/>
      <c r="AT102" s="694"/>
      <c r="AU102" s="694"/>
      <c r="AV102" s="694"/>
      <c r="AW102" s="694"/>
      <c r="AX102" s="694"/>
      <c r="AY102" s="694"/>
      <c r="AZ102" s="694"/>
      <c r="BA102" s="694"/>
      <c r="BB102" s="694"/>
      <c r="BC102" s="694"/>
      <c r="BD102" s="694"/>
      <c r="BE102" s="694"/>
      <c r="BF102" s="694"/>
      <c r="BG102" s="694"/>
      <c r="BH102" s="694"/>
      <c r="BI102" s="694"/>
      <c r="BJ102" s="694"/>
      <c r="BK102" s="694"/>
      <c r="BL102" s="694"/>
      <c r="BM102" s="694"/>
      <c r="BN102" s="694"/>
      <c r="BO102" s="694"/>
      <c r="BP102" s="694"/>
      <c r="BQ102" s="694"/>
      <c r="BR102" s="694"/>
      <c r="BS102" s="694"/>
      <c r="BT102" s="695"/>
    </row>
    <row r="103" spans="2:73" ht="15.5">
      <c r="B103" s="689"/>
      <c r="C103" s="689"/>
      <c r="D103" s="689"/>
      <c r="E103" s="689"/>
      <c r="F103" s="689"/>
      <c r="G103" s="689"/>
      <c r="H103" s="689"/>
      <c r="I103" s="644"/>
      <c r="J103" s="644"/>
      <c r="K103" s="633"/>
      <c r="L103" s="693"/>
      <c r="M103" s="694"/>
      <c r="N103" s="694"/>
      <c r="O103" s="694"/>
      <c r="P103" s="694"/>
      <c r="Q103" s="694"/>
      <c r="R103" s="694"/>
      <c r="S103" s="694"/>
      <c r="T103" s="694"/>
      <c r="U103" s="694"/>
      <c r="V103" s="694"/>
      <c r="W103" s="694"/>
      <c r="X103" s="694"/>
      <c r="Y103" s="694"/>
      <c r="Z103" s="694"/>
      <c r="AA103" s="694"/>
      <c r="AB103" s="694"/>
      <c r="AC103" s="694"/>
      <c r="AD103" s="694"/>
      <c r="AE103" s="694"/>
      <c r="AF103" s="694"/>
      <c r="AG103" s="694"/>
      <c r="AH103" s="694"/>
      <c r="AI103" s="694"/>
      <c r="AJ103" s="694"/>
      <c r="AK103" s="694"/>
      <c r="AL103" s="694"/>
      <c r="AM103" s="694"/>
      <c r="AN103" s="694"/>
      <c r="AO103" s="695"/>
      <c r="AP103" s="633"/>
      <c r="AQ103" s="693"/>
      <c r="AR103" s="694"/>
      <c r="AS103" s="694"/>
      <c r="AT103" s="694"/>
      <c r="AU103" s="694"/>
      <c r="AV103" s="694"/>
      <c r="AW103" s="694"/>
      <c r="AX103" s="694"/>
      <c r="AY103" s="694"/>
      <c r="AZ103" s="694"/>
      <c r="BA103" s="694"/>
      <c r="BB103" s="694"/>
      <c r="BC103" s="694"/>
      <c r="BD103" s="694"/>
      <c r="BE103" s="694"/>
      <c r="BF103" s="694"/>
      <c r="BG103" s="694"/>
      <c r="BH103" s="694"/>
      <c r="BI103" s="694"/>
      <c r="BJ103" s="694"/>
      <c r="BK103" s="694"/>
      <c r="BL103" s="694"/>
      <c r="BM103" s="694"/>
      <c r="BN103" s="694"/>
      <c r="BO103" s="694"/>
      <c r="BP103" s="694"/>
      <c r="BQ103" s="694"/>
      <c r="BR103" s="694"/>
      <c r="BS103" s="694"/>
      <c r="BT103" s="695"/>
      <c r="BU103" s="163"/>
    </row>
    <row r="104" spans="2:73" ht="15.5">
      <c r="B104" s="689"/>
      <c r="C104" s="689"/>
      <c r="D104" s="689"/>
      <c r="E104" s="689"/>
      <c r="F104" s="689"/>
      <c r="G104" s="689"/>
      <c r="H104" s="689"/>
      <c r="I104" s="644"/>
      <c r="J104" s="644"/>
      <c r="K104" s="633"/>
      <c r="L104" s="693"/>
      <c r="M104" s="694"/>
      <c r="N104" s="694"/>
      <c r="O104" s="694"/>
      <c r="P104" s="694"/>
      <c r="Q104" s="694"/>
      <c r="R104" s="694"/>
      <c r="S104" s="694"/>
      <c r="T104" s="694"/>
      <c r="U104" s="694"/>
      <c r="V104" s="694"/>
      <c r="W104" s="694"/>
      <c r="X104" s="694"/>
      <c r="Y104" s="694"/>
      <c r="Z104" s="694"/>
      <c r="AA104" s="694"/>
      <c r="AB104" s="694"/>
      <c r="AC104" s="694"/>
      <c r="AD104" s="694"/>
      <c r="AE104" s="694"/>
      <c r="AF104" s="694"/>
      <c r="AG104" s="694"/>
      <c r="AH104" s="694"/>
      <c r="AI104" s="694"/>
      <c r="AJ104" s="694"/>
      <c r="AK104" s="694"/>
      <c r="AL104" s="694"/>
      <c r="AM104" s="694"/>
      <c r="AN104" s="694"/>
      <c r="AO104" s="695"/>
      <c r="AP104" s="633"/>
      <c r="AQ104" s="693"/>
      <c r="AR104" s="694"/>
      <c r="AS104" s="694"/>
      <c r="AT104" s="694"/>
      <c r="AU104" s="694"/>
      <c r="AV104" s="694"/>
      <c r="AW104" s="694"/>
      <c r="AX104" s="694"/>
      <c r="AY104" s="694"/>
      <c r="AZ104" s="694"/>
      <c r="BA104" s="694"/>
      <c r="BB104" s="694"/>
      <c r="BC104" s="694"/>
      <c r="BD104" s="694"/>
      <c r="BE104" s="694"/>
      <c r="BF104" s="694"/>
      <c r="BG104" s="694"/>
      <c r="BH104" s="694"/>
      <c r="BI104" s="694"/>
      <c r="BJ104" s="694"/>
      <c r="BK104" s="694"/>
      <c r="BL104" s="694"/>
      <c r="BM104" s="694"/>
      <c r="BN104" s="694"/>
      <c r="BO104" s="694"/>
      <c r="BP104" s="694"/>
      <c r="BQ104" s="694"/>
      <c r="BR104" s="694"/>
      <c r="BS104" s="694"/>
      <c r="BT104" s="695"/>
      <c r="BU104" s="163"/>
    </row>
    <row r="105" spans="2:73" ht="15.5">
      <c r="B105" s="689"/>
      <c r="C105" s="689"/>
      <c r="D105" s="689"/>
      <c r="E105" s="689"/>
      <c r="F105" s="689"/>
      <c r="G105" s="689"/>
      <c r="H105" s="689"/>
      <c r="I105" s="644"/>
      <c r="J105" s="644"/>
      <c r="K105" s="633"/>
      <c r="L105" s="693"/>
      <c r="M105" s="694"/>
      <c r="N105" s="694"/>
      <c r="O105" s="694"/>
      <c r="P105" s="694"/>
      <c r="Q105" s="694"/>
      <c r="R105" s="694"/>
      <c r="S105" s="694"/>
      <c r="T105" s="694"/>
      <c r="U105" s="694"/>
      <c r="V105" s="694"/>
      <c r="W105" s="694"/>
      <c r="X105" s="694"/>
      <c r="Y105" s="694"/>
      <c r="Z105" s="694"/>
      <c r="AA105" s="694"/>
      <c r="AB105" s="694"/>
      <c r="AC105" s="694"/>
      <c r="AD105" s="694"/>
      <c r="AE105" s="694"/>
      <c r="AF105" s="694"/>
      <c r="AG105" s="694"/>
      <c r="AH105" s="694"/>
      <c r="AI105" s="694"/>
      <c r="AJ105" s="694"/>
      <c r="AK105" s="694"/>
      <c r="AL105" s="694"/>
      <c r="AM105" s="694"/>
      <c r="AN105" s="694"/>
      <c r="AO105" s="695"/>
      <c r="AP105" s="633"/>
      <c r="AQ105" s="693"/>
      <c r="AR105" s="694"/>
      <c r="AS105" s="694"/>
      <c r="AT105" s="694"/>
      <c r="AU105" s="694"/>
      <c r="AV105" s="694"/>
      <c r="AW105" s="694"/>
      <c r="AX105" s="694"/>
      <c r="AY105" s="694"/>
      <c r="AZ105" s="694"/>
      <c r="BA105" s="694"/>
      <c r="BB105" s="694"/>
      <c r="BC105" s="694"/>
      <c r="BD105" s="694"/>
      <c r="BE105" s="694"/>
      <c r="BF105" s="694"/>
      <c r="BG105" s="694"/>
      <c r="BH105" s="694"/>
      <c r="BI105" s="694"/>
      <c r="BJ105" s="694"/>
      <c r="BK105" s="694"/>
      <c r="BL105" s="694"/>
      <c r="BM105" s="694"/>
      <c r="BN105" s="694"/>
      <c r="BO105" s="694"/>
      <c r="BP105" s="694"/>
      <c r="BQ105" s="694"/>
      <c r="BR105" s="694"/>
      <c r="BS105" s="694"/>
      <c r="BT105" s="695"/>
      <c r="BU105" s="163"/>
    </row>
    <row r="106" spans="2:73" ht="15.5">
      <c r="B106" s="689"/>
      <c r="C106" s="689"/>
      <c r="D106" s="689"/>
      <c r="E106" s="689"/>
      <c r="F106" s="689"/>
      <c r="G106" s="689"/>
      <c r="H106" s="689"/>
      <c r="I106" s="644"/>
      <c r="J106" s="644"/>
      <c r="K106" s="633"/>
      <c r="L106" s="693"/>
      <c r="M106" s="694"/>
      <c r="N106" s="694"/>
      <c r="O106" s="694"/>
      <c r="P106" s="694"/>
      <c r="Q106" s="694"/>
      <c r="R106" s="694"/>
      <c r="S106" s="694"/>
      <c r="T106" s="694"/>
      <c r="U106" s="694"/>
      <c r="V106" s="694"/>
      <c r="W106" s="694"/>
      <c r="X106" s="694"/>
      <c r="Y106" s="694"/>
      <c r="Z106" s="694"/>
      <c r="AA106" s="694"/>
      <c r="AB106" s="694"/>
      <c r="AC106" s="694"/>
      <c r="AD106" s="694"/>
      <c r="AE106" s="694"/>
      <c r="AF106" s="694"/>
      <c r="AG106" s="694"/>
      <c r="AH106" s="694"/>
      <c r="AI106" s="694"/>
      <c r="AJ106" s="694"/>
      <c r="AK106" s="694"/>
      <c r="AL106" s="694"/>
      <c r="AM106" s="694"/>
      <c r="AN106" s="694"/>
      <c r="AO106" s="695"/>
      <c r="AP106" s="633"/>
      <c r="AQ106" s="693"/>
      <c r="AR106" s="694"/>
      <c r="AS106" s="694"/>
      <c r="AT106" s="694"/>
      <c r="AU106" s="694"/>
      <c r="AV106" s="694"/>
      <c r="AW106" s="694"/>
      <c r="AX106" s="694"/>
      <c r="AY106" s="694"/>
      <c r="AZ106" s="694"/>
      <c r="BA106" s="694"/>
      <c r="BB106" s="694"/>
      <c r="BC106" s="694"/>
      <c r="BD106" s="694"/>
      <c r="BE106" s="694"/>
      <c r="BF106" s="694"/>
      <c r="BG106" s="694"/>
      <c r="BH106" s="694"/>
      <c r="BI106" s="694"/>
      <c r="BJ106" s="694"/>
      <c r="BK106" s="694"/>
      <c r="BL106" s="694"/>
      <c r="BM106" s="694"/>
      <c r="BN106" s="694"/>
      <c r="BO106" s="694"/>
      <c r="BP106" s="694"/>
      <c r="BQ106" s="694"/>
      <c r="BR106" s="694"/>
      <c r="BS106" s="694"/>
      <c r="BT106" s="695"/>
      <c r="BU106" s="163"/>
    </row>
    <row r="107" spans="2:73" ht="15.5">
      <c r="B107" s="689"/>
      <c r="C107" s="689"/>
      <c r="D107" s="689"/>
      <c r="E107" s="689"/>
      <c r="F107" s="689"/>
      <c r="G107" s="689"/>
      <c r="H107" s="689"/>
      <c r="I107" s="644"/>
      <c r="J107" s="644"/>
      <c r="K107" s="633"/>
      <c r="L107" s="693"/>
      <c r="M107" s="694"/>
      <c r="N107" s="694"/>
      <c r="O107" s="694"/>
      <c r="P107" s="694"/>
      <c r="Q107" s="694"/>
      <c r="R107" s="694"/>
      <c r="S107" s="694"/>
      <c r="T107" s="694"/>
      <c r="U107" s="694"/>
      <c r="V107" s="694"/>
      <c r="W107" s="694"/>
      <c r="X107" s="694"/>
      <c r="Y107" s="694"/>
      <c r="Z107" s="694"/>
      <c r="AA107" s="694"/>
      <c r="AB107" s="694"/>
      <c r="AC107" s="694"/>
      <c r="AD107" s="694"/>
      <c r="AE107" s="694"/>
      <c r="AF107" s="694"/>
      <c r="AG107" s="694"/>
      <c r="AH107" s="694"/>
      <c r="AI107" s="694"/>
      <c r="AJ107" s="694"/>
      <c r="AK107" s="694"/>
      <c r="AL107" s="694"/>
      <c r="AM107" s="694"/>
      <c r="AN107" s="694"/>
      <c r="AO107" s="695"/>
      <c r="AP107" s="633"/>
      <c r="AQ107" s="693"/>
      <c r="AR107" s="694"/>
      <c r="AS107" s="694"/>
      <c r="AT107" s="694"/>
      <c r="AU107" s="694"/>
      <c r="AV107" s="694"/>
      <c r="AW107" s="694"/>
      <c r="AX107" s="694"/>
      <c r="AY107" s="694"/>
      <c r="AZ107" s="694"/>
      <c r="BA107" s="694"/>
      <c r="BB107" s="694"/>
      <c r="BC107" s="694"/>
      <c r="BD107" s="694"/>
      <c r="BE107" s="694"/>
      <c r="BF107" s="694"/>
      <c r="BG107" s="694"/>
      <c r="BH107" s="694"/>
      <c r="BI107" s="694"/>
      <c r="BJ107" s="694"/>
      <c r="BK107" s="694"/>
      <c r="BL107" s="694"/>
      <c r="BM107" s="694"/>
      <c r="BN107" s="694"/>
      <c r="BO107" s="694"/>
      <c r="BP107" s="694"/>
      <c r="BQ107" s="694"/>
      <c r="BR107" s="694"/>
      <c r="BS107" s="694"/>
      <c r="BT107" s="695"/>
      <c r="BU107" s="163"/>
    </row>
    <row r="108" spans="2:73" ht="15.5">
      <c r="B108" s="689"/>
      <c r="C108" s="689"/>
      <c r="D108" s="689"/>
      <c r="E108" s="689"/>
      <c r="F108" s="689"/>
      <c r="G108" s="689"/>
      <c r="H108" s="689"/>
      <c r="I108" s="644"/>
      <c r="J108" s="644"/>
      <c r="K108" s="633"/>
      <c r="L108" s="693"/>
      <c r="M108" s="694"/>
      <c r="N108" s="694"/>
      <c r="O108" s="694"/>
      <c r="P108" s="694"/>
      <c r="Q108" s="694"/>
      <c r="R108" s="694"/>
      <c r="S108" s="694"/>
      <c r="T108" s="694"/>
      <c r="U108" s="694"/>
      <c r="V108" s="694"/>
      <c r="W108" s="694"/>
      <c r="X108" s="694"/>
      <c r="Y108" s="694"/>
      <c r="Z108" s="694"/>
      <c r="AA108" s="694"/>
      <c r="AB108" s="694"/>
      <c r="AC108" s="694"/>
      <c r="AD108" s="694"/>
      <c r="AE108" s="694"/>
      <c r="AF108" s="694"/>
      <c r="AG108" s="694"/>
      <c r="AH108" s="694"/>
      <c r="AI108" s="694"/>
      <c r="AJ108" s="694"/>
      <c r="AK108" s="694"/>
      <c r="AL108" s="694"/>
      <c r="AM108" s="694"/>
      <c r="AN108" s="694"/>
      <c r="AO108" s="695"/>
      <c r="AP108" s="633"/>
      <c r="AQ108" s="696"/>
      <c r="AR108" s="697"/>
      <c r="AS108" s="697"/>
      <c r="AT108" s="697"/>
      <c r="AU108" s="697"/>
      <c r="AV108" s="697"/>
      <c r="AW108" s="697"/>
      <c r="AX108" s="697"/>
      <c r="AY108" s="697"/>
      <c r="AZ108" s="697"/>
      <c r="BA108" s="697"/>
      <c r="BB108" s="697"/>
      <c r="BC108" s="697"/>
      <c r="BD108" s="697"/>
      <c r="BE108" s="697"/>
      <c r="BF108" s="697"/>
      <c r="BG108" s="697"/>
      <c r="BH108" s="697"/>
      <c r="BI108" s="697"/>
      <c r="BJ108" s="697"/>
      <c r="BK108" s="697"/>
      <c r="BL108" s="697"/>
      <c r="BM108" s="697"/>
      <c r="BN108" s="697"/>
      <c r="BO108" s="697"/>
      <c r="BP108" s="697"/>
      <c r="BQ108" s="697"/>
      <c r="BR108" s="697"/>
      <c r="BS108" s="697"/>
      <c r="BT108" s="698"/>
      <c r="BU108" s="163"/>
    </row>
    <row r="109" spans="2:73" ht="15.5">
      <c r="B109" s="689"/>
      <c r="C109" s="689"/>
      <c r="D109" s="689"/>
      <c r="E109" s="689"/>
      <c r="F109" s="689"/>
      <c r="G109" s="689"/>
      <c r="H109" s="689"/>
      <c r="I109" s="644"/>
      <c r="J109" s="644"/>
      <c r="K109" s="633"/>
      <c r="L109" s="693"/>
      <c r="M109" s="694"/>
      <c r="N109" s="694"/>
      <c r="O109" s="694"/>
      <c r="P109" s="694"/>
      <c r="Q109" s="694"/>
      <c r="R109" s="694"/>
      <c r="S109" s="694"/>
      <c r="T109" s="694"/>
      <c r="U109" s="694"/>
      <c r="V109" s="694"/>
      <c r="W109" s="694"/>
      <c r="X109" s="694"/>
      <c r="Y109" s="694"/>
      <c r="Z109" s="694"/>
      <c r="AA109" s="694"/>
      <c r="AB109" s="694"/>
      <c r="AC109" s="694"/>
      <c r="AD109" s="694"/>
      <c r="AE109" s="694"/>
      <c r="AF109" s="694"/>
      <c r="AG109" s="694"/>
      <c r="AH109" s="694"/>
      <c r="AI109" s="694"/>
      <c r="AJ109" s="694"/>
      <c r="AK109" s="694"/>
      <c r="AL109" s="694"/>
      <c r="AM109" s="694"/>
      <c r="AN109" s="694"/>
      <c r="AO109" s="695"/>
      <c r="AP109" s="633"/>
      <c r="AQ109" s="690"/>
      <c r="AR109" s="691"/>
      <c r="AS109" s="691"/>
      <c r="AT109" s="691"/>
      <c r="AU109" s="691"/>
      <c r="AV109" s="691"/>
      <c r="AW109" s="691"/>
      <c r="AX109" s="691"/>
      <c r="AY109" s="691"/>
      <c r="AZ109" s="691"/>
      <c r="BA109" s="691"/>
      <c r="BB109" s="691"/>
      <c r="BC109" s="691"/>
      <c r="BD109" s="691"/>
      <c r="BE109" s="691"/>
      <c r="BF109" s="691"/>
      <c r="BG109" s="691"/>
      <c r="BH109" s="691"/>
      <c r="BI109" s="691"/>
      <c r="BJ109" s="691"/>
      <c r="BK109" s="691"/>
      <c r="BL109" s="691"/>
      <c r="BM109" s="691"/>
      <c r="BN109" s="691"/>
      <c r="BO109" s="691"/>
      <c r="BP109" s="691"/>
      <c r="BQ109" s="691"/>
      <c r="BR109" s="691"/>
      <c r="BS109" s="691"/>
      <c r="BT109" s="692"/>
      <c r="BU109" s="163"/>
    </row>
    <row r="110" spans="2:73" ht="15.5">
      <c r="B110" s="689"/>
      <c r="C110" s="689"/>
      <c r="D110" s="689"/>
      <c r="E110" s="689"/>
      <c r="F110" s="689"/>
      <c r="G110" s="689"/>
      <c r="H110" s="689"/>
      <c r="I110" s="644"/>
      <c r="J110" s="644"/>
      <c r="K110" s="633"/>
      <c r="L110" s="693"/>
      <c r="M110" s="694"/>
      <c r="N110" s="694"/>
      <c r="O110" s="694"/>
      <c r="P110" s="694"/>
      <c r="Q110" s="694"/>
      <c r="R110" s="694"/>
      <c r="S110" s="694"/>
      <c r="T110" s="694"/>
      <c r="U110" s="694"/>
      <c r="V110" s="694"/>
      <c r="W110" s="694"/>
      <c r="X110" s="694"/>
      <c r="Y110" s="694"/>
      <c r="Z110" s="694"/>
      <c r="AA110" s="694"/>
      <c r="AB110" s="694"/>
      <c r="AC110" s="694"/>
      <c r="AD110" s="694"/>
      <c r="AE110" s="694"/>
      <c r="AF110" s="694"/>
      <c r="AG110" s="694"/>
      <c r="AH110" s="694"/>
      <c r="AI110" s="694"/>
      <c r="AJ110" s="694"/>
      <c r="AK110" s="694"/>
      <c r="AL110" s="694"/>
      <c r="AM110" s="694"/>
      <c r="AN110" s="694"/>
      <c r="AO110" s="695"/>
      <c r="AP110" s="633"/>
      <c r="AQ110" s="693"/>
      <c r="AR110" s="694"/>
      <c r="AS110" s="694"/>
      <c r="AT110" s="694"/>
      <c r="AU110" s="694"/>
      <c r="AV110" s="694"/>
      <c r="AW110" s="694"/>
      <c r="AX110" s="694"/>
      <c r="AY110" s="694"/>
      <c r="AZ110" s="694"/>
      <c r="BA110" s="694"/>
      <c r="BB110" s="694"/>
      <c r="BC110" s="694"/>
      <c r="BD110" s="694"/>
      <c r="BE110" s="694"/>
      <c r="BF110" s="694"/>
      <c r="BG110" s="694"/>
      <c r="BH110" s="694"/>
      <c r="BI110" s="694"/>
      <c r="BJ110" s="694"/>
      <c r="BK110" s="694"/>
      <c r="BL110" s="694"/>
      <c r="BM110" s="694"/>
      <c r="BN110" s="694"/>
      <c r="BO110" s="694"/>
      <c r="BP110" s="694"/>
      <c r="BQ110" s="694"/>
      <c r="BR110" s="694"/>
      <c r="BS110" s="694"/>
      <c r="BT110" s="695"/>
      <c r="BU110" s="163"/>
    </row>
    <row r="111" spans="2:73" ht="15.5">
      <c r="B111" s="689"/>
      <c r="C111" s="689"/>
      <c r="D111" s="689"/>
      <c r="E111" s="689"/>
      <c r="F111" s="689"/>
      <c r="G111" s="689"/>
      <c r="H111" s="689"/>
      <c r="I111" s="644"/>
      <c r="J111" s="644"/>
      <c r="K111" s="633"/>
      <c r="L111" s="693"/>
      <c r="M111" s="694"/>
      <c r="N111" s="694"/>
      <c r="O111" s="694"/>
      <c r="P111" s="694"/>
      <c r="Q111" s="694"/>
      <c r="R111" s="694"/>
      <c r="S111" s="694"/>
      <c r="T111" s="694"/>
      <c r="U111" s="694"/>
      <c r="V111" s="694"/>
      <c r="W111" s="694"/>
      <c r="X111" s="694"/>
      <c r="Y111" s="694"/>
      <c r="Z111" s="694"/>
      <c r="AA111" s="694"/>
      <c r="AB111" s="694"/>
      <c r="AC111" s="694"/>
      <c r="AD111" s="694"/>
      <c r="AE111" s="694"/>
      <c r="AF111" s="694"/>
      <c r="AG111" s="694"/>
      <c r="AH111" s="694"/>
      <c r="AI111" s="694"/>
      <c r="AJ111" s="694"/>
      <c r="AK111" s="694"/>
      <c r="AL111" s="694"/>
      <c r="AM111" s="694"/>
      <c r="AN111" s="694"/>
      <c r="AO111" s="695"/>
      <c r="AP111" s="633"/>
      <c r="AQ111" s="693"/>
      <c r="AR111" s="694"/>
      <c r="AS111" s="694"/>
      <c r="AT111" s="694"/>
      <c r="AU111" s="694"/>
      <c r="AV111" s="694"/>
      <c r="AW111" s="694"/>
      <c r="AX111" s="694"/>
      <c r="AY111" s="694"/>
      <c r="AZ111" s="694"/>
      <c r="BA111" s="694"/>
      <c r="BB111" s="694"/>
      <c r="BC111" s="694"/>
      <c r="BD111" s="694"/>
      <c r="BE111" s="694"/>
      <c r="BF111" s="694"/>
      <c r="BG111" s="694"/>
      <c r="BH111" s="694"/>
      <c r="BI111" s="694"/>
      <c r="BJ111" s="694"/>
      <c r="BK111" s="694"/>
      <c r="BL111" s="694"/>
      <c r="BM111" s="694"/>
      <c r="BN111" s="694"/>
      <c r="BO111" s="694"/>
      <c r="BP111" s="694"/>
      <c r="BQ111" s="694"/>
      <c r="BR111" s="694"/>
      <c r="BS111" s="694"/>
      <c r="BT111" s="695"/>
      <c r="BU111" s="163"/>
    </row>
    <row r="112" spans="2:73" ht="15.5">
      <c r="B112" s="689"/>
      <c r="C112" s="689"/>
      <c r="D112" s="689"/>
      <c r="E112" s="689"/>
      <c r="F112" s="689"/>
      <c r="G112" s="689"/>
      <c r="H112" s="689"/>
      <c r="I112" s="644"/>
      <c r="J112" s="644"/>
      <c r="K112" s="633"/>
      <c r="L112" s="693"/>
      <c r="M112" s="694"/>
      <c r="N112" s="694"/>
      <c r="O112" s="694"/>
      <c r="P112" s="694"/>
      <c r="Q112" s="694"/>
      <c r="R112" s="694"/>
      <c r="S112" s="694"/>
      <c r="T112" s="694"/>
      <c r="U112" s="694"/>
      <c r="V112" s="694"/>
      <c r="W112" s="694"/>
      <c r="X112" s="694"/>
      <c r="Y112" s="694"/>
      <c r="Z112" s="694"/>
      <c r="AA112" s="694"/>
      <c r="AB112" s="694"/>
      <c r="AC112" s="694"/>
      <c r="AD112" s="694"/>
      <c r="AE112" s="694"/>
      <c r="AF112" s="694"/>
      <c r="AG112" s="694"/>
      <c r="AH112" s="694"/>
      <c r="AI112" s="694"/>
      <c r="AJ112" s="694"/>
      <c r="AK112" s="694"/>
      <c r="AL112" s="694"/>
      <c r="AM112" s="694"/>
      <c r="AN112" s="694"/>
      <c r="AO112" s="695"/>
      <c r="AP112" s="633"/>
      <c r="AQ112" s="693"/>
      <c r="AR112" s="694"/>
      <c r="AS112" s="694"/>
      <c r="AT112" s="694"/>
      <c r="AU112" s="694"/>
      <c r="AV112" s="694"/>
      <c r="AW112" s="694"/>
      <c r="AX112" s="694"/>
      <c r="AY112" s="694"/>
      <c r="AZ112" s="694"/>
      <c r="BA112" s="694"/>
      <c r="BB112" s="694"/>
      <c r="BC112" s="694"/>
      <c r="BD112" s="694"/>
      <c r="BE112" s="694"/>
      <c r="BF112" s="694"/>
      <c r="BG112" s="694"/>
      <c r="BH112" s="694"/>
      <c r="BI112" s="694"/>
      <c r="BJ112" s="694"/>
      <c r="BK112" s="694"/>
      <c r="BL112" s="694"/>
      <c r="BM112" s="694"/>
      <c r="BN112" s="694"/>
      <c r="BO112" s="694"/>
      <c r="BP112" s="694"/>
      <c r="BQ112" s="694"/>
      <c r="BR112" s="694"/>
      <c r="BS112" s="694"/>
      <c r="BT112" s="695"/>
      <c r="BU112" s="163"/>
    </row>
    <row r="113" spans="2:73">
      <c r="B113" s="689"/>
      <c r="C113" s="689"/>
      <c r="D113" s="689"/>
      <c r="E113" s="689"/>
      <c r="F113" s="689"/>
      <c r="G113" s="689"/>
      <c r="H113" s="689"/>
      <c r="I113" s="644"/>
      <c r="J113" s="644"/>
      <c r="K113" s="633"/>
      <c r="L113" s="693"/>
      <c r="M113" s="694"/>
      <c r="N113" s="694"/>
      <c r="O113" s="694"/>
      <c r="P113" s="694"/>
      <c r="Q113" s="694"/>
      <c r="R113" s="694"/>
      <c r="S113" s="694"/>
      <c r="T113" s="694"/>
      <c r="U113" s="694"/>
      <c r="V113" s="694"/>
      <c r="W113" s="694"/>
      <c r="X113" s="694"/>
      <c r="Y113" s="694"/>
      <c r="Z113" s="694"/>
      <c r="AA113" s="694"/>
      <c r="AB113" s="694"/>
      <c r="AC113" s="694"/>
      <c r="AD113" s="694"/>
      <c r="AE113" s="694"/>
      <c r="AF113" s="694"/>
      <c r="AG113" s="694"/>
      <c r="AH113" s="694"/>
      <c r="AI113" s="694"/>
      <c r="AJ113" s="694"/>
      <c r="AK113" s="694"/>
      <c r="AL113" s="694"/>
      <c r="AM113" s="694"/>
      <c r="AN113" s="694"/>
      <c r="AO113" s="695"/>
      <c r="AP113" s="633"/>
      <c r="AQ113" s="693"/>
      <c r="AR113" s="694"/>
      <c r="AS113" s="694"/>
      <c r="AT113" s="694"/>
      <c r="AU113" s="694"/>
      <c r="AV113" s="694"/>
      <c r="AW113" s="694"/>
      <c r="AX113" s="694"/>
      <c r="AY113" s="694"/>
      <c r="AZ113" s="694"/>
      <c r="BA113" s="694"/>
      <c r="BB113" s="694"/>
      <c r="BC113" s="694"/>
      <c r="BD113" s="694"/>
      <c r="BE113" s="694"/>
      <c r="BF113" s="694"/>
      <c r="BG113" s="694"/>
      <c r="BH113" s="694"/>
      <c r="BI113" s="694"/>
      <c r="BJ113" s="694"/>
      <c r="BK113" s="694"/>
      <c r="BL113" s="694"/>
      <c r="BM113" s="694"/>
      <c r="BN113" s="694"/>
      <c r="BO113" s="694"/>
      <c r="BP113" s="694"/>
      <c r="BQ113" s="694"/>
      <c r="BR113" s="694"/>
      <c r="BS113" s="694"/>
      <c r="BT113" s="695"/>
    </row>
    <row r="114" spans="2:73">
      <c r="B114" s="689"/>
      <c r="C114" s="689"/>
      <c r="D114" s="689"/>
      <c r="E114" s="689"/>
      <c r="F114" s="689"/>
      <c r="G114" s="689"/>
      <c r="H114" s="689"/>
      <c r="I114" s="644"/>
      <c r="J114" s="644"/>
      <c r="K114" s="633"/>
      <c r="L114" s="693"/>
      <c r="M114" s="694"/>
      <c r="N114" s="694"/>
      <c r="O114" s="694"/>
      <c r="P114" s="694"/>
      <c r="Q114" s="694"/>
      <c r="R114" s="694"/>
      <c r="S114" s="694"/>
      <c r="T114" s="694"/>
      <c r="U114" s="694"/>
      <c r="V114" s="694"/>
      <c r="W114" s="694"/>
      <c r="X114" s="694"/>
      <c r="Y114" s="694"/>
      <c r="Z114" s="694"/>
      <c r="AA114" s="694"/>
      <c r="AB114" s="694"/>
      <c r="AC114" s="694"/>
      <c r="AD114" s="694"/>
      <c r="AE114" s="694"/>
      <c r="AF114" s="694"/>
      <c r="AG114" s="694"/>
      <c r="AH114" s="694"/>
      <c r="AI114" s="694"/>
      <c r="AJ114" s="694"/>
      <c r="AK114" s="694"/>
      <c r="AL114" s="694"/>
      <c r="AM114" s="694"/>
      <c r="AN114" s="694"/>
      <c r="AO114" s="695"/>
      <c r="AP114" s="633"/>
      <c r="AQ114" s="693"/>
      <c r="AR114" s="694"/>
      <c r="AS114" s="694"/>
      <c r="AT114" s="694"/>
      <c r="AU114" s="694"/>
      <c r="AV114" s="694"/>
      <c r="AW114" s="694"/>
      <c r="AX114" s="694"/>
      <c r="AY114" s="694"/>
      <c r="AZ114" s="694"/>
      <c r="BA114" s="694"/>
      <c r="BB114" s="694"/>
      <c r="BC114" s="694"/>
      <c r="BD114" s="694"/>
      <c r="BE114" s="694"/>
      <c r="BF114" s="694"/>
      <c r="BG114" s="694"/>
      <c r="BH114" s="694"/>
      <c r="BI114" s="694"/>
      <c r="BJ114" s="694"/>
      <c r="BK114" s="694"/>
      <c r="BL114" s="694"/>
      <c r="BM114" s="694"/>
      <c r="BN114" s="694"/>
      <c r="BO114" s="694"/>
      <c r="BP114" s="694"/>
      <c r="BQ114" s="694"/>
      <c r="BR114" s="694"/>
      <c r="BS114" s="694"/>
      <c r="BT114" s="695"/>
    </row>
    <row r="115" spans="2:73">
      <c r="B115" s="689"/>
      <c r="C115" s="689"/>
      <c r="D115" s="689"/>
      <c r="E115" s="689"/>
      <c r="F115" s="689"/>
      <c r="G115" s="689"/>
      <c r="H115" s="689"/>
      <c r="I115" s="644"/>
      <c r="J115" s="644"/>
      <c r="K115" s="633"/>
      <c r="L115" s="693"/>
      <c r="M115" s="694"/>
      <c r="N115" s="694"/>
      <c r="O115" s="694"/>
      <c r="P115" s="694"/>
      <c r="Q115" s="694"/>
      <c r="R115" s="694"/>
      <c r="S115" s="694"/>
      <c r="T115" s="694"/>
      <c r="U115" s="694"/>
      <c r="V115" s="694"/>
      <c r="W115" s="694"/>
      <c r="X115" s="694"/>
      <c r="Y115" s="694"/>
      <c r="Z115" s="694"/>
      <c r="AA115" s="694"/>
      <c r="AB115" s="694"/>
      <c r="AC115" s="694"/>
      <c r="AD115" s="694"/>
      <c r="AE115" s="694"/>
      <c r="AF115" s="694"/>
      <c r="AG115" s="694"/>
      <c r="AH115" s="694"/>
      <c r="AI115" s="694"/>
      <c r="AJ115" s="694"/>
      <c r="AK115" s="694"/>
      <c r="AL115" s="694"/>
      <c r="AM115" s="694"/>
      <c r="AN115" s="694"/>
      <c r="AO115" s="695"/>
      <c r="AP115" s="633"/>
      <c r="AQ115" s="693"/>
      <c r="AR115" s="694"/>
      <c r="AS115" s="694"/>
      <c r="AT115" s="694"/>
      <c r="AU115" s="694"/>
      <c r="AV115" s="694"/>
      <c r="AW115" s="694"/>
      <c r="AX115" s="694"/>
      <c r="AY115" s="694"/>
      <c r="AZ115" s="694"/>
      <c r="BA115" s="694"/>
      <c r="BB115" s="694"/>
      <c r="BC115" s="694"/>
      <c r="BD115" s="694"/>
      <c r="BE115" s="694"/>
      <c r="BF115" s="694"/>
      <c r="BG115" s="694"/>
      <c r="BH115" s="694"/>
      <c r="BI115" s="694"/>
      <c r="BJ115" s="694"/>
      <c r="BK115" s="694"/>
      <c r="BL115" s="694"/>
      <c r="BM115" s="694"/>
      <c r="BN115" s="694"/>
      <c r="BO115" s="694"/>
      <c r="BP115" s="694"/>
      <c r="BQ115" s="694"/>
      <c r="BR115" s="694"/>
      <c r="BS115" s="694"/>
      <c r="BT115" s="695"/>
    </row>
    <row r="116" spans="2:73" ht="15.5">
      <c r="B116" s="689"/>
      <c r="C116" s="689"/>
      <c r="D116" s="689"/>
      <c r="E116" s="689"/>
      <c r="F116" s="689"/>
      <c r="G116" s="689"/>
      <c r="H116" s="689"/>
      <c r="I116" s="644"/>
      <c r="J116" s="644"/>
      <c r="K116" s="633"/>
      <c r="L116" s="693"/>
      <c r="M116" s="694"/>
      <c r="N116" s="694"/>
      <c r="O116" s="694"/>
      <c r="P116" s="694"/>
      <c r="Q116" s="694"/>
      <c r="R116" s="694"/>
      <c r="S116" s="694"/>
      <c r="T116" s="694"/>
      <c r="U116" s="694"/>
      <c r="V116" s="694"/>
      <c r="W116" s="694"/>
      <c r="X116" s="694"/>
      <c r="Y116" s="694"/>
      <c r="Z116" s="694"/>
      <c r="AA116" s="694"/>
      <c r="AB116" s="694"/>
      <c r="AC116" s="694"/>
      <c r="AD116" s="694"/>
      <c r="AE116" s="694"/>
      <c r="AF116" s="694"/>
      <c r="AG116" s="694"/>
      <c r="AH116" s="694"/>
      <c r="AI116" s="694"/>
      <c r="AJ116" s="694"/>
      <c r="AK116" s="694"/>
      <c r="AL116" s="694"/>
      <c r="AM116" s="694"/>
      <c r="AN116" s="694"/>
      <c r="AO116" s="695"/>
      <c r="AP116" s="633"/>
      <c r="AQ116" s="693"/>
      <c r="AR116" s="694"/>
      <c r="AS116" s="694"/>
      <c r="AT116" s="694"/>
      <c r="AU116" s="694"/>
      <c r="AV116" s="694"/>
      <c r="AW116" s="694"/>
      <c r="AX116" s="694"/>
      <c r="AY116" s="694"/>
      <c r="AZ116" s="694"/>
      <c r="BA116" s="694"/>
      <c r="BB116" s="694"/>
      <c r="BC116" s="694"/>
      <c r="BD116" s="694"/>
      <c r="BE116" s="694"/>
      <c r="BF116" s="694"/>
      <c r="BG116" s="694"/>
      <c r="BH116" s="694"/>
      <c r="BI116" s="694"/>
      <c r="BJ116" s="694"/>
      <c r="BK116" s="694"/>
      <c r="BL116" s="694"/>
      <c r="BM116" s="694"/>
      <c r="BN116" s="694"/>
      <c r="BO116" s="694"/>
      <c r="BP116" s="694"/>
      <c r="BQ116" s="694"/>
      <c r="BR116" s="694"/>
      <c r="BS116" s="694"/>
      <c r="BT116" s="695"/>
      <c r="BU116" s="163"/>
    </row>
    <row r="117" spans="2:73" ht="15.5">
      <c r="B117" s="689"/>
      <c r="C117" s="689"/>
      <c r="D117" s="689"/>
      <c r="E117" s="689"/>
      <c r="F117" s="689"/>
      <c r="G117" s="689"/>
      <c r="H117" s="689"/>
      <c r="I117" s="644"/>
      <c r="J117" s="644"/>
      <c r="K117" s="633"/>
      <c r="L117" s="693"/>
      <c r="M117" s="694"/>
      <c r="N117" s="694"/>
      <c r="O117" s="694"/>
      <c r="P117" s="694"/>
      <c r="Q117" s="694"/>
      <c r="R117" s="694"/>
      <c r="S117" s="694"/>
      <c r="T117" s="694"/>
      <c r="U117" s="694"/>
      <c r="V117" s="694"/>
      <c r="W117" s="694"/>
      <c r="X117" s="694"/>
      <c r="Y117" s="694"/>
      <c r="Z117" s="694"/>
      <c r="AA117" s="694"/>
      <c r="AB117" s="694"/>
      <c r="AC117" s="694"/>
      <c r="AD117" s="694"/>
      <c r="AE117" s="694"/>
      <c r="AF117" s="694"/>
      <c r="AG117" s="694"/>
      <c r="AH117" s="694"/>
      <c r="AI117" s="694"/>
      <c r="AJ117" s="694"/>
      <c r="AK117" s="694"/>
      <c r="AL117" s="694"/>
      <c r="AM117" s="694"/>
      <c r="AN117" s="694"/>
      <c r="AO117" s="695"/>
      <c r="AP117" s="633"/>
      <c r="AQ117" s="693"/>
      <c r="AR117" s="694"/>
      <c r="AS117" s="694"/>
      <c r="AT117" s="694"/>
      <c r="AU117" s="694"/>
      <c r="AV117" s="694"/>
      <c r="AW117" s="694"/>
      <c r="AX117" s="694"/>
      <c r="AY117" s="694"/>
      <c r="AZ117" s="694"/>
      <c r="BA117" s="694"/>
      <c r="BB117" s="694"/>
      <c r="BC117" s="694"/>
      <c r="BD117" s="694"/>
      <c r="BE117" s="694"/>
      <c r="BF117" s="694"/>
      <c r="BG117" s="694"/>
      <c r="BH117" s="694"/>
      <c r="BI117" s="694"/>
      <c r="BJ117" s="694"/>
      <c r="BK117" s="694"/>
      <c r="BL117" s="694"/>
      <c r="BM117" s="694"/>
      <c r="BN117" s="694"/>
      <c r="BO117" s="694"/>
      <c r="BP117" s="694"/>
      <c r="BQ117" s="694"/>
      <c r="BR117" s="694"/>
      <c r="BS117" s="694"/>
      <c r="BT117" s="695"/>
      <c r="BU117" s="163"/>
    </row>
    <row r="118" spans="2:73" ht="15.5">
      <c r="B118" s="689"/>
      <c r="C118" s="689"/>
      <c r="D118" s="689"/>
      <c r="E118" s="689"/>
      <c r="F118" s="689"/>
      <c r="G118" s="689"/>
      <c r="H118" s="689"/>
      <c r="I118" s="644"/>
      <c r="J118" s="644"/>
      <c r="K118" s="633"/>
      <c r="L118" s="693"/>
      <c r="M118" s="694"/>
      <c r="N118" s="694"/>
      <c r="O118" s="694"/>
      <c r="P118" s="694"/>
      <c r="Q118" s="694"/>
      <c r="R118" s="694"/>
      <c r="S118" s="694"/>
      <c r="T118" s="694"/>
      <c r="U118" s="694"/>
      <c r="V118" s="694"/>
      <c r="W118" s="694"/>
      <c r="X118" s="694"/>
      <c r="Y118" s="694"/>
      <c r="Z118" s="694"/>
      <c r="AA118" s="694"/>
      <c r="AB118" s="694"/>
      <c r="AC118" s="694"/>
      <c r="AD118" s="694"/>
      <c r="AE118" s="694"/>
      <c r="AF118" s="694"/>
      <c r="AG118" s="694"/>
      <c r="AH118" s="694"/>
      <c r="AI118" s="694"/>
      <c r="AJ118" s="694"/>
      <c r="AK118" s="694"/>
      <c r="AL118" s="694"/>
      <c r="AM118" s="694"/>
      <c r="AN118" s="694"/>
      <c r="AO118" s="695"/>
      <c r="AP118" s="633"/>
      <c r="AQ118" s="693"/>
      <c r="AR118" s="694"/>
      <c r="AS118" s="694"/>
      <c r="AT118" s="694"/>
      <c r="AU118" s="694"/>
      <c r="AV118" s="694"/>
      <c r="AW118" s="694"/>
      <c r="AX118" s="694"/>
      <c r="AY118" s="694"/>
      <c r="AZ118" s="694"/>
      <c r="BA118" s="694"/>
      <c r="BB118" s="694"/>
      <c r="BC118" s="694"/>
      <c r="BD118" s="694"/>
      <c r="BE118" s="694"/>
      <c r="BF118" s="694"/>
      <c r="BG118" s="694"/>
      <c r="BH118" s="694"/>
      <c r="BI118" s="694"/>
      <c r="BJ118" s="694"/>
      <c r="BK118" s="694"/>
      <c r="BL118" s="694"/>
      <c r="BM118" s="694"/>
      <c r="BN118" s="694"/>
      <c r="BO118" s="694"/>
      <c r="BP118" s="694"/>
      <c r="BQ118" s="694"/>
      <c r="BR118" s="694"/>
      <c r="BS118" s="694"/>
      <c r="BT118" s="695"/>
      <c r="BU118" s="163"/>
    </row>
    <row r="119" spans="2:73" ht="15.5">
      <c r="B119" s="689"/>
      <c r="C119" s="689"/>
      <c r="D119" s="689"/>
      <c r="E119" s="689"/>
      <c r="F119" s="689"/>
      <c r="G119" s="689"/>
      <c r="H119" s="689"/>
      <c r="I119" s="644"/>
      <c r="J119" s="644"/>
      <c r="K119" s="633"/>
      <c r="L119" s="693"/>
      <c r="M119" s="694"/>
      <c r="N119" s="694"/>
      <c r="O119" s="694"/>
      <c r="P119" s="694"/>
      <c r="Q119" s="694"/>
      <c r="R119" s="694"/>
      <c r="S119" s="694"/>
      <c r="T119" s="694"/>
      <c r="U119" s="694"/>
      <c r="V119" s="694"/>
      <c r="W119" s="694"/>
      <c r="X119" s="694"/>
      <c r="Y119" s="694"/>
      <c r="Z119" s="694"/>
      <c r="AA119" s="694"/>
      <c r="AB119" s="694"/>
      <c r="AC119" s="694"/>
      <c r="AD119" s="694"/>
      <c r="AE119" s="694"/>
      <c r="AF119" s="694"/>
      <c r="AG119" s="694"/>
      <c r="AH119" s="694"/>
      <c r="AI119" s="694"/>
      <c r="AJ119" s="694"/>
      <c r="AK119" s="694"/>
      <c r="AL119" s="694"/>
      <c r="AM119" s="694"/>
      <c r="AN119" s="694"/>
      <c r="AO119" s="695"/>
      <c r="AP119" s="633"/>
      <c r="AQ119" s="693"/>
      <c r="AR119" s="694"/>
      <c r="AS119" s="694"/>
      <c r="AT119" s="694"/>
      <c r="AU119" s="694"/>
      <c r="AV119" s="694"/>
      <c r="AW119" s="694"/>
      <c r="AX119" s="694"/>
      <c r="AY119" s="694"/>
      <c r="AZ119" s="694"/>
      <c r="BA119" s="694"/>
      <c r="BB119" s="694"/>
      <c r="BC119" s="694"/>
      <c r="BD119" s="694"/>
      <c r="BE119" s="694"/>
      <c r="BF119" s="694"/>
      <c r="BG119" s="694"/>
      <c r="BH119" s="694"/>
      <c r="BI119" s="694"/>
      <c r="BJ119" s="694"/>
      <c r="BK119" s="694"/>
      <c r="BL119" s="694"/>
      <c r="BM119" s="694"/>
      <c r="BN119" s="694"/>
      <c r="BO119" s="694"/>
      <c r="BP119" s="694"/>
      <c r="BQ119" s="694"/>
      <c r="BR119" s="694"/>
      <c r="BS119" s="694"/>
      <c r="BT119" s="695"/>
      <c r="BU119" s="163"/>
    </row>
    <row r="120" spans="2:73" ht="15.5">
      <c r="B120" s="689"/>
      <c r="C120" s="689"/>
      <c r="D120" s="689"/>
      <c r="E120" s="689"/>
      <c r="F120" s="689"/>
      <c r="G120" s="689"/>
      <c r="H120" s="689"/>
      <c r="I120" s="644"/>
      <c r="J120" s="644"/>
      <c r="K120" s="633"/>
      <c r="L120" s="693"/>
      <c r="M120" s="694"/>
      <c r="N120" s="694"/>
      <c r="O120" s="694"/>
      <c r="P120" s="694"/>
      <c r="Q120" s="694"/>
      <c r="R120" s="694"/>
      <c r="S120" s="694"/>
      <c r="T120" s="694"/>
      <c r="U120" s="694"/>
      <c r="V120" s="694"/>
      <c r="W120" s="694"/>
      <c r="X120" s="694"/>
      <c r="Y120" s="694"/>
      <c r="Z120" s="694"/>
      <c r="AA120" s="694"/>
      <c r="AB120" s="694"/>
      <c r="AC120" s="694"/>
      <c r="AD120" s="694"/>
      <c r="AE120" s="694"/>
      <c r="AF120" s="694"/>
      <c r="AG120" s="694"/>
      <c r="AH120" s="694"/>
      <c r="AI120" s="694"/>
      <c r="AJ120" s="694"/>
      <c r="AK120" s="694"/>
      <c r="AL120" s="694"/>
      <c r="AM120" s="694"/>
      <c r="AN120" s="694"/>
      <c r="AO120" s="695"/>
      <c r="AP120" s="633"/>
      <c r="AQ120" s="693"/>
      <c r="AR120" s="694"/>
      <c r="AS120" s="694"/>
      <c r="AT120" s="694"/>
      <c r="AU120" s="694"/>
      <c r="AV120" s="694"/>
      <c r="AW120" s="694"/>
      <c r="AX120" s="694"/>
      <c r="AY120" s="694"/>
      <c r="AZ120" s="694"/>
      <c r="BA120" s="694"/>
      <c r="BB120" s="694"/>
      <c r="BC120" s="694"/>
      <c r="BD120" s="694"/>
      <c r="BE120" s="694"/>
      <c r="BF120" s="694"/>
      <c r="BG120" s="694"/>
      <c r="BH120" s="694"/>
      <c r="BI120" s="694"/>
      <c r="BJ120" s="694"/>
      <c r="BK120" s="694"/>
      <c r="BL120" s="694"/>
      <c r="BM120" s="694"/>
      <c r="BN120" s="694"/>
      <c r="BO120" s="694"/>
      <c r="BP120" s="694"/>
      <c r="BQ120" s="694"/>
      <c r="BR120" s="694"/>
      <c r="BS120" s="694"/>
      <c r="BT120" s="695"/>
      <c r="BU120" s="163"/>
    </row>
    <row r="121" spans="2:73">
      <c r="B121" s="689"/>
      <c r="C121" s="689"/>
      <c r="D121" s="689"/>
      <c r="E121" s="689"/>
      <c r="F121" s="689"/>
      <c r="G121" s="689"/>
      <c r="H121" s="689"/>
      <c r="I121" s="644"/>
      <c r="J121" s="644"/>
      <c r="K121" s="633"/>
      <c r="L121" s="693"/>
      <c r="M121" s="694"/>
      <c r="N121" s="694"/>
      <c r="O121" s="694"/>
      <c r="P121" s="694"/>
      <c r="Q121" s="694"/>
      <c r="R121" s="694"/>
      <c r="S121" s="694"/>
      <c r="T121" s="694"/>
      <c r="U121" s="694"/>
      <c r="V121" s="694"/>
      <c r="W121" s="694"/>
      <c r="X121" s="694"/>
      <c r="Y121" s="694"/>
      <c r="Z121" s="694"/>
      <c r="AA121" s="694"/>
      <c r="AB121" s="694"/>
      <c r="AC121" s="694"/>
      <c r="AD121" s="694"/>
      <c r="AE121" s="694"/>
      <c r="AF121" s="694"/>
      <c r="AG121" s="694"/>
      <c r="AH121" s="694"/>
      <c r="AI121" s="694"/>
      <c r="AJ121" s="694"/>
      <c r="AK121" s="694"/>
      <c r="AL121" s="694"/>
      <c r="AM121" s="694"/>
      <c r="AN121" s="694"/>
      <c r="AO121" s="695"/>
      <c r="AP121" s="633"/>
      <c r="AQ121" s="693"/>
      <c r="AR121" s="694"/>
      <c r="AS121" s="694"/>
      <c r="AT121" s="694"/>
      <c r="AU121" s="694"/>
      <c r="AV121" s="694"/>
      <c r="AW121" s="694"/>
      <c r="AX121" s="694"/>
      <c r="AY121" s="694"/>
      <c r="AZ121" s="694"/>
      <c r="BA121" s="694"/>
      <c r="BB121" s="694"/>
      <c r="BC121" s="694"/>
      <c r="BD121" s="694"/>
      <c r="BE121" s="694"/>
      <c r="BF121" s="694"/>
      <c r="BG121" s="694"/>
      <c r="BH121" s="694"/>
      <c r="BI121" s="694"/>
      <c r="BJ121" s="694"/>
      <c r="BK121" s="694"/>
      <c r="BL121" s="694"/>
      <c r="BM121" s="694"/>
      <c r="BN121" s="694"/>
      <c r="BO121" s="694"/>
      <c r="BP121" s="694"/>
      <c r="BQ121" s="694"/>
      <c r="BR121" s="694"/>
      <c r="BS121" s="694"/>
      <c r="BT121" s="695"/>
    </row>
    <row r="122" spans="2:73" ht="15.5">
      <c r="B122" s="689"/>
      <c r="C122" s="689"/>
      <c r="D122" s="689"/>
      <c r="E122" s="689"/>
      <c r="F122" s="689"/>
      <c r="G122" s="689"/>
      <c r="H122" s="689"/>
      <c r="I122" s="644"/>
      <c r="J122" s="644"/>
      <c r="K122" s="633"/>
      <c r="L122" s="693"/>
      <c r="M122" s="694"/>
      <c r="N122" s="694"/>
      <c r="O122" s="694"/>
      <c r="P122" s="694"/>
      <c r="Q122" s="694"/>
      <c r="R122" s="694"/>
      <c r="S122" s="694"/>
      <c r="T122" s="694"/>
      <c r="U122" s="694"/>
      <c r="V122" s="694"/>
      <c r="W122" s="694"/>
      <c r="X122" s="694"/>
      <c r="Y122" s="694"/>
      <c r="Z122" s="694"/>
      <c r="AA122" s="694"/>
      <c r="AB122" s="694"/>
      <c r="AC122" s="694"/>
      <c r="AD122" s="694"/>
      <c r="AE122" s="694"/>
      <c r="AF122" s="694"/>
      <c r="AG122" s="694"/>
      <c r="AH122" s="694"/>
      <c r="AI122" s="694"/>
      <c r="AJ122" s="694"/>
      <c r="AK122" s="694"/>
      <c r="AL122" s="694"/>
      <c r="AM122" s="694"/>
      <c r="AN122" s="694"/>
      <c r="AO122" s="695"/>
      <c r="AP122" s="633"/>
      <c r="AQ122" s="693"/>
      <c r="AR122" s="694"/>
      <c r="AS122" s="694"/>
      <c r="AT122" s="694"/>
      <c r="AU122" s="694"/>
      <c r="AV122" s="694"/>
      <c r="AW122" s="694"/>
      <c r="AX122" s="694"/>
      <c r="AY122" s="694"/>
      <c r="AZ122" s="694"/>
      <c r="BA122" s="694"/>
      <c r="BB122" s="694"/>
      <c r="BC122" s="694"/>
      <c r="BD122" s="694"/>
      <c r="BE122" s="694"/>
      <c r="BF122" s="694"/>
      <c r="BG122" s="694"/>
      <c r="BH122" s="694"/>
      <c r="BI122" s="694"/>
      <c r="BJ122" s="694"/>
      <c r="BK122" s="694"/>
      <c r="BL122" s="694"/>
      <c r="BM122" s="694"/>
      <c r="BN122" s="694"/>
      <c r="BO122" s="694"/>
      <c r="BP122" s="694"/>
      <c r="BQ122" s="694"/>
      <c r="BR122" s="694"/>
      <c r="BS122" s="694"/>
      <c r="BT122" s="695"/>
      <c r="BU122" s="163"/>
    </row>
    <row r="123" spans="2:73" ht="15.5">
      <c r="B123" s="689"/>
      <c r="C123" s="689"/>
      <c r="D123" s="689"/>
      <c r="E123" s="689"/>
      <c r="F123" s="689"/>
      <c r="G123" s="689"/>
      <c r="H123" s="689"/>
      <c r="I123" s="644"/>
      <c r="J123" s="644"/>
      <c r="K123" s="633"/>
      <c r="L123" s="696"/>
      <c r="M123" s="697"/>
      <c r="N123" s="697"/>
      <c r="O123" s="697"/>
      <c r="P123" s="697"/>
      <c r="Q123" s="697"/>
      <c r="R123" s="697"/>
      <c r="S123" s="697"/>
      <c r="T123" s="697"/>
      <c r="U123" s="697"/>
      <c r="V123" s="697"/>
      <c r="W123" s="697"/>
      <c r="X123" s="697"/>
      <c r="Y123" s="697"/>
      <c r="Z123" s="697"/>
      <c r="AA123" s="697"/>
      <c r="AB123" s="697"/>
      <c r="AC123" s="697"/>
      <c r="AD123" s="697"/>
      <c r="AE123" s="697"/>
      <c r="AF123" s="697"/>
      <c r="AG123" s="697"/>
      <c r="AH123" s="697"/>
      <c r="AI123" s="697"/>
      <c r="AJ123" s="697"/>
      <c r="AK123" s="697"/>
      <c r="AL123" s="697"/>
      <c r="AM123" s="697"/>
      <c r="AN123" s="697"/>
      <c r="AO123" s="698"/>
      <c r="AP123" s="633"/>
      <c r="AQ123" s="696"/>
      <c r="AR123" s="697"/>
      <c r="AS123" s="697"/>
      <c r="AT123" s="697"/>
      <c r="AU123" s="697"/>
      <c r="AV123" s="697"/>
      <c r="AW123" s="697"/>
      <c r="AX123" s="697"/>
      <c r="AY123" s="697"/>
      <c r="AZ123" s="697"/>
      <c r="BA123" s="697"/>
      <c r="BB123" s="697"/>
      <c r="BC123" s="697"/>
      <c r="BD123" s="697"/>
      <c r="BE123" s="697"/>
      <c r="BF123" s="697"/>
      <c r="BG123" s="697"/>
      <c r="BH123" s="697"/>
      <c r="BI123" s="697"/>
      <c r="BJ123" s="697"/>
      <c r="BK123" s="697"/>
      <c r="BL123" s="697"/>
      <c r="BM123" s="697"/>
      <c r="BN123" s="697"/>
      <c r="BO123" s="697"/>
      <c r="BP123" s="697"/>
      <c r="BQ123" s="697"/>
      <c r="BR123" s="697"/>
      <c r="BS123" s="697"/>
      <c r="BT123" s="698"/>
      <c r="BU123" s="163"/>
    </row>
  </sheetData>
  <autoFilter ref="C26:BT26">
    <sortState ref="C26:BT42">
      <sortCondition ref="H25"/>
    </sortState>
  </autoFilter>
  <mergeCells count="1">
    <mergeCell ref="C24:G24"/>
  </mergeCells>
  <conditionalFormatting sqref="L27:AO73 AQ37:BT75">
    <cfRule type="cellIs" dxfId="10" priority="12" operator="equal">
      <formula>0</formula>
    </cfRule>
  </conditionalFormatting>
  <conditionalFormatting sqref="L111:AO123 AQ109:BT123">
    <cfRule type="cellIs" dxfId="9" priority="15" operator="equal">
      <formula>0</formula>
    </cfRule>
  </conditionalFormatting>
  <conditionalFormatting sqref="L76:AO87 AQ76:BT89">
    <cfRule type="cellIs" dxfId="8" priority="17" operator="equal">
      <formula>0</formula>
    </cfRule>
  </conditionalFormatting>
  <conditionalFormatting sqref="L92:AO106 AQ90:BT108">
    <cfRule type="cellIs" dxfId="7" priority="16" operator="equal">
      <formula>0</formula>
    </cfRule>
  </conditionalFormatting>
  <conditionalFormatting sqref="L88:AO91">
    <cfRule type="cellIs" dxfId="6" priority="11" operator="equal">
      <formula>0</formula>
    </cfRule>
  </conditionalFormatting>
  <conditionalFormatting sqref="L107:AO110">
    <cfRule type="cellIs" dxfId="5" priority="10" operator="equal">
      <formula>0</formula>
    </cfRule>
  </conditionalFormatting>
  <conditionalFormatting sqref="L74:AO75">
    <cfRule type="cellIs" dxfId="4" priority="3" operator="equal">
      <formula>0</formula>
    </cfRule>
  </conditionalFormatting>
  <conditionalFormatting sqref="AQ29:BT40">
    <cfRule type="cellIs" dxfId="3" priority="1" operator="equal">
      <formula>0</formula>
    </cfRule>
  </conditionalFormatting>
  <conditionalFormatting sqref="L27:AO32">
    <cfRule type="cellIs" dxfId="2" priority="5" operator="equal">
      <formula>0</formula>
    </cfRule>
  </conditionalFormatting>
  <conditionalFormatting sqref="L33:AO43 AQ41:BT43">
    <cfRule type="cellIs" dxfId="1" priority="4" operator="equal">
      <formula>0</formula>
    </cfRule>
  </conditionalFormatting>
  <conditionalFormatting sqref="AQ27:BT28">
    <cfRule type="cellIs" dxfId="0" priority="2" operator="equal">
      <formula>0</formula>
    </cfRule>
  </conditionalFormatting>
  <pageMargins left="0.70866141732283472" right="0.70866141732283472" top="0.74803149606299213" bottom="0.74803149606299213" header="0.31496062992125984" footer="0.31496062992125984"/>
  <pageSetup paperSize="3" scale="67" pageOrder="overThenDown" orientation="landscape" r:id="rId1"/>
  <headerFooter>
    <oddFooter>&amp;R&amp;P</oddFooter>
  </headerFooter>
  <rowBreaks count="1" manualBreakCount="1">
    <brk id="54" max="72"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DropDownList!$G$2:$G$11</xm:f>
          </x14:formula1>
          <xm:sqref>I76:I1048576</xm:sqref>
        </x14:dataValidation>
        <x14:dataValidation type="list" allowBlank="1" showInputMessage="1" showErrorMessage="1">
          <x14:formula1>
            <xm:f>DropDownList!$H$2:$H$3</xm:f>
          </x14:formula1>
          <xm:sqref>J76:J1048576</xm:sqref>
        </x14:dataValidation>
        <x14:dataValidation type="list" allowBlank="1" showInputMessage="1" showErrorMessage="1">
          <x14:formula1>
            <xm:f>'Y:\Finance\Finance Mgmt\Rate Applications\2021 Cost of Service (EB-2020-0048)\Workings\MB workings\LRAM workings\[EB-2019-0062_2020_GenericLRAMVA_WorkForm_20191121 - with 2018 est for Phil.xlsx]DropDownList'!#REF!</xm:f>
          </x14:formula1>
          <xm:sqref>J27:J75</xm:sqref>
        </x14:dataValidation>
        <x14:dataValidation type="list" allowBlank="1" showInputMessage="1" showErrorMessage="1">
          <x14:formula1>
            <xm:f>'Y:\Finance\Finance Mgmt\Rate Applications\2021 Cost of Service (EB-2020-0048)\Workings\MB workings\LRAM workings\[EB-2019-0062_2020_GenericLRAMVA_WorkForm_20191121 - with 2018 est for Phil.xlsx]DropDownList'!#REF!</xm:f>
          </x14:formula1>
          <xm:sqref>I27:I75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U83"/>
  <sheetViews>
    <sheetView topLeftCell="D69" zoomScale="90" zoomScaleNormal="90" workbookViewId="0">
      <selection activeCell="G90" sqref="G90"/>
    </sheetView>
  </sheetViews>
  <sheetFormatPr defaultColWidth="9.08984375" defaultRowHeight="14.5" outlineLevelRow="1"/>
  <cols>
    <col min="1" max="1" width="9.08984375" style="12"/>
    <col min="2" max="2" width="10.08984375" style="12" customWidth="1"/>
    <col min="3" max="3" width="11.36328125" style="12" customWidth="1"/>
    <col min="4" max="4" width="18.6328125" style="12" customWidth="1"/>
    <col min="5" max="5" width="21.453125" style="12" customWidth="1"/>
    <col min="6" max="6" width="12" style="12" customWidth="1"/>
    <col min="7" max="7" width="9.08984375" style="12"/>
    <col min="8" max="8" width="24.54296875" style="12" customWidth="1"/>
    <col min="9" max="9" width="11.08984375" style="12" customWidth="1"/>
    <col min="10" max="10" width="9.08984375" style="12"/>
    <col min="11" max="11" width="11.54296875" style="12" customWidth="1"/>
    <col min="12" max="12" width="9.08984375" style="12"/>
    <col min="13" max="13" width="26" style="12" customWidth="1"/>
    <col min="14" max="14" width="9.90625" style="12" customWidth="1"/>
    <col min="15" max="15" width="9.08984375" style="12"/>
    <col min="16" max="16" width="9.81640625" style="12" customWidth="1"/>
    <col min="17" max="17" width="11.1796875" style="12" bestFit="1" customWidth="1"/>
    <col min="18" max="19" width="9.08984375" style="12"/>
    <col min="20" max="20" width="11.08984375" style="12" bestFit="1" customWidth="1"/>
    <col min="21" max="16384" width="9.08984375" style="12"/>
  </cols>
  <sheetData>
    <row r="12" spans="1:17" ht="24" customHeight="1" thickBot="1"/>
    <row r="13" spans="1:17" s="9" customFormat="1" ht="23.4" customHeight="1" thickBot="1">
      <c r="A13" s="588"/>
      <c r="B13" s="588" t="s">
        <v>171</v>
      </c>
      <c r="D13" s="126" t="s">
        <v>175</v>
      </c>
      <c r="E13" s="743"/>
      <c r="F13" s="177"/>
      <c r="G13" s="178"/>
      <c r="H13" s="179"/>
      <c r="K13" s="179"/>
      <c r="L13" s="177"/>
      <c r="M13" s="177"/>
      <c r="N13" s="177"/>
      <c r="O13" s="177"/>
      <c r="P13" s="177"/>
      <c r="Q13" s="180"/>
    </row>
    <row r="14" spans="1:17" s="9" customFormat="1" ht="15.65" customHeight="1">
      <c r="B14" s="551"/>
      <c r="D14" s="17"/>
      <c r="E14" s="17"/>
      <c r="F14" s="177"/>
      <c r="G14" s="178"/>
      <c r="H14" s="179"/>
      <c r="K14" s="179"/>
      <c r="L14" s="177"/>
      <c r="M14" s="177"/>
      <c r="N14" s="177"/>
      <c r="O14" s="177"/>
      <c r="P14" s="177"/>
      <c r="Q14" s="180"/>
    </row>
    <row r="15" spans="1:17" ht="15.5">
      <c r="B15" s="588" t="s">
        <v>505</v>
      </c>
    </row>
    <row r="16" spans="1:17" ht="15.5">
      <c r="B16" s="588"/>
    </row>
    <row r="17" spans="2:21" s="668" customFormat="1" ht="20.399999999999999" customHeight="1">
      <c r="B17" s="666" t="s">
        <v>666</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936" t="s">
        <v>718</v>
      </c>
      <c r="C18" s="936"/>
      <c r="D18" s="936"/>
      <c r="E18" s="936"/>
      <c r="F18" s="936"/>
      <c r="G18" s="936"/>
      <c r="H18" s="936"/>
      <c r="I18" s="936"/>
      <c r="J18" s="936"/>
      <c r="K18" s="936"/>
      <c r="L18" s="936"/>
      <c r="M18" s="936"/>
      <c r="N18" s="936"/>
      <c r="O18" s="936"/>
      <c r="P18" s="936"/>
      <c r="Q18" s="936"/>
      <c r="R18" s="936"/>
      <c r="S18" s="936"/>
      <c r="T18" s="936"/>
      <c r="U18" s="936"/>
    </row>
    <row r="21" spans="2:21" ht="21">
      <c r="B21" s="741" t="s">
        <v>803</v>
      </c>
    </row>
    <row r="23" spans="2:21" ht="21" hidden="1" outlineLevel="1">
      <c r="B23" s="741" t="s">
        <v>703</v>
      </c>
      <c r="C23" s="742"/>
      <c r="E23" s="742"/>
      <c r="F23" s="742"/>
      <c r="H23" s="741" t="s">
        <v>704</v>
      </c>
    </row>
    <row r="24" spans="2:21" ht="18.649999999999999" hidden="1" customHeight="1" outlineLevel="1">
      <c r="B24" s="935" t="s">
        <v>682</v>
      </c>
      <c r="C24" s="935"/>
      <c r="D24" s="935"/>
      <c r="E24" s="935"/>
      <c r="F24" s="935"/>
      <c r="H24" s="12" t="s">
        <v>690</v>
      </c>
      <c r="M24" s="12" t="s">
        <v>691</v>
      </c>
    </row>
    <row r="25" spans="2:21" ht="43.5" hidden="1" outlineLevel="1">
      <c r="B25" s="738" t="s">
        <v>62</v>
      </c>
      <c r="C25" s="738" t="s">
        <v>683</v>
      </c>
      <c r="D25" s="738" t="s">
        <v>684</v>
      </c>
      <c r="E25" s="738" t="s">
        <v>686</v>
      </c>
      <c r="F25" s="738" t="s">
        <v>685</v>
      </c>
      <c r="H25" s="738" t="s">
        <v>687</v>
      </c>
      <c r="I25" s="738" t="s">
        <v>688</v>
      </c>
      <c r="J25" s="738" t="s">
        <v>689</v>
      </c>
      <c r="K25" s="738" t="s">
        <v>683</v>
      </c>
      <c r="M25" s="738" t="s">
        <v>687</v>
      </c>
      <c r="N25" s="738" t="s">
        <v>688</v>
      </c>
      <c r="O25" s="738" t="s">
        <v>689</v>
      </c>
      <c r="P25" s="738" t="s">
        <v>683</v>
      </c>
    </row>
    <row r="26" spans="2:21" ht="16.5" hidden="1" outlineLevel="1">
      <c r="B26" s="745"/>
      <c r="C26" s="745" t="s">
        <v>693</v>
      </c>
      <c r="D26" s="745" t="s">
        <v>694</v>
      </c>
      <c r="E26" s="745" t="s">
        <v>695</v>
      </c>
      <c r="F26" s="745" t="s">
        <v>696</v>
      </c>
      <c r="H26" s="745"/>
      <c r="I26" s="745" t="s">
        <v>697</v>
      </c>
      <c r="J26" s="745" t="s">
        <v>698</v>
      </c>
      <c r="K26" s="745" t="s">
        <v>699</v>
      </c>
      <c r="M26" s="745"/>
      <c r="N26" s="745" t="s">
        <v>700</v>
      </c>
      <c r="O26" s="745" t="s">
        <v>701</v>
      </c>
      <c r="P26" s="745" t="s">
        <v>702</v>
      </c>
    </row>
    <row r="27" spans="2:21" ht="15.65" hidden="1" customHeight="1" outlineLevel="1">
      <c r="B27" s="740" t="s">
        <v>706</v>
      </c>
      <c r="C27" s="748">
        <f>K49</f>
        <v>0</v>
      </c>
      <c r="D27" s="746"/>
      <c r="E27" s="739"/>
      <c r="F27" s="739"/>
      <c r="H27" s="739"/>
      <c r="I27" s="739"/>
      <c r="J27" s="739"/>
      <c r="K27" s="739">
        <f>I27*J27</f>
        <v>0</v>
      </c>
      <c r="M27" s="739"/>
      <c r="N27" s="739"/>
      <c r="O27" s="739"/>
      <c r="P27" s="739">
        <f>N27*O27</f>
        <v>0</v>
      </c>
    </row>
    <row r="28" spans="2:21" ht="15.65" hidden="1" customHeight="1" outlineLevel="1">
      <c r="B28" s="740" t="s">
        <v>707</v>
      </c>
      <c r="C28" s="749">
        <f>P49</f>
        <v>0</v>
      </c>
      <c r="D28" s="750">
        <f>C28-C27</f>
        <v>0</v>
      </c>
      <c r="E28" s="739"/>
      <c r="F28" s="747">
        <f>D28*E28</f>
        <v>0</v>
      </c>
      <c r="H28" s="739"/>
      <c r="I28" s="739"/>
      <c r="J28" s="739"/>
      <c r="K28" s="739"/>
      <c r="M28" s="739"/>
      <c r="N28" s="739"/>
      <c r="O28" s="739"/>
      <c r="P28" s="739"/>
    </row>
    <row r="29" spans="2:21" ht="15.65" hidden="1" customHeight="1" outlineLevel="1">
      <c r="B29" s="740" t="s">
        <v>708</v>
      </c>
      <c r="C29" s="739"/>
      <c r="D29" s="739"/>
      <c r="E29" s="739"/>
      <c r="F29" s="739"/>
      <c r="H29" s="739"/>
      <c r="I29" s="739"/>
      <c r="J29" s="739"/>
      <c r="K29" s="739"/>
      <c r="M29" s="739"/>
      <c r="N29" s="739"/>
      <c r="O29" s="739"/>
      <c r="P29" s="739"/>
    </row>
    <row r="30" spans="2:21" ht="15.65" hidden="1" customHeight="1" outlineLevel="1">
      <c r="B30" s="740" t="s">
        <v>709</v>
      </c>
      <c r="C30" s="739"/>
      <c r="D30" s="739"/>
      <c r="E30" s="739"/>
      <c r="F30" s="739"/>
      <c r="H30" s="739"/>
      <c r="I30" s="739"/>
      <c r="J30" s="739"/>
      <c r="K30" s="739"/>
      <c r="M30" s="739"/>
      <c r="N30" s="739"/>
      <c r="O30" s="739"/>
      <c r="P30" s="739"/>
    </row>
    <row r="31" spans="2:21" ht="15.65" hidden="1" customHeight="1" outlineLevel="1">
      <c r="B31" s="740" t="s">
        <v>710</v>
      </c>
      <c r="C31" s="739"/>
      <c r="D31" s="739"/>
      <c r="E31" s="739"/>
      <c r="F31" s="739"/>
      <c r="H31" s="739"/>
      <c r="I31" s="739"/>
      <c r="J31" s="739"/>
      <c r="K31" s="739"/>
      <c r="M31" s="739"/>
      <c r="N31" s="739"/>
      <c r="O31" s="739"/>
      <c r="P31" s="739"/>
    </row>
    <row r="32" spans="2:21" ht="15.65" hidden="1" customHeight="1" outlineLevel="1">
      <c r="B32" s="740" t="s">
        <v>711</v>
      </c>
      <c r="C32" s="739"/>
      <c r="D32" s="739"/>
      <c r="E32" s="739"/>
      <c r="F32" s="739"/>
      <c r="H32" s="739"/>
      <c r="I32" s="739"/>
      <c r="J32" s="739"/>
      <c r="K32" s="739"/>
      <c r="M32" s="739"/>
      <c r="N32" s="739"/>
      <c r="O32" s="739"/>
      <c r="P32" s="739"/>
    </row>
    <row r="33" spans="2:16" ht="15.65" hidden="1" customHeight="1" outlineLevel="1">
      <c r="B33" s="740" t="s">
        <v>712</v>
      </c>
      <c r="C33" s="739"/>
      <c r="D33" s="739"/>
      <c r="E33" s="739"/>
      <c r="F33" s="739"/>
      <c r="H33" s="739"/>
      <c r="I33" s="739"/>
      <c r="J33" s="739"/>
      <c r="K33" s="739"/>
      <c r="M33" s="739"/>
      <c r="N33" s="739"/>
      <c r="O33" s="739"/>
      <c r="P33" s="739"/>
    </row>
    <row r="34" spans="2:16" ht="15.65" hidden="1" customHeight="1" outlineLevel="1">
      <c r="B34" s="740" t="s">
        <v>713</v>
      </c>
      <c r="C34" s="739"/>
      <c r="D34" s="739"/>
      <c r="E34" s="739"/>
      <c r="F34" s="739"/>
      <c r="H34" s="739"/>
      <c r="I34" s="739"/>
      <c r="J34" s="739"/>
      <c r="K34" s="739"/>
      <c r="M34" s="739"/>
      <c r="N34" s="739"/>
      <c r="O34" s="739"/>
      <c r="P34" s="739"/>
    </row>
    <row r="35" spans="2:16" ht="15.65" hidden="1" customHeight="1" outlineLevel="1">
      <c r="B35" s="740" t="s">
        <v>714</v>
      </c>
      <c r="C35" s="739"/>
      <c r="D35" s="739"/>
      <c r="E35" s="739"/>
      <c r="F35" s="739"/>
      <c r="H35" s="739"/>
      <c r="I35" s="739"/>
      <c r="J35" s="739"/>
      <c r="K35" s="739"/>
      <c r="M35" s="739"/>
      <c r="N35" s="739"/>
      <c r="O35" s="739"/>
      <c r="P35" s="739"/>
    </row>
    <row r="36" spans="2:16" ht="15.65" hidden="1" customHeight="1" outlineLevel="1">
      <c r="B36" s="740" t="s">
        <v>715</v>
      </c>
      <c r="C36" s="739"/>
      <c r="D36" s="739"/>
      <c r="E36" s="739"/>
      <c r="F36" s="739"/>
      <c r="H36" s="739"/>
      <c r="I36" s="739"/>
      <c r="J36" s="739"/>
      <c r="K36" s="739"/>
      <c r="M36" s="739"/>
      <c r="N36" s="739"/>
      <c r="O36" s="739"/>
      <c r="P36" s="739"/>
    </row>
    <row r="37" spans="2:16" ht="15.65" hidden="1" customHeight="1" outlineLevel="1">
      <c r="B37" s="740" t="s">
        <v>716</v>
      </c>
      <c r="C37" s="739"/>
      <c r="D37" s="739"/>
      <c r="E37" s="739"/>
      <c r="F37" s="739"/>
      <c r="H37" s="739"/>
      <c r="I37" s="739"/>
      <c r="J37" s="739"/>
      <c r="K37" s="739"/>
      <c r="M37" s="739"/>
      <c r="N37" s="739"/>
      <c r="O37" s="739"/>
      <c r="P37" s="739"/>
    </row>
    <row r="38" spans="2:16" ht="15.65" hidden="1" customHeight="1" outlineLevel="1">
      <c r="B38" s="740" t="s">
        <v>717</v>
      </c>
      <c r="C38" s="739"/>
      <c r="D38" s="739"/>
      <c r="E38" s="739"/>
      <c r="F38" s="739"/>
      <c r="H38" s="739"/>
      <c r="I38" s="739"/>
      <c r="J38" s="739"/>
      <c r="K38" s="739"/>
      <c r="M38" s="739"/>
      <c r="N38" s="739"/>
      <c r="O38" s="739"/>
      <c r="P38" s="739"/>
    </row>
    <row r="39" spans="2:16" ht="16.25" hidden="1" customHeight="1" outlineLevel="1">
      <c r="B39" s="751" t="s">
        <v>26</v>
      </c>
      <c r="C39" s="752"/>
      <c r="D39" s="752"/>
      <c r="E39" s="752"/>
      <c r="F39" s="753">
        <f>SUM(F28:F38)</f>
        <v>0</v>
      </c>
      <c r="H39" s="739"/>
      <c r="I39" s="739"/>
      <c r="J39" s="739"/>
      <c r="K39" s="739"/>
      <c r="M39" s="739"/>
      <c r="N39" s="739"/>
      <c r="O39" s="739"/>
      <c r="P39" s="739"/>
    </row>
    <row r="40" spans="2:16" hidden="1" outlineLevel="1">
      <c r="B40" s="740" t="s">
        <v>705</v>
      </c>
      <c r="C40" s="739"/>
      <c r="D40" s="739"/>
      <c r="E40" s="739"/>
      <c r="F40" s="739"/>
      <c r="H40" s="739"/>
      <c r="I40" s="739"/>
      <c r="J40" s="739"/>
      <c r="K40" s="739"/>
      <c r="M40" s="739"/>
      <c r="N40" s="739"/>
      <c r="O40" s="739"/>
      <c r="P40" s="739"/>
    </row>
    <row r="41" spans="2:16" hidden="1" outlineLevel="1">
      <c r="B41" s="740" t="s">
        <v>705</v>
      </c>
      <c r="C41" s="739"/>
      <c r="D41" s="739"/>
      <c r="E41" s="739"/>
      <c r="F41" s="739"/>
      <c r="H41" s="739"/>
      <c r="I41" s="739"/>
      <c r="J41" s="739"/>
      <c r="K41" s="739"/>
      <c r="M41" s="739"/>
      <c r="N41" s="739"/>
      <c r="O41" s="739"/>
      <c r="P41" s="739"/>
    </row>
    <row r="42" spans="2:16" hidden="1" outlineLevel="1">
      <c r="B42" s="740" t="s">
        <v>705</v>
      </c>
      <c r="C42" s="739"/>
      <c r="D42" s="739"/>
      <c r="E42" s="739"/>
      <c r="F42" s="739"/>
      <c r="H42" s="739"/>
      <c r="I42" s="739"/>
      <c r="J42" s="739"/>
      <c r="K42" s="739"/>
      <c r="M42" s="739"/>
      <c r="N42" s="739"/>
      <c r="O42" s="739"/>
      <c r="P42" s="739"/>
    </row>
    <row r="43" spans="2:16" hidden="1" outlineLevel="1">
      <c r="B43" s="740" t="s">
        <v>705</v>
      </c>
      <c r="C43" s="739"/>
      <c r="D43" s="739"/>
      <c r="E43" s="739"/>
      <c r="F43" s="739"/>
      <c r="H43" s="739"/>
      <c r="I43" s="739"/>
      <c r="J43" s="739"/>
      <c r="K43" s="739"/>
      <c r="M43" s="739"/>
      <c r="N43" s="739"/>
      <c r="O43" s="739"/>
      <c r="P43" s="739"/>
    </row>
    <row r="44" spans="2:16" hidden="1" outlineLevel="1">
      <c r="H44" s="739"/>
      <c r="I44" s="739"/>
      <c r="J44" s="739"/>
      <c r="K44" s="739"/>
      <c r="M44" s="739"/>
      <c r="N44" s="739"/>
      <c r="O44" s="739"/>
      <c r="P44" s="739"/>
    </row>
    <row r="45" spans="2:16" hidden="1" outlineLevel="1">
      <c r="H45" s="739"/>
      <c r="I45" s="739"/>
      <c r="J45" s="739"/>
      <c r="K45" s="739"/>
      <c r="M45" s="739"/>
      <c r="N45" s="739"/>
      <c r="O45" s="739"/>
      <c r="P45" s="739"/>
    </row>
    <row r="46" spans="2:16" hidden="1" outlineLevel="1">
      <c r="H46" s="739"/>
      <c r="I46" s="739"/>
      <c r="J46" s="739"/>
      <c r="K46" s="739"/>
      <c r="M46" s="739"/>
      <c r="N46" s="739"/>
      <c r="O46" s="739"/>
      <c r="P46" s="739"/>
    </row>
    <row r="47" spans="2:16" hidden="1" outlineLevel="1">
      <c r="H47" s="739"/>
      <c r="I47" s="739"/>
      <c r="J47" s="739"/>
      <c r="K47" s="739"/>
      <c r="M47" s="739"/>
      <c r="N47" s="739"/>
      <c r="O47" s="739"/>
      <c r="P47" s="739"/>
    </row>
    <row r="48" spans="2:16" hidden="1" outlineLevel="1">
      <c r="H48" s="739"/>
      <c r="I48" s="739"/>
      <c r="J48" s="739"/>
      <c r="K48" s="739"/>
      <c r="M48" s="739"/>
      <c r="N48" s="739"/>
      <c r="O48" s="739"/>
      <c r="P48" s="739"/>
    </row>
    <row r="49" spans="2:20" hidden="1" outlineLevel="1">
      <c r="H49" s="751" t="s">
        <v>26</v>
      </c>
      <c r="I49" s="752"/>
      <c r="J49" s="752"/>
      <c r="K49" s="748">
        <f>SUM(K27:K48)</f>
        <v>0</v>
      </c>
      <c r="M49" s="751" t="s">
        <v>26</v>
      </c>
      <c r="N49" s="752"/>
      <c r="O49" s="752"/>
      <c r="P49" s="749">
        <f>SUM(P27:P48)</f>
        <v>0</v>
      </c>
    </row>
    <row r="50" spans="2:20" collapsed="1"/>
    <row r="57" spans="2:20" ht="15" thickBot="1"/>
    <row r="58" spans="2:20" ht="58">
      <c r="B58" s="822" t="s">
        <v>62</v>
      </c>
      <c r="C58" s="823" t="s">
        <v>804</v>
      </c>
      <c r="D58" s="824" t="s">
        <v>805</v>
      </c>
      <c r="E58" s="823" t="s">
        <v>806</v>
      </c>
      <c r="F58" s="824" t="s">
        <v>807</v>
      </c>
      <c r="G58" s="824" t="s">
        <v>808</v>
      </c>
      <c r="H58" s="824" t="s">
        <v>809</v>
      </c>
      <c r="I58" s="823" t="s">
        <v>810</v>
      </c>
      <c r="J58" s="824" t="s">
        <v>805</v>
      </c>
      <c r="K58" s="824" t="s">
        <v>806</v>
      </c>
      <c r="L58" s="824" t="s">
        <v>807</v>
      </c>
      <c r="M58" s="824" t="s">
        <v>808</v>
      </c>
      <c r="N58" s="824" t="s">
        <v>809</v>
      </c>
      <c r="O58" s="824" t="s">
        <v>811</v>
      </c>
      <c r="P58" s="824" t="s">
        <v>809</v>
      </c>
      <c r="Q58" s="825" t="s">
        <v>812</v>
      </c>
      <c r="S58" s="822" t="s">
        <v>62</v>
      </c>
      <c r="T58" s="826" t="s">
        <v>813</v>
      </c>
    </row>
    <row r="59" spans="2:20">
      <c r="B59" s="827">
        <v>42644</v>
      </c>
      <c r="C59" s="828">
        <v>325</v>
      </c>
      <c r="D59" s="829">
        <v>0.11604367527959893</v>
      </c>
      <c r="E59" s="828">
        <v>30</v>
      </c>
      <c r="F59" s="828">
        <v>10.833333333333334</v>
      </c>
      <c r="G59" s="830">
        <v>18.857097232934827</v>
      </c>
      <c r="H59" s="830">
        <v>18.857097232934827</v>
      </c>
      <c r="I59" s="828">
        <v>0</v>
      </c>
      <c r="J59" s="829">
        <v>3.3145417750795026E-3</v>
      </c>
      <c r="K59" s="828">
        <v>30</v>
      </c>
      <c r="L59" s="828">
        <v>0</v>
      </c>
      <c r="M59" s="830">
        <v>0</v>
      </c>
      <c r="N59" s="830">
        <v>0</v>
      </c>
      <c r="O59" s="830">
        <v>18.857097232934827</v>
      </c>
      <c r="P59" s="830">
        <v>18.857097232934827</v>
      </c>
      <c r="Q59" s="831">
        <v>18.857097232934827</v>
      </c>
      <c r="S59" s="827"/>
      <c r="T59" s="832"/>
    </row>
    <row r="60" spans="2:20">
      <c r="B60" s="827">
        <v>42675</v>
      </c>
      <c r="C60" s="828">
        <v>3574</v>
      </c>
      <c r="D60" s="829">
        <v>0.11604367527959893</v>
      </c>
      <c r="E60" s="828">
        <v>30</v>
      </c>
      <c r="F60" s="828">
        <v>119.13333333333334</v>
      </c>
      <c r="G60" s="830">
        <v>207.37004772464329</v>
      </c>
      <c r="H60" s="830">
        <v>245.08424219051295</v>
      </c>
      <c r="I60" s="828">
        <v>164</v>
      </c>
      <c r="J60" s="829">
        <v>3.3145417750795026E-3</v>
      </c>
      <c r="K60" s="828">
        <v>30</v>
      </c>
      <c r="L60" s="828">
        <v>5.4666666666666668</v>
      </c>
      <c r="M60" s="830">
        <v>8.1537727666955764</v>
      </c>
      <c r="N60" s="830">
        <v>8.1537727666955764</v>
      </c>
      <c r="O60" s="830">
        <v>215.52382049133885</v>
      </c>
      <c r="P60" s="830">
        <v>253.23801495720852</v>
      </c>
      <c r="Q60" s="831">
        <v>272.09511219014337</v>
      </c>
      <c r="S60" s="827"/>
      <c r="T60" s="832"/>
    </row>
    <row r="61" spans="2:20">
      <c r="B61" s="827">
        <v>42705</v>
      </c>
      <c r="C61" s="828">
        <v>3806</v>
      </c>
      <c r="D61" s="829">
        <v>0.11604367527959893</v>
      </c>
      <c r="E61" s="828">
        <v>30</v>
      </c>
      <c r="F61" s="828">
        <v>126.86666666666666</v>
      </c>
      <c r="G61" s="830">
        <v>220.83111405707675</v>
      </c>
      <c r="H61" s="830">
        <v>673.28540397223298</v>
      </c>
      <c r="I61" s="828">
        <v>244</v>
      </c>
      <c r="J61" s="829">
        <v>3.3145417750795026E-3</v>
      </c>
      <c r="K61" s="828">
        <v>30</v>
      </c>
      <c r="L61" s="828">
        <v>8.1333333333333329</v>
      </c>
      <c r="M61" s="830">
        <v>12.131222896790979</v>
      </c>
      <c r="N61" s="830">
        <v>28.43876843018213</v>
      </c>
      <c r="O61" s="830">
        <v>232.96233695386772</v>
      </c>
      <c r="P61" s="830">
        <v>701.72417240241509</v>
      </c>
      <c r="Q61" s="833">
        <v>973.81928459255846</v>
      </c>
      <c r="S61" s="834">
        <v>42705</v>
      </c>
      <c r="T61" s="835">
        <f>Q61/$F$82</f>
        <v>342507.12551283435</v>
      </c>
    </row>
    <row r="62" spans="2:20">
      <c r="B62" s="827">
        <v>42736</v>
      </c>
      <c r="C62" s="828">
        <v>1030</v>
      </c>
      <c r="D62" s="829">
        <v>0.11604367527959893</v>
      </c>
      <c r="E62" s="828">
        <v>30</v>
      </c>
      <c r="F62" s="828">
        <v>34.333333333333336</v>
      </c>
      <c r="G62" s="830">
        <v>59.762492768993447</v>
      </c>
      <c r="H62" s="830">
        <v>953.87901079830317</v>
      </c>
      <c r="I62" s="828">
        <v>612</v>
      </c>
      <c r="J62" s="829">
        <v>3.3145417750795026E-3</v>
      </c>
      <c r="K62" s="828">
        <v>30</v>
      </c>
      <c r="L62" s="828">
        <v>20.399999999999999</v>
      </c>
      <c r="M62" s="830">
        <v>30.427493495229832</v>
      </c>
      <c r="N62" s="830">
        <v>70.997484822202949</v>
      </c>
      <c r="O62" s="830">
        <v>90.189986264223279</v>
      </c>
      <c r="P62" s="830">
        <v>1024.8764956205061</v>
      </c>
      <c r="Q62" s="831">
        <v>1024.8764956205061</v>
      </c>
      <c r="S62" s="827"/>
      <c r="T62" s="832"/>
    </row>
    <row r="63" spans="2:20">
      <c r="B63" s="827">
        <v>42767</v>
      </c>
      <c r="C63" s="828">
        <v>587</v>
      </c>
      <c r="D63" s="829">
        <v>0.11604367527959893</v>
      </c>
      <c r="E63" s="828">
        <v>30</v>
      </c>
      <c r="F63" s="828">
        <v>19.566666666666666</v>
      </c>
      <c r="G63" s="830">
        <v>34.058818694562284</v>
      </c>
      <c r="H63" s="830">
        <v>1047.7003222618589</v>
      </c>
      <c r="I63" s="828">
        <v>790</v>
      </c>
      <c r="J63" s="829">
        <v>3.3145417750795026E-3</v>
      </c>
      <c r="K63" s="828">
        <v>30</v>
      </c>
      <c r="L63" s="828">
        <v>26.333333333333332</v>
      </c>
      <c r="M63" s="830">
        <v>39.277320034692103</v>
      </c>
      <c r="N63" s="830">
        <v>140.7022983521249</v>
      </c>
      <c r="O63" s="830">
        <v>73.336138729254387</v>
      </c>
      <c r="P63" s="830">
        <v>1188.4026206139838</v>
      </c>
      <c r="Q63" s="831">
        <v>2213.2791162344902</v>
      </c>
      <c r="S63" s="827"/>
      <c r="T63" s="832"/>
    </row>
    <row r="64" spans="2:20">
      <c r="B64" s="827">
        <v>42795</v>
      </c>
      <c r="C64" s="828">
        <v>711</v>
      </c>
      <c r="D64" s="829">
        <v>0.11604367527959893</v>
      </c>
      <c r="E64" s="828">
        <v>30</v>
      </c>
      <c r="F64" s="828">
        <v>23.7</v>
      </c>
      <c r="G64" s="830">
        <v>41.253526561897417</v>
      </c>
      <c r="H64" s="830">
        <v>1123.0126675183185</v>
      </c>
      <c r="I64" s="828">
        <v>15</v>
      </c>
      <c r="J64" s="829">
        <v>3.3145417750795026E-3</v>
      </c>
      <c r="K64" s="828">
        <v>30</v>
      </c>
      <c r="L64" s="828">
        <v>0.5</v>
      </c>
      <c r="M64" s="830">
        <v>0.74577189939288802</v>
      </c>
      <c r="N64" s="830">
        <v>180.72539028620989</v>
      </c>
      <c r="O64" s="830">
        <v>41.999298461290302</v>
      </c>
      <c r="P64" s="830">
        <v>1303.7380578045284</v>
      </c>
      <c r="Q64" s="831">
        <v>3517.0171740390188</v>
      </c>
      <c r="S64" s="827"/>
      <c r="T64" s="832"/>
    </row>
    <row r="65" spans="2:20">
      <c r="B65" s="827">
        <v>42826</v>
      </c>
      <c r="C65" s="828">
        <v>191</v>
      </c>
      <c r="D65" s="829">
        <v>0.11604367527959893</v>
      </c>
      <c r="E65" s="828">
        <v>30</v>
      </c>
      <c r="F65" s="828">
        <v>6.3666666666666663</v>
      </c>
      <c r="G65" s="830">
        <v>11.082170989201698</v>
      </c>
      <c r="H65" s="830">
        <v>1175.3483650694175</v>
      </c>
      <c r="I65" s="828">
        <v>38</v>
      </c>
      <c r="J65" s="829">
        <v>3.3145417750795026E-3</v>
      </c>
      <c r="K65" s="828">
        <v>30</v>
      </c>
      <c r="L65" s="828">
        <v>1.2666666666666666</v>
      </c>
      <c r="M65" s="830">
        <v>1.8892888117953164</v>
      </c>
      <c r="N65" s="830">
        <v>183.36045099739809</v>
      </c>
      <c r="O65" s="830">
        <v>12.971459800997014</v>
      </c>
      <c r="P65" s="830">
        <v>1358.7088160668156</v>
      </c>
      <c r="Q65" s="831">
        <v>4875.7259901058342</v>
      </c>
      <c r="S65" s="827"/>
      <c r="T65" s="832"/>
    </row>
    <row r="66" spans="2:20">
      <c r="B66" s="827">
        <v>42856</v>
      </c>
      <c r="C66" s="828">
        <v>0</v>
      </c>
      <c r="D66" s="829">
        <v>0.11604367527959893</v>
      </c>
      <c r="E66" s="828">
        <v>30</v>
      </c>
      <c r="F66" s="828">
        <v>0</v>
      </c>
      <c r="G66" s="830">
        <v>0</v>
      </c>
      <c r="H66" s="830">
        <v>1186.4305360586191</v>
      </c>
      <c r="I66" s="828">
        <v>4</v>
      </c>
      <c r="J66" s="829">
        <v>3.3145417750795026E-3</v>
      </c>
      <c r="K66" s="828">
        <v>30</v>
      </c>
      <c r="L66" s="828">
        <v>0.13333333333333333</v>
      </c>
      <c r="M66" s="830">
        <v>0.19887250650477015</v>
      </c>
      <c r="N66" s="830">
        <v>185.44861231569817</v>
      </c>
      <c r="O66" s="830">
        <v>0.19887250650477015</v>
      </c>
      <c r="P66" s="830">
        <v>1371.8791483743175</v>
      </c>
      <c r="Q66" s="831">
        <v>6247.6051384801522</v>
      </c>
      <c r="S66" s="827"/>
      <c r="T66" s="832"/>
    </row>
    <row r="67" spans="2:20">
      <c r="B67" s="827">
        <v>42887</v>
      </c>
      <c r="C67" s="828">
        <v>99</v>
      </c>
      <c r="D67" s="829">
        <v>0.11604367527959893</v>
      </c>
      <c r="E67" s="828">
        <v>30</v>
      </c>
      <c r="F67" s="828">
        <v>3.3</v>
      </c>
      <c r="G67" s="830">
        <v>5.7441619263401469</v>
      </c>
      <c r="H67" s="830">
        <v>1192.1746979849593</v>
      </c>
      <c r="I67" s="828">
        <v>370</v>
      </c>
      <c r="J67" s="829">
        <v>3.3145417750795026E-3</v>
      </c>
      <c r="K67" s="828">
        <v>30</v>
      </c>
      <c r="L67" s="828">
        <v>12.333333333333334</v>
      </c>
      <c r="M67" s="830">
        <v>18.395706851691237</v>
      </c>
      <c r="N67" s="830">
        <v>204.04319167389417</v>
      </c>
      <c r="O67" s="830">
        <v>24.139868778031385</v>
      </c>
      <c r="P67" s="830">
        <v>1396.2178896588537</v>
      </c>
      <c r="Q67" s="831">
        <v>7643.8230281390061</v>
      </c>
      <c r="S67" s="827"/>
      <c r="T67" s="832"/>
    </row>
    <row r="68" spans="2:20">
      <c r="B68" s="827">
        <v>42917</v>
      </c>
      <c r="C68" s="828">
        <v>29</v>
      </c>
      <c r="D68" s="829">
        <v>0.11604367527959893</v>
      </c>
      <c r="E68" s="828">
        <v>30</v>
      </c>
      <c r="F68" s="828">
        <v>0.96666666666666667</v>
      </c>
      <c r="G68" s="830">
        <v>1.6826332915541844</v>
      </c>
      <c r="H68" s="830">
        <v>1199.6014932028536</v>
      </c>
      <c r="I68" s="828">
        <v>68</v>
      </c>
      <c r="J68" s="829">
        <v>3.3145417750795026E-3</v>
      </c>
      <c r="K68" s="828">
        <v>30</v>
      </c>
      <c r="L68" s="828">
        <v>2.2666666666666666</v>
      </c>
      <c r="M68" s="830">
        <v>3.3808326105810926</v>
      </c>
      <c r="N68" s="830">
        <v>225.8197311361665</v>
      </c>
      <c r="O68" s="830">
        <v>5.0634659021352775</v>
      </c>
      <c r="P68" s="830">
        <v>1425.4212243390202</v>
      </c>
      <c r="Q68" s="831">
        <v>9069.2442524780272</v>
      </c>
      <c r="S68" s="827"/>
      <c r="T68" s="832"/>
    </row>
    <row r="69" spans="2:20">
      <c r="B69" s="827">
        <v>42948</v>
      </c>
      <c r="C69" s="828">
        <v>20</v>
      </c>
      <c r="D69" s="829">
        <v>0.11604367527959893</v>
      </c>
      <c r="E69" s="828">
        <v>30</v>
      </c>
      <c r="F69" s="828">
        <v>0.66666666666666663</v>
      </c>
      <c r="G69" s="830">
        <v>1.1604367527959893</v>
      </c>
      <c r="H69" s="830">
        <v>1202.4445632472036</v>
      </c>
      <c r="I69" s="828">
        <v>1</v>
      </c>
      <c r="J69" s="829">
        <v>3.3145417750795026E-3</v>
      </c>
      <c r="K69" s="828">
        <v>30</v>
      </c>
      <c r="L69" s="828">
        <v>3.3333333333333333E-2</v>
      </c>
      <c r="M69" s="830">
        <v>4.9718126626192537E-2</v>
      </c>
      <c r="N69" s="830">
        <v>229.25028187337378</v>
      </c>
      <c r="O69" s="830">
        <v>1.2101548794221819</v>
      </c>
      <c r="P69" s="830">
        <v>1431.6948451205776</v>
      </c>
      <c r="Q69" s="831">
        <v>10500.939097598604</v>
      </c>
      <c r="S69" s="827"/>
      <c r="T69" s="832"/>
    </row>
    <row r="70" spans="2:20">
      <c r="B70" s="827">
        <v>42979</v>
      </c>
      <c r="C70" s="828">
        <v>0</v>
      </c>
      <c r="D70" s="829">
        <v>0.11604367527959893</v>
      </c>
      <c r="E70" s="828">
        <v>30</v>
      </c>
      <c r="F70" s="828">
        <v>0</v>
      </c>
      <c r="G70" s="830">
        <v>0</v>
      </c>
      <c r="H70" s="830">
        <v>1203.6049999999996</v>
      </c>
      <c r="I70" s="828">
        <v>0</v>
      </c>
      <c r="J70" s="829">
        <v>3.3145417750795026E-3</v>
      </c>
      <c r="K70" s="828">
        <v>30</v>
      </c>
      <c r="L70" s="828">
        <v>0</v>
      </c>
      <c r="M70" s="830">
        <v>0</v>
      </c>
      <c r="N70" s="830">
        <v>229.29999999999998</v>
      </c>
      <c r="O70" s="830">
        <v>0</v>
      </c>
      <c r="P70" s="830">
        <v>1432.9049999999997</v>
      </c>
      <c r="Q70" s="831">
        <v>11933.844097598605</v>
      </c>
      <c r="S70" s="827"/>
      <c r="T70" s="832"/>
    </row>
    <row r="71" spans="2:20">
      <c r="B71" s="827">
        <v>43009</v>
      </c>
      <c r="C71" s="828">
        <v>0</v>
      </c>
      <c r="D71" s="829">
        <v>0.11604367527959893</v>
      </c>
      <c r="E71" s="828">
        <v>30</v>
      </c>
      <c r="F71" s="828">
        <v>0</v>
      </c>
      <c r="G71" s="830">
        <v>0</v>
      </c>
      <c r="H71" s="830">
        <v>1203.6049999999996</v>
      </c>
      <c r="I71" s="828">
        <v>0</v>
      </c>
      <c r="J71" s="829">
        <v>3.3145417750795026E-3</v>
      </c>
      <c r="K71" s="828">
        <v>30</v>
      </c>
      <c r="L71" s="828">
        <v>0</v>
      </c>
      <c r="M71" s="830">
        <v>0</v>
      </c>
      <c r="N71" s="830">
        <v>229.29999999999998</v>
      </c>
      <c r="O71" s="830">
        <v>0</v>
      </c>
      <c r="P71" s="830">
        <v>1432.9049999999997</v>
      </c>
      <c r="Q71" s="831">
        <v>13366.749097598604</v>
      </c>
      <c r="S71" s="827"/>
      <c r="T71" s="832"/>
    </row>
    <row r="72" spans="2:20">
      <c r="B72" s="827">
        <v>43040</v>
      </c>
      <c r="C72" s="828">
        <v>0</v>
      </c>
      <c r="D72" s="829">
        <v>0.11604367527959893</v>
      </c>
      <c r="E72" s="828">
        <v>30</v>
      </c>
      <c r="F72" s="828">
        <v>0</v>
      </c>
      <c r="G72" s="830">
        <v>0</v>
      </c>
      <c r="H72" s="830">
        <v>1203.6049999999996</v>
      </c>
      <c r="I72" s="828">
        <v>0</v>
      </c>
      <c r="J72" s="829">
        <v>3.3145417750795026E-3</v>
      </c>
      <c r="K72" s="828">
        <v>30</v>
      </c>
      <c r="L72" s="828">
        <v>0</v>
      </c>
      <c r="M72" s="830">
        <v>0</v>
      </c>
      <c r="N72" s="830">
        <v>229.29999999999998</v>
      </c>
      <c r="O72" s="830">
        <v>0</v>
      </c>
      <c r="P72" s="830">
        <v>1432.9049999999997</v>
      </c>
      <c r="Q72" s="831">
        <v>14799.654097598603</v>
      </c>
      <c r="S72" s="827"/>
      <c r="T72" s="832"/>
    </row>
    <row r="73" spans="2:20">
      <c r="B73" s="827">
        <v>43070</v>
      </c>
      <c r="C73" s="828">
        <v>0</v>
      </c>
      <c r="D73" s="829">
        <v>0.11604367527959893</v>
      </c>
      <c r="E73" s="828">
        <v>30</v>
      </c>
      <c r="F73" s="828">
        <v>0</v>
      </c>
      <c r="G73" s="830">
        <v>0</v>
      </c>
      <c r="H73" s="830">
        <v>1203.6049999999996</v>
      </c>
      <c r="I73" s="828">
        <v>0</v>
      </c>
      <c r="J73" s="829">
        <v>3.3145417750795026E-3</v>
      </c>
      <c r="K73" s="828">
        <v>30</v>
      </c>
      <c r="L73" s="828">
        <v>0</v>
      </c>
      <c r="M73" s="830">
        <v>0</v>
      </c>
      <c r="N73" s="830">
        <v>229.29999999999998</v>
      </c>
      <c r="O73" s="830">
        <v>0</v>
      </c>
      <c r="P73" s="830">
        <v>1432.9049999999997</v>
      </c>
      <c r="Q73" s="833">
        <v>16232.559097598602</v>
      </c>
      <c r="S73" s="834">
        <v>43070</v>
      </c>
      <c r="T73" s="835">
        <f>Q73/$F$82</f>
        <v>5709239.120851757</v>
      </c>
    </row>
    <row r="74" spans="2:20">
      <c r="B74" s="836">
        <v>43435</v>
      </c>
      <c r="C74" s="837" t="s">
        <v>814</v>
      </c>
      <c r="D74" s="838"/>
      <c r="E74" s="837"/>
      <c r="F74" s="839"/>
      <c r="G74" s="840"/>
      <c r="H74" s="840"/>
      <c r="I74" s="837"/>
      <c r="J74" s="838"/>
      <c r="K74" s="837"/>
      <c r="L74" s="839"/>
      <c r="M74" s="840"/>
      <c r="N74" s="840"/>
      <c r="O74" s="840"/>
      <c r="P74" s="840"/>
      <c r="Q74" s="833">
        <v>17194.86</v>
      </c>
      <c r="S74" s="836"/>
      <c r="T74" s="832"/>
    </row>
    <row r="75" spans="2:20">
      <c r="B75" s="836">
        <v>43800</v>
      </c>
      <c r="C75" s="837" t="s">
        <v>814</v>
      </c>
      <c r="D75" s="837"/>
      <c r="E75" s="837"/>
      <c r="F75" s="837"/>
      <c r="G75" s="837"/>
      <c r="H75" s="837"/>
      <c r="I75" s="837"/>
      <c r="J75" s="837"/>
      <c r="K75" s="837"/>
      <c r="L75" s="837"/>
      <c r="M75" s="837"/>
      <c r="N75" s="837"/>
      <c r="O75" s="837"/>
      <c r="P75" s="837"/>
      <c r="Q75" s="833">
        <v>17194.859999999997</v>
      </c>
      <c r="S75" s="836"/>
      <c r="T75" s="832"/>
    </row>
    <row r="76" spans="2:20" ht="15" thickBot="1">
      <c r="B76" s="841">
        <v>44166</v>
      </c>
      <c r="C76" s="842" t="s">
        <v>814</v>
      </c>
      <c r="D76" s="842"/>
      <c r="E76" s="842"/>
      <c r="F76" s="842"/>
      <c r="G76" s="842"/>
      <c r="H76" s="842"/>
      <c r="I76" s="842"/>
      <c r="J76" s="842"/>
      <c r="K76" s="842"/>
      <c r="L76" s="842"/>
      <c r="M76" s="842"/>
      <c r="N76" s="842"/>
      <c r="O76" s="842"/>
      <c r="P76" s="842"/>
      <c r="Q76" s="843">
        <v>17194.859999999997</v>
      </c>
      <c r="S76" s="841"/>
      <c r="T76" s="844"/>
    </row>
    <row r="78" spans="2:20" ht="15.5">
      <c r="B78" s="17" t="s">
        <v>815</v>
      </c>
      <c r="C78" s="17"/>
      <c r="D78" s="17"/>
      <c r="E78" s="17"/>
      <c r="F78" s="17"/>
      <c r="G78" s="17"/>
      <c r="H78" s="17"/>
    </row>
    <row r="79" spans="2:20" ht="15.5">
      <c r="B79" s="17"/>
      <c r="C79" s="17"/>
      <c r="D79" s="17"/>
      <c r="E79" s="17"/>
      <c r="F79" s="17"/>
      <c r="G79" s="17"/>
      <c r="H79" s="17"/>
    </row>
    <row r="80" spans="2:20" ht="15.5">
      <c r="B80" s="17"/>
      <c r="C80" s="17" t="s">
        <v>816</v>
      </c>
      <c r="D80" s="17"/>
      <c r="E80" s="17"/>
      <c r="F80" s="845">
        <v>8572849</v>
      </c>
      <c r="G80" s="17"/>
      <c r="H80" s="17"/>
    </row>
    <row r="81" spans="2:8" ht="15.5">
      <c r="B81" s="17"/>
      <c r="C81" s="17" t="s">
        <v>817</v>
      </c>
      <c r="D81" s="17"/>
      <c r="E81" s="17"/>
      <c r="F81" s="845">
        <f>2031.2*12</f>
        <v>24374.400000000001</v>
      </c>
      <c r="G81" s="17"/>
      <c r="H81" s="17"/>
    </row>
    <row r="82" spans="2:8" ht="15.5">
      <c r="B82" s="17"/>
      <c r="C82" s="17" t="s">
        <v>818</v>
      </c>
      <c r="D82" s="17"/>
      <c r="E82" s="17"/>
      <c r="F82" s="846">
        <f>F81/F80</f>
        <v>2.8432088329095732E-3</v>
      </c>
      <c r="G82" s="17"/>
      <c r="H82" s="17"/>
    </row>
    <row r="83" spans="2:8">
      <c r="F83" s="847"/>
    </row>
  </sheetData>
  <mergeCells count="2">
    <mergeCell ref="B24:F24"/>
    <mergeCell ref="B18:U18"/>
  </mergeCells>
  <pageMargins left="0.70866141732283472" right="0.70866141732283472" top="0.74803149606299213" bottom="0.74803149606299213" header="0.31496062992125984" footer="0.31496062992125984"/>
  <pageSetup paperSize="3" scale="7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6:U59"/>
  <sheetViews>
    <sheetView zoomScale="80" zoomScaleNormal="80" workbookViewId="0">
      <pane ySplit="16" topLeftCell="A21" activePane="bottomLeft" state="frozen"/>
      <selection pane="bottomLeft" activeCell="B21" sqref="B21"/>
    </sheetView>
  </sheetViews>
  <sheetFormatPr defaultColWidth="9.08984375" defaultRowHeight="14.5"/>
  <cols>
    <col min="1" max="1" width="9.08984375" style="12"/>
    <col min="2" max="2" width="36.90625" style="701" customWidth="1"/>
    <col min="3" max="3" width="9.08984375" style="10"/>
    <col min="4" max="16384" width="9.08984375" style="12"/>
  </cols>
  <sheetData>
    <row r="16" spans="2:21" ht="26.25" customHeight="1">
      <c r="B16" s="702" t="s">
        <v>561</v>
      </c>
      <c r="C16" s="869" t="s">
        <v>505</v>
      </c>
      <c r="D16" s="870"/>
      <c r="E16" s="870"/>
      <c r="F16" s="870"/>
      <c r="G16" s="870"/>
      <c r="H16" s="870"/>
      <c r="I16" s="870"/>
      <c r="J16" s="870"/>
      <c r="K16" s="870"/>
      <c r="L16" s="870"/>
      <c r="M16" s="870"/>
      <c r="N16" s="870"/>
      <c r="O16" s="870"/>
      <c r="P16" s="870"/>
      <c r="Q16" s="870"/>
      <c r="R16" s="870"/>
      <c r="S16" s="870"/>
      <c r="T16" s="870"/>
      <c r="U16" s="870"/>
    </row>
    <row r="17" spans="2:21" ht="55.5" customHeight="1">
      <c r="B17" s="703" t="s">
        <v>636</v>
      </c>
      <c r="C17" s="871" t="s">
        <v>741</v>
      </c>
      <c r="D17" s="871"/>
      <c r="E17" s="871"/>
      <c r="F17" s="871"/>
      <c r="G17" s="871"/>
      <c r="H17" s="871"/>
      <c r="I17" s="871"/>
      <c r="J17" s="871"/>
      <c r="K17" s="871"/>
      <c r="L17" s="871"/>
      <c r="M17" s="871"/>
      <c r="N17" s="871"/>
      <c r="O17" s="871"/>
      <c r="P17" s="871"/>
      <c r="Q17" s="871"/>
      <c r="R17" s="871"/>
      <c r="S17" s="871"/>
      <c r="T17" s="871"/>
      <c r="U17" s="872"/>
    </row>
    <row r="18" spans="2:21" ht="15.5">
      <c r="B18" s="704"/>
      <c r="C18" s="705"/>
      <c r="D18" s="706"/>
      <c r="E18" s="706"/>
      <c r="F18" s="706"/>
      <c r="G18" s="706"/>
      <c r="H18" s="706"/>
      <c r="I18" s="706"/>
      <c r="J18" s="706"/>
      <c r="K18" s="706"/>
      <c r="L18" s="706"/>
      <c r="M18" s="706"/>
      <c r="N18" s="706"/>
      <c r="O18" s="706"/>
      <c r="P18" s="706"/>
      <c r="Q18" s="706"/>
      <c r="R18" s="706"/>
      <c r="S18" s="706"/>
      <c r="T18" s="706"/>
      <c r="U18" s="707"/>
    </row>
    <row r="19" spans="2:21" ht="15.5">
      <c r="B19" s="704"/>
      <c r="C19" s="705" t="s">
        <v>640</v>
      </c>
      <c r="D19" s="706"/>
      <c r="E19" s="706"/>
      <c r="F19" s="706"/>
      <c r="G19" s="706"/>
      <c r="H19" s="706"/>
      <c r="I19" s="706"/>
      <c r="J19" s="706"/>
      <c r="K19" s="706"/>
      <c r="L19" s="706"/>
      <c r="M19" s="706"/>
      <c r="N19" s="706"/>
      <c r="O19" s="706"/>
      <c r="P19" s="706"/>
      <c r="Q19" s="706"/>
      <c r="R19" s="706"/>
      <c r="S19" s="706"/>
      <c r="T19" s="706"/>
      <c r="U19" s="707"/>
    </row>
    <row r="20" spans="2:21" ht="15.5">
      <c r="B20" s="704"/>
      <c r="C20" s="705"/>
      <c r="D20" s="706"/>
      <c r="E20" s="706"/>
      <c r="F20" s="706"/>
      <c r="G20" s="706"/>
      <c r="H20" s="706"/>
      <c r="I20" s="706"/>
      <c r="J20" s="706"/>
      <c r="K20" s="706"/>
      <c r="L20" s="706"/>
      <c r="M20" s="706"/>
      <c r="N20" s="706"/>
      <c r="O20" s="706"/>
      <c r="P20" s="706"/>
      <c r="Q20" s="706"/>
      <c r="R20" s="706"/>
      <c r="S20" s="706"/>
      <c r="T20" s="706"/>
      <c r="U20" s="707"/>
    </row>
    <row r="21" spans="2:21" ht="15.5">
      <c r="B21" s="704"/>
      <c r="C21" s="705" t="s">
        <v>637</v>
      </c>
      <c r="D21" s="706"/>
      <c r="E21" s="706"/>
      <c r="F21" s="706"/>
      <c r="G21" s="706"/>
      <c r="H21" s="706"/>
      <c r="I21" s="706"/>
      <c r="J21" s="706"/>
      <c r="K21" s="706"/>
      <c r="L21" s="706"/>
      <c r="M21" s="706"/>
      <c r="N21" s="706"/>
      <c r="O21" s="706"/>
      <c r="P21" s="706"/>
      <c r="Q21" s="706"/>
      <c r="R21" s="706"/>
      <c r="S21" s="706"/>
      <c r="T21" s="706"/>
      <c r="U21" s="707"/>
    </row>
    <row r="22" spans="2:21" ht="15.5">
      <c r="B22" s="704"/>
      <c r="C22" s="705"/>
      <c r="D22" s="706"/>
      <c r="E22" s="706"/>
      <c r="F22" s="706"/>
      <c r="G22" s="706"/>
      <c r="H22" s="706"/>
      <c r="I22" s="706"/>
      <c r="J22" s="706"/>
      <c r="K22" s="706"/>
      <c r="L22" s="706"/>
      <c r="M22" s="706"/>
      <c r="N22" s="706"/>
      <c r="O22" s="706"/>
      <c r="P22" s="706"/>
      <c r="Q22" s="706"/>
      <c r="R22" s="706"/>
      <c r="S22" s="706"/>
      <c r="T22" s="706"/>
      <c r="U22" s="707"/>
    </row>
    <row r="23" spans="2:21" ht="30" customHeight="1">
      <c r="B23" s="704"/>
      <c r="C23" s="868" t="s">
        <v>638</v>
      </c>
      <c r="D23" s="868"/>
      <c r="E23" s="868"/>
      <c r="F23" s="868"/>
      <c r="G23" s="868"/>
      <c r="H23" s="868"/>
      <c r="I23" s="868"/>
      <c r="J23" s="868"/>
      <c r="K23" s="868"/>
      <c r="L23" s="868"/>
      <c r="M23" s="868"/>
      <c r="N23" s="868"/>
      <c r="O23" s="868"/>
      <c r="P23" s="868"/>
      <c r="Q23" s="868"/>
      <c r="R23" s="868"/>
      <c r="S23" s="868"/>
      <c r="T23" s="706"/>
      <c r="U23" s="707"/>
    </row>
    <row r="24" spans="2:21" ht="15.5">
      <c r="B24" s="704"/>
      <c r="C24" s="705"/>
      <c r="D24" s="706"/>
      <c r="E24" s="706"/>
      <c r="F24" s="706"/>
      <c r="G24" s="706"/>
      <c r="H24" s="706"/>
      <c r="I24" s="706"/>
      <c r="J24" s="706"/>
      <c r="K24" s="706"/>
      <c r="L24" s="706"/>
      <c r="M24" s="706"/>
      <c r="N24" s="706"/>
      <c r="O24" s="706"/>
      <c r="P24" s="706"/>
      <c r="Q24" s="706"/>
      <c r="R24" s="706"/>
      <c r="S24" s="706"/>
      <c r="T24" s="706"/>
      <c r="U24" s="707"/>
    </row>
    <row r="25" spans="2:21" ht="15.5">
      <c r="B25" s="704"/>
      <c r="C25" s="705" t="s">
        <v>641</v>
      </c>
      <c r="D25" s="706"/>
      <c r="E25" s="706"/>
      <c r="F25" s="706"/>
      <c r="G25" s="706"/>
      <c r="H25" s="706"/>
      <c r="I25" s="706"/>
      <c r="J25" s="706"/>
      <c r="K25" s="706"/>
      <c r="L25" s="706"/>
      <c r="M25" s="706"/>
      <c r="N25" s="706"/>
      <c r="O25" s="706"/>
      <c r="P25" s="706"/>
      <c r="Q25" s="706"/>
      <c r="R25" s="706"/>
      <c r="S25" s="706"/>
      <c r="T25" s="706"/>
      <c r="U25" s="707"/>
    </row>
    <row r="26" spans="2:21" ht="15.5">
      <c r="B26" s="704"/>
      <c r="C26" s="705"/>
      <c r="D26" s="706"/>
      <c r="E26" s="706"/>
      <c r="F26" s="706"/>
      <c r="G26" s="706"/>
      <c r="H26" s="706"/>
      <c r="I26" s="706"/>
      <c r="J26" s="706"/>
      <c r="K26" s="706"/>
      <c r="L26" s="706"/>
      <c r="M26" s="706"/>
      <c r="N26" s="706"/>
      <c r="O26" s="706"/>
      <c r="P26" s="706"/>
      <c r="Q26" s="706"/>
      <c r="R26" s="706"/>
      <c r="S26" s="706"/>
      <c r="T26" s="706"/>
      <c r="U26" s="707"/>
    </row>
    <row r="27" spans="2:21" ht="31.5" customHeight="1">
      <c r="B27" s="704"/>
      <c r="C27" s="868" t="s">
        <v>639</v>
      </c>
      <c r="D27" s="868"/>
      <c r="E27" s="868"/>
      <c r="F27" s="868"/>
      <c r="G27" s="868"/>
      <c r="H27" s="868"/>
      <c r="I27" s="868"/>
      <c r="J27" s="868"/>
      <c r="K27" s="868"/>
      <c r="L27" s="868"/>
      <c r="M27" s="868"/>
      <c r="N27" s="868"/>
      <c r="O27" s="868"/>
      <c r="P27" s="868"/>
      <c r="Q27" s="868"/>
      <c r="R27" s="868"/>
      <c r="S27" s="868"/>
      <c r="T27" s="868"/>
      <c r="U27" s="873"/>
    </row>
    <row r="28" spans="2:21" ht="15.5">
      <c r="B28" s="704"/>
      <c r="C28" s="705"/>
      <c r="D28" s="706"/>
      <c r="E28" s="706"/>
      <c r="F28" s="706"/>
      <c r="G28" s="706"/>
      <c r="H28" s="706"/>
      <c r="I28" s="706"/>
      <c r="J28" s="706"/>
      <c r="K28" s="706"/>
      <c r="L28" s="706"/>
      <c r="M28" s="706"/>
      <c r="N28" s="706"/>
      <c r="O28" s="706"/>
      <c r="P28" s="706"/>
      <c r="Q28" s="706"/>
      <c r="R28" s="706"/>
      <c r="S28" s="706"/>
      <c r="T28" s="706"/>
      <c r="U28" s="707"/>
    </row>
    <row r="29" spans="2:21" ht="31.5" customHeight="1">
      <c r="B29" s="704"/>
      <c r="C29" s="868" t="s">
        <v>642</v>
      </c>
      <c r="D29" s="868"/>
      <c r="E29" s="868"/>
      <c r="F29" s="868"/>
      <c r="G29" s="868"/>
      <c r="H29" s="868"/>
      <c r="I29" s="868"/>
      <c r="J29" s="868"/>
      <c r="K29" s="868"/>
      <c r="L29" s="868"/>
      <c r="M29" s="868"/>
      <c r="N29" s="868"/>
      <c r="O29" s="868"/>
      <c r="P29" s="868"/>
      <c r="Q29" s="868"/>
      <c r="R29" s="868"/>
      <c r="S29" s="868"/>
      <c r="T29" s="868"/>
      <c r="U29" s="873"/>
    </row>
    <row r="30" spans="2:21" ht="15.5">
      <c r="B30" s="704"/>
      <c r="C30" s="705"/>
      <c r="D30" s="706"/>
      <c r="E30" s="706"/>
      <c r="F30" s="706"/>
      <c r="G30" s="706"/>
      <c r="H30" s="706"/>
      <c r="I30" s="706"/>
      <c r="J30" s="706"/>
      <c r="K30" s="706"/>
      <c r="L30" s="706"/>
      <c r="M30" s="706"/>
      <c r="N30" s="706"/>
      <c r="O30" s="706"/>
      <c r="P30" s="706"/>
      <c r="Q30" s="706"/>
      <c r="R30" s="706"/>
      <c r="S30" s="706"/>
      <c r="T30" s="706"/>
      <c r="U30" s="707"/>
    </row>
    <row r="31" spans="2:21" ht="15.5">
      <c r="B31" s="704"/>
      <c r="C31" s="705" t="s">
        <v>643</v>
      </c>
      <c r="D31" s="706"/>
      <c r="E31" s="706"/>
      <c r="F31" s="706"/>
      <c r="G31" s="706"/>
      <c r="H31" s="706"/>
      <c r="I31" s="706"/>
      <c r="J31" s="706"/>
      <c r="K31" s="706"/>
      <c r="L31" s="706"/>
      <c r="M31" s="706"/>
      <c r="N31" s="706"/>
      <c r="O31" s="706"/>
      <c r="P31" s="706"/>
      <c r="Q31" s="706"/>
      <c r="R31" s="706"/>
      <c r="S31" s="706"/>
      <c r="T31" s="706"/>
      <c r="U31" s="707"/>
    </row>
    <row r="32" spans="2:21" ht="15.5">
      <c r="B32" s="708"/>
      <c r="C32" s="709"/>
      <c r="D32" s="710"/>
      <c r="E32" s="710"/>
      <c r="F32" s="710"/>
      <c r="G32" s="710"/>
      <c r="H32" s="710"/>
      <c r="I32" s="710"/>
      <c r="J32" s="710"/>
      <c r="K32" s="710"/>
      <c r="L32" s="710"/>
      <c r="M32" s="710"/>
      <c r="N32" s="710"/>
      <c r="O32" s="710"/>
      <c r="P32" s="710"/>
      <c r="Q32" s="710"/>
      <c r="R32" s="710"/>
      <c r="S32" s="710"/>
      <c r="T32" s="710"/>
      <c r="U32" s="711"/>
    </row>
    <row r="33" spans="2:21" ht="39" customHeight="1">
      <c r="B33" s="712" t="s">
        <v>644</v>
      </c>
      <c r="C33" s="874" t="s">
        <v>645</v>
      </c>
      <c r="D33" s="874"/>
      <c r="E33" s="874"/>
      <c r="F33" s="874"/>
      <c r="G33" s="874"/>
      <c r="H33" s="874"/>
      <c r="I33" s="874"/>
      <c r="J33" s="874"/>
      <c r="K33" s="874"/>
      <c r="L33" s="874"/>
      <c r="M33" s="874"/>
      <c r="N33" s="874"/>
      <c r="O33" s="874"/>
      <c r="P33" s="874"/>
      <c r="Q33" s="874"/>
      <c r="R33" s="874"/>
      <c r="S33" s="874"/>
      <c r="T33" s="874"/>
      <c r="U33" s="875"/>
    </row>
    <row r="34" spans="2:21">
      <c r="B34" s="713"/>
      <c r="C34" s="714"/>
      <c r="D34" s="714"/>
      <c r="E34" s="714"/>
      <c r="F34" s="714"/>
      <c r="G34" s="714"/>
      <c r="H34" s="714"/>
      <c r="I34" s="714"/>
      <c r="J34" s="714"/>
      <c r="K34" s="714"/>
      <c r="L34" s="714"/>
      <c r="M34" s="714"/>
      <c r="N34" s="714"/>
      <c r="O34" s="714"/>
      <c r="P34" s="714"/>
      <c r="Q34" s="714"/>
      <c r="R34" s="714"/>
      <c r="S34" s="714"/>
      <c r="T34" s="714"/>
      <c r="U34" s="715"/>
    </row>
    <row r="35" spans="2:21" ht="15.5">
      <c r="B35" s="716" t="s">
        <v>646</v>
      </c>
      <c r="C35" s="717" t="s">
        <v>647</v>
      </c>
      <c r="D35" s="706"/>
      <c r="E35" s="706"/>
      <c r="F35" s="706"/>
      <c r="G35" s="706"/>
      <c r="H35" s="706"/>
      <c r="I35" s="706"/>
      <c r="J35" s="706"/>
      <c r="K35" s="706"/>
      <c r="L35" s="706"/>
      <c r="M35" s="706"/>
      <c r="N35" s="706"/>
      <c r="O35" s="706"/>
      <c r="P35" s="706"/>
      <c r="Q35" s="706"/>
      <c r="R35" s="706"/>
      <c r="S35" s="706"/>
      <c r="T35" s="706"/>
      <c r="U35" s="707"/>
    </row>
    <row r="36" spans="2:21">
      <c r="B36" s="718"/>
      <c r="C36" s="710"/>
      <c r="D36" s="710"/>
      <c r="E36" s="710"/>
      <c r="F36" s="710"/>
      <c r="G36" s="710"/>
      <c r="H36" s="710"/>
      <c r="I36" s="710"/>
      <c r="J36" s="710"/>
      <c r="K36" s="710"/>
      <c r="L36" s="710"/>
      <c r="M36" s="710"/>
      <c r="N36" s="710"/>
      <c r="O36" s="710"/>
      <c r="P36" s="710"/>
      <c r="Q36" s="710"/>
      <c r="R36" s="710"/>
      <c r="S36" s="710"/>
      <c r="T36" s="710"/>
      <c r="U36" s="711"/>
    </row>
    <row r="37" spans="2:21" ht="34.5" customHeight="1">
      <c r="B37" s="703" t="s">
        <v>648</v>
      </c>
      <c r="C37" s="876" t="s">
        <v>649</v>
      </c>
      <c r="D37" s="876"/>
      <c r="E37" s="876"/>
      <c r="F37" s="876"/>
      <c r="G37" s="876"/>
      <c r="H37" s="876"/>
      <c r="I37" s="876"/>
      <c r="J37" s="876"/>
      <c r="K37" s="876"/>
      <c r="L37" s="876"/>
      <c r="M37" s="876"/>
      <c r="N37" s="876"/>
      <c r="O37" s="876"/>
      <c r="P37" s="876"/>
      <c r="Q37" s="876"/>
      <c r="R37" s="876"/>
      <c r="S37" s="876"/>
      <c r="T37" s="876"/>
      <c r="U37" s="877"/>
    </row>
    <row r="38" spans="2:21">
      <c r="B38" s="718"/>
      <c r="C38" s="710"/>
      <c r="D38" s="710"/>
      <c r="E38" s="710"/>
      <c r="F38" s="710"/>
      <c r="G38" s="710"/>
      <c r="H38" s="710"/>
      <c r="I38" s="710"/>
      <c r="J38" s="710"/>
      <c r="K38" s="710"/>
      <c r="L38" s="710"/>
      <c r="M38" s="710"/>
      <c r="N38" s="710"/>
      <c r="O38" s="710"/>
      <c r="P38" s="710"/>
      <c r="Q38" s="710"/>
      <c r="R38" s="710"/>
      <c r="S38" s="710"/>
      <c r="T38" s="710"/>
      <c r="U38" s="711"/>
    </row>
    <row r="39" spans="2:21" ht="15.5">
      <c r="B39" s="703" t="s">
        <v>650</v>
      </c>
      <c r="C39" s="719" t="s">
        <v>651</v>
      </c>
      <c r="D39" s="714"/>
      <c r="E39" s="714"/>
      <c r="F39" s="714"/>
      <c r="G39" s="714"/>
      <c r="H39" s="714"/>
      <c r="I39" s="714"/>
      <c r="J39" s="714"/>
      <c r="K39" s="714"/>
      <c r="L39" s="714"/>
      <c r="M39" s="714"/>
      <c r="N39" s="714"/>
      <c r="O39" s="714"/>
      <c r="P39" s="714"/>
      <c r="Q39" s="714"/>
      <c r="R39" s="714"/>
      <c r="S39" s="714"/>
      <c r="T39" s="714"/>
      <c r="U39" s="715"/>
    </row>
    <row r="40" spans="2:21">
      <c r="B40" s="718"/>
      <c r="C40" s="710"/>
      <c r="D40" s="710"/>
      <c r="E40" s="710"/>
      <c r="F40" s="710"/>
      <c r="G40" s="710"/>
      <c r="H40" s="710"/>
      <c r="I40" s="710"/>
      <c r="J40" s="710"/>
      <c r="K40" s="710"/>
      <c r="L40" s="710"/>
      <c r="M40" s="710"/>
      <c r="N40" s="710"/>
      <c r="O40" s="710"/>
      <c r="P40" s="710"/>
      <c r="Q40" s="710"/>
      <c r="R40" s="710"/>
      <c r="S40" s="710"/>
      <c r="T40" s="710"/>
      <c r="U40" s="711"/>
    </row>
    <row r="41" spans="2:21" ht="38.25" customHeight="1">
      <c r="B41" s="712" t="s">
        <v>652</v>
      </c>
      <c r="C41" s="878" t="s">
        <v>653</v>
      </c>
      <c r="D41" s="878"/>
      <c r="E41" s="878"/>
      <c r="F41" s="878"/>
      <c r="G41" s="878"/>
      <c r="H41" s="878"/>
      <c r="I41" s="878"/>
      <c r="J41" s="878"/>
      <c r="K41" s="878"/>
      <c r="L41" s="878"/>
      <c r="M41" s="878"/>
      <c r="N41" s="878"/>
      <c r="O41" s="878"/>
      <c r="P41" s="878"/>
      <c r="Q41" s="878"/>
      <c r="R41" s="878"/>
      <c r="S41" s="878"/>
      <c r="T41" s="878"/>
      <c r="U41" s="879"/>
    </row>
    <row r="42" spans="2:21">
      <c r="B42" s="720"/>
      <c r="C42" s="714"/>
      <c r="D42" s="714"/>
      <c r="E42" s="714"/>
      <c r="F42" s="714"/>
      <c r="G42" s="714"/>
      <c r="H42" s="714"/>
      <c r="I42" s="714"/>
      <c r="J42" s="714"/>
      <c r="K42" s="714"/>
      <c r="L42" s="714"/>
      <c r="M42" s="714"/>
      <c r="N42" s="714"/>
      <c r="O42" s="714"/>
      <c r="P42" s="714"/>
      <c r="Q42" s="714"/>
      <c r="R42" s="714"/>
      <c r="S42" s="714"/>
      <c r="T42" s="714"/>
      <c r="U42" s="715"/>
    </row>
    <row r="43" spans="2:21" ht="15.5">
      <c r="B43" s="716" t="s">
        <v>654</v>
      </c>
      <c r="C43" s="717" t="s">
        <v>655</v>
      </c>
      <c r="D43" s="706"/>
      <c r="E43" s="706"/>
      <c r="F43" s="706"/>
      <c r="G43" s="706"/>
      <c r="H43" s="706"/>
      <c r="I43" s="706"/>
      <c r="J43" s="706"/>
      <c r="K43" s="706"/>
      <c r="L43" s="706"/>
      <c r="M43" s="706"/>
      <c r="N43" s="706"/>
      <c r="O43" s="706"/>
      <c r="P43" s="706"/>
      <c r="Q43" s="706"/>
      <c r="R43" s="706"/>
      <c r="S43" s="706"/>
      <c r="T43" s="706"/>
      <c r="U43" s="707"/>
    </row>
    <row r="44" spans="2:21">
      <c r="B44" s="721"/>
      <c r="C44" s="706"/>
      <c r="D44" s="706"/>
      <c r="E44" s="706"/>
      <c r="F44" s="706"/>
      <c r="G44" s="706"/>
      <c r="H44" s="706"/>
      <c r="I44" s="706"/>
      <c r="J44" s="706"/>
      <c r="K44" s="706"/>
      <c r="L44" s="706"/>
      <c r="M44" s="706"/>
      <c r="N44" s="706"/>
      <c r="O44" s="706"/>
      <c r="P44" s="706"/>
      <c r="Q44" s="706"/>
      <c r="R44" s="706"/>
      <c r="S44" s="706"/>
      <c r="T44" s="706"/>
      <c r="U44" s="707"/>
    </row>
    <row r="45" spans="2:21" ht="36" customHeight="1">
      <c r="B45" s="721"/>
      <c r="C45" s="866" t="s">
        <v>671</v>
      </c>
      <c r="D45" s="866"/>
      <c r="E45" s="866"/>
      <c r="F45" s="866"/>
      <c r="G45" s="866"/>
      <c r="H45" s="866"/>
      <c r="I45" s="866"/>
      <c r="J45" s="866"/>
      <c r="K45" s="866"/>
      <c r="L45" s="866"/>
      <c r="M45" s="866"/>
      <c r="N45" s="866"/>
      <c r="O45" s="866"/>
      <c r="P45" s="866"/>
      <c r="Q45" s="866"/>
      <c r="R45" s="866"/>
      <c r="S45" s="866"/>
      <c r="T45" s="866"/>
      <c r="U45" s="867"/>
    </row>
    <row r="46" spans="2:21">
      <c r="B46" s="721"/>
      <c r="C46" s="722"/>
      <c r="D46" s="706"/>
      <c r="E46" s="706"/>
      <c r="F46" s="706"/>
      <c r="G46" s="706"/>
      <c r="H46" s="706"/>
      <c r="I46" s="706"/>
      <c r="J46" s="706"/>
      <c r="K46" s="706"/>
      <c r="L46" s="706"/>
      <c r="M46" s="706"/>
      <c r="N46" s="706"/>
      <c r="O46" s="706"/>
      <c r="P46" s="706"/>
      <c r="Q46" s="706"/>
      <c r="R46" s="706"/>
      <c r="S46" s="706"/>
      <c r="T46" s="706"/>
      <c r="U46" s="707"/>
    </row>
    <row r="47" spans="2:21" ht="35.25" customHeight="1">
      <c r="B47" s="721"/>
      <c r="C47" s="866" t="s">
        <v>656</v>
      </c>
      <c r="D47" s="866"/>
      <c r="E47" s="866"/>
      <c r="F47" s="866"/>
      <c r="G47" s="866"/>
      <c r="H47" s="866"/>
      <c r="I47" s="866"/>
      <c r="J47" s="866"/>
      <c r="K47" s="866"/>
      <c r="L47" s="866"/>
      <c r="M47" s="866"/>
      <c r="N47" s="866"/>
      <c r="O47" s="866"/>
      <c r="P47" s="866"/>
      <c r="Q47" s="866"/>
      <c r="R47" s="866"/>
      <c r="S47" s="866"/>
      <c r="T47" s="866"/>
      <c r="U47" s="867"/>
    </row>
    <row r="48" spans="2:21">
      <c r="B48" s="721"/>
      <c r="C48" s="722"/>
      <c r="D48" s="706"/>
      <c r="E48" s="706"/>
      <c r="F48" s="706"/>
      <c r="G48" s="706"/>
      <c r="H48" s="706"/>
      <c r="I48" s="706"/>
      <c r="J48" s="706"/>
      <c r="K48" s="706"/>
      <c r="L48" s="706"/>
      <c r="M48" s="706"/>
      <c r="N48" s="706"/>
      <c r="O48" s="706"/>
      <c r="P48" s="706"/>
      <c r="Q48" s="706"/>
      <c r="R48" s="706"/>
      <c r="S48" s="706"/>
      <c r="T48" s="706"/>
      <c r="U48" s="707"/>
    </row>
    <row r="49" spans="2:21" ht="40.5" customHeight="1">
      <c r="B49" s="721"/>
      <c r="C49" s="866" t="s">
        <v>657</v>
      </c>
      <c r="D49" s="866"/>
      <c r="E49" s="866"/>
      <c r="F49" s="866"/>
      <c r="G49" s="866"/>
      <c r="H49" s="866"/>
      <c r="I49" s="866"/>
      <c r="J49" s="866"/>
      <c r="K49" s="866"/>
      <c r="L49" s="866"/>
      <c r="M49" s="866"/>
      <c r="N49" s="866"/>
      <c r="O49" s="866"/>
      <c r="P49" s="866"/>
      <c r="Q49" s="866"/>
      <c r="R49" s="866"/>
      <c r="S49" s="866"/>
      <c r="T49" s="866"/>
      <c r="U49" s="867"/>
    </row>
    <row r="50" spans="2:21">
      <c r="B50" s="721"/>
      <c r="C50" s="722"/>
      <c r="D50" s="706"/>
      <c r="E50" s="706"/>
      <c r="F50" s="706"/>
      <c r="G50" s="706"/>
      <c r="H50" s="706"/>
      <c r="I50" s="706"/>
      <c r="J50" s="706"/>
      <c r="K50" s="706"/>
      <c r="L50" s="706"/>
      <c r="M50" s="706"/>
      <c r="N50" s="706"/>
      <c r="O50" s="706"/>
      <c r="P50" s="706"/>
      <c r="Q50" s="706"/>
      <c r="R50" s="706"/>
      <c r="S50" s="706"/>
      <c r="T50" s="706"/>
      <c r="U50" s="707"/>
    </row>
    <row r="51" spans="2:21" ht="30" customHeight="1">
      <c r="B51" s="721"/>
      <c r="C51" s="866" t="s">
        <v>658</v>
      </c>
      <c r="D51" s="866"/>
      <c r="E51" s="866"/>
      <c r="F51" s="866"/>
      <c r="G51" s="866"/>
      <c r="H51" s="866"/>
      <c r="I51" s="866"/>
      <c r="J51" s="866"/>
      <c r="K51" s="866"/>
      <c r="L51" s="866"/>
      <c r="M51" s="866"/>
      <c r="N51" s="866"/>
      <c r="O51" s="866"/>
      <c r="P51" s="866"/>
      <c r="Q51" s="866"/>
      <c r="R51" s="866"/>
      <c r="S51" s="866"/>
      <c r="T51" s="866"/>
      <c r="U51" s="867"/>
    </row>
    <row r="52" spans="2:21" ht="15.5">
      <c r="B52" s="721"/>
      <c r="C52" s="705"/>
      <c r="D52" s="706"/>
      <c r="E52" s="706"/>
      <c r="F52" s="706"/>
      <c r="G52" s="706"/>
      <c r="H52" s="706"/>
      <c r="I52" s="706"/>
      <c r="J52" s="706"/>
      <c r="K52" s="706"/>
      <c r="L52" s="706"/>
      <c r="M52" s="706"/>
      <c r="N52" s="706"/>
      <c r="O52" s="706"/>
      <c r="P52" s="706"/>
      <c r="Q52" s="706"/>
      <c r="R52" s="706"/>
      <c r="S52" s="706"/>
      <c r="T52" s="706"/>
      <c r="U52" s="707"/>
    </row>
    <row r="53" spans="2:21" ht="31.5" customHeight="1">
      <c r="B53" s="721"/>
      <c r="C53" s="868" t="s">
        <v>670</v>
      </c>
      <c r="D53" s="868"/>
      <c r="E53" s="868"/>
      <c r="F53" s="868"/>
      <c r="G53" s="868"/>
      <c r="H53" s="868"/>
      <c r="I53" s="868"/>
      <c r="J53" s="868"/>
      <c r="K53" s="868"/>
      <c r="L53" s="868"/>
      <c r="M53" s="868"/>
      <c r="N53" s="868"/>
      <c r="O53" s="868"/>
      <c r="P53" s="868"/>
      <c r="Q53" s="868"/>
      <c r="R53" s="868"/>
      <c r="S53" s="868"/>
      <c r="T53" s="868"/>
      <c r="U53" s="873"/>
    </row>
    <row r="54" spans="2:21">
      <c r="B54" s="718"/>
      <c r="C54" s="710"/>
      <c r="D54" s="710"/>
      <c r="E54" s="710"/>
      <c r="F54" s="710"/>
      <c r="G54" s="710"/>
      <c r="H54" s="710"/>
      <c r="I54" s="710"/>
      <c r="J54" s="710"/>
      <c r="K54" s="710"/>
      <c r="L54" s="710"/>
      <c r="M54" s="710"/>
      <c r="N54" s="710"/>
      <c r="O54" s="710"/>
      <c r="P54" s="710"/>
      <c r="Q54" s="710"/>
      <c r="R54" s="710"/>
      <c r="S54" s="710"/>
      <c r="T54" s="710"/>
      <c r="U54" s="711"/>
    </row>
    <row r="55" spans="2:21" ht="48" customHeight="1">
      <c r="B55" s="703" t="s">
        <v>659</v>
      </c>
      <c r="C55" s="876" t="s">
        <v>660</v>
      </c>
      <c r="D55" s="876"/>
      <c r="E55" s="876"/>
      <c r="F55" s="876"/>
      <c r="G55" s="876"/>
      <c r="H55" s="876"/>
      <c r="I55" s="876"/>
      <c r="J55" s="876"/>
      <c r="K55" s="876"/>
      <c r="L55" s="876"/>
      <c r="M55" s="876"/>
      <c r="N55" s="876"/>
      <c r="O55" s="876"/>
      <c r="P55" s="876"/>
      <c r="Q55" s="876"/>
      <c r="R55" s="876"/>
      <c r="S55" s="876"/>
      <c r="T55" s="876"/>
      <c r="U55" s="877"/>
    </row>
    <row r="56" spans="2:21">
      <c r="B56" s="718"/>
      <c r="C56" s="710"/>
      <c r="D56" s="710"/>
      <c r="E56" s="710"/>
      <c r="F56" s="710"/>
      <c r="G56" s="710"/>
      <c r="H56" s="710"/>
      <c r="I56" s="710"/>
      <c r="J56" s="710"/>
      <c r="K56" s="710"/>
      <c r="L56" s="710"/>
      <c r="M56" s="710"/>
      <c r="N56" s="710"/>
      <c r="O56" s="710"/>
      <c r="P56" s="710"/>
      <c r="Q56" s="710"/>
      <c r="R56" s="710"/>
      <c r="S56" s="710"/>
      <c r="T56" s="710"/>
      <c r="U56" s="711"/>
    </row>
    <row r="57" spans="2:21" ht="34.5" customHeight="1">
      <c r="B57" s="703" t="s">
        <v>661</v>
      </c>
      <c r="C57" s="876" t="s">
        <v>662</v>
      </c>
      <c r="D57" s="876"/>
      <c r="E57" s="876"/>
      <c r="F57" s="876"/>
      <c r="G57" s="876"/>
      <c r="H57" s="876"/>
      <c r="I57" s="876"/>
      <c r="J57" s="876"/>
      <c r="K57" s="876"/>
      <c r="L57" s="876"/>
      <c r="M57" s="876"/>
      <c r="N57" s="876"/>
      <c r="O57" s="876"/>
      <c r="P57" s="876"/>
      <c r="Q57" s="876"/>
      <c r="R57" s="876"/>
      <c r="S57" s="876"/>
      <c r="T57" s="876"/>
      <c r="U57" s="877"/>
    </row>
    <row r="58" spans="2:21">
      <c r="B58" s="723"/>
      <c r="C58" s="710"/>
      <c r="D58" s="710"/>
      <c r="E58" s="710"/>
      <c r="F58" s="710"/>
      <c r="G58" s="710"/>
      <c r="H58" s="710"/>
      <c r="I58" s="710"/>
      <c r="J58" s="710"/>
      <c r="K58" s="710"/>
      <c r="L58" s="710"/>
      <c r="M58" s="710"/>
      <c r="N58" s="710"/>
      <c r="O58" s="710"/>
      <c r="P58" s="710"/>
      <c r="Q58" s="710"/>
      <c r="R58" s="710"/>
      <c r="S58" s="710"/>
      <c r="T58" s="710"/>
      <c r="U58" s="711"/>
    </row>
    <row r="59" spans="2:21" ht="30.75" customHeight="1">
      <c r="B59" s="712" t="s">
        <v>663</v>
      </c>
      <c r="C59" s="724" t="s">
        <v>664</v>
      </c>
      <c r="D59" s="725"/>
      <c r="E59" s="725"/>
      <c r="F59" s="725"/>
      <c r="G59" s="725"/>
      <c r="H59" s="725"/>
      <c r="I59" s="725"/>
      <c r="J59" s="725"/>
      <c r="K59" s="725"/>
      <c r="L59" s="725"/>
      <c r="M59" s="725"/>
      <c r="N59" s="725"/>
      <c r="O59" s="725"/>
      <c r="P59" s="725"/>
      <c r="Q59" s="725"/>
      <c r="R59" s="725"/>
      <c r="S59" s="725"/>
      <c r="T59" s="725"/>
      <c r="U59" s="726"/>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0866141732283472" right="0.70866141732283472" top="0.74803149606299213" bottom="0.74803149606299213" header="0.31496062992125984" footer="0.31496062992125984"/>
  <pageSetup paperSize="3" scale="80" orientation="landscape" r:id="rId1"/>
  <rowBreaks count="1" manualBreakCount="1">
    <brk id="4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4"/>
  <sheetViews>
    <sheetView topLeftCell="A6" zoomScale="85" zoomScaleNormal="85" workbookViewId="0">
      <selection activeCell="D11" sqref="D11"/>
    </sheetView>
  </sheetViews>
  <sheetFormatPr defaultColWidth="9.08984375" defaultRowHeight="15.5"/>
  <cols>
    <col min="1" max="1" width="3.08984375" style="12" customWidth="1"/>
    <col min="2" max="2" width="61.6328125" style="10" customWidth="1"/>
    <col min="3" max="3" width="58.6328125" style="12" customWidth="1"/>
    <col min="4" max="4" width="62.54296875" style="12" customWidth="1"/>
    <col min="5" max="5" width="42" style="12" customWidth="1"/>
    <col min="6" max="6" width="44.1796875" style="12" customWidth="1"/>
    <col min="7" max="7" width="9.08984375" style="16"/>
    <col min="8" max="10" width="9.08984375" style="12"/>
    <col min="11" max="11" width="26.08984375" style="12" customWidth="1"/>
    <col min="12" max="12" width="59.90625" style="17" customWidth="1"/>
    <col min="13" max="13" width="14.6328125" style="25" customWidth="1"/>
    <col min="14" max="14" width="29.6328125" style="17" customWidth="1"/>
    <col min="15" max="16384" width="9.08984375" style="12"/>
  </cols>
  <sheetData>
    <row r="1" spans="2:20" ht="146.25" customHeight="1"/>
    <row r="3" spans="2:20" ht="25.5" customHeight="1">
      <c r="B3" s="881" t="s">
        <v>736</v>
      </c>
      <c r="C3" s="882"/>
      <c r="D3" s="882"/>
      <c r="E3" s="882"/>
      <c r="F3" s="883"/>
      <c r="G3" s="122"/>
    </row>
    <row r="4" spans="2:20" ht="16.5" customHeight="1">
      <c r="B4" s="884"/>
      <c r="C4" s="885"/>
      <c r="D4" s="885"/>
      <c r="E4" s="885"/>
      <c r="F4" s="886"/>
      <c r="G4" s="122"/>
    </row>
    <row r="5" spans="2:20" ht="71.25" customHeight="1">
      <c r="B5" s="884"/>
      <c r="C5" s="885"/>
      <c r="D5" s="885"/>
      <c r="E5" s="885"/>
      <c r="F5" s="886"/>
      <c r="G5" s="122"/>
    </row>
    <row r="6" spans="2:20" ht="21.65" customHeight="1">
      <c r="B6" s="887"/>
      <c r="C6" s="888"/>
      <c r="D6" s="888"/>
      <c r="E6" s="888"/>
      <c r="F6" s="889"/>
      <c r="G6" s="122"/>
    </row>
    <row r="8" spans="2:20" ht="20">
      <c r="B8" s="880" t="s">
        <v>481</v>
      </c>
      <c r="C8" s="880"/>
      <c r="D8" s="880"/>
      <c r="E8" s="880"/>
      <c r="F8" s="880"/>
      <c r="G8" s="880"/>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590</v>
      </c>
      <c r="G12" s="28"/>
      <c r="L12" s="33"/>
      <c r="M12" s="33"/>
      <c r="N12" s="33"/>
      <c r="O12" s="33"/>
      <c r="P12" s="33"/>
      <c r="Q12" s="68"/>
      <c r="S12" s="8"/>
      <c r="T12" s="8"/>
    </row>
    <row r="13" spans="2:20" s="9" customFormat="1" ht="26.25" customHeight="1" thickBot="1">
      <c r="B13" s="102"/>
      <c r="C13" s="124" t="s">
        <v>629</v>
      </c>
      <c r="G13" s="109"/>
      <c r="L13" s="33"/>
      <c r="M13" s="33"/>
      <c r="N13" s="33"/>
      <c r="O13" s="33"/>
      <c r="P13" s="33"/>
      <c r="Q13" s="68"/>
      <c r="S13" s="8"/>
      <c r="T13" s="8"/>
    </row>
    <row r="14" spans="2:20" s="9" customFormat="1" ht="26.25" customHeight="1" thickBot="1">
      <c r="B14" s="102"/>
      <c r="C14" s="172" t="s">
        <v>624</v>
      </c>
      <c r="G14" s="123"/>
      <c r="L14" s="33"/>
      <c r="M14" s="33"/>
      <c r="N14" s="33"/>
      <c r="O14" s="33"/>
      <c r="P14" s="33"/>
      <c r="Q14" s="68"/>
      <c r="S14" s="8"/>
      <c r="T14" s="8"/>
    </row>
    <row r="15" spans="2:20" s="9" customFormat="1" ht="26.25" customHeight="1" thickBot="1">
      <c r="B15" s="102"/>
      <c r="C15" s="172" t="s">
        <v>625</v>
      </c>
      <c r="G15" s="123"/>
      <c r="L15" s="33"/>
      <c r="M15" s="33"/>
      <c r="N15" s="33"/>
      <c r="O15" s="33"/>
      <c r="P15" s="33"/>
      <c r="Q15" s="68"/>
      <c r="S15" s="8"/>
      <c r="T15" s="8"/>
    </row>
    <row r="16" spans="2:20" s="9" customFormat="1" ht="26.25" customHeight="1" thickBot="1">
      <c r="B16" s="102"/>
      <c r="C16" s="172" t="s">
        <v>626</v>
      </c>
      <c r="G16" s="123"/>
      <c r="L16" s="33"/>
      <c r="M16" s="33"/>
      <c r="N16" s="33"/>
      <c r="O16" s="33"/>
      <c r="P16" s="33"/>
      <c r="Q16" s="68"/>
      <c r="S16" s="8"/>
      <c r="T16" s="8"/>
    </row>
    <row r="17" spans="2:20" s="9" customFormat="1" ht="26.25" customHeight="1" thickBot="1">
      <c r="B17" s="102"/>
      <c r="C17" s="124" t="s">
        <v>627</v>
      </c>
      <c r="G17" s="109"/>
      <c r="L17" s="33"/>
      <c r="M17" s="33"/>
      <c r="N17" s="33"/>
      <c r="O17" s="33"/>
      <c r="P17" s="33"/>
      <c r="Q17" s="68"/>
      <c r="S17" s="8"/>
      <c r="T17" s="8"/>
    </row>
    <row r="18" spans="2:20" s="9" customFormat="1" ht="26.25" customHeight="1" thickBot="1">
      <c r="B18" s="102"/>
      <c r="C18" s="124" t="s">
        <v>628</v>
      </c>
      <c r="G18" s="123"/>
      <c r="L18" s="33"/>
      <c r="M18" s="33"/>
      <c r="N18" s="33"/>
      <c r="O18" s="33"/>
      <c r="P18" s="33"/>
      <c r="Q18" s="68"/>
      <c r="S18" s="8"/>
      <c r="T18" s="8"/>
    </row>
    <row r="19" spans="2:20" s="9" customFormat="1" ht="26.25" customHeight="1" thickBot="1">
      <c r="B19" s="102"/>
      <c r="C19" s="124" t="s">
        <v>630</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7" t="s">
        <v>543</v>
      </c>
      <c r="C22" s="653" t="s">
        <v>437</v>
      </c>
      <c r="D22" s="656" t="s">
        <v>443</v>
      </c>
      <c r="E22" s="660" t="s">
        <v>589</v>
      </c>
      <c r="F22" s="656" t="s">
        <v>448</v>
      </c>
      <c r="G22" s="174"/>
      <c r="M22" s="645"/>
      <c r="T22" s="645"/>
    </row>
    <row r="23" spans="2:20" s="103" customFormat="1" ht="35.25" customHeight="1">
      <c r="B23" s="648" t="s">
        <v>458</v>
      </c>
      <c r="C23" s="654" t="s">
        <v>438</v>
      </c>
      <c r="D23" s="657" t="s">
        <v>444</v>
      </c>
      <c r="E23" s="661" t="s">
        <v>589</v>
      </c>
      <c r="F23" s="657" t="s">
        <v>448</v>
      </c>
      <c r="G23" s="174"/>
      <c r="M23" s="645"/>
      <c r="T23" s="645"/>
    </row>
    <row r="24" spans="2:20" s="103" customFormat="1" ht="34.5" customHeight="1">
      <c r="B24" s="648" t="s">
        <v>455</v>
      </c>
      <c r="C24" s="654" t="s">
        <v>438</v>
      </c>
      <c r="D24" s="657" t="s">
        <v>445</v>
      </c>
      <c r="E24" s="661" t="s">
        <v>589</v>
      </c>
      <c r="F24" s="657" t="s">
        <v>448</v>
      </c>
      <c r="G24" s="174"/>
      <c r="M24" s="645"/>
      <c r="T24" s="645"/>
    </row>
    <row r="25" spans="2:20" s="103" customFormat="1" ht="32.25" customHeight="1">
      <c r="B25" s="649" t="s">
        <v>456</v>
      </c>
      <c r="C25" s="654" t="s">
        <v>437</v>
      </c>
      <c r="D25" s="657" t="s">
        <v>446</v>
      </c>
      <c r="E25" s="662" t="s">
        <v>608</v>
      </c>
      <c r="F25" s="665"/>
      <c r="G25" s="174"/>
      <c r="M25" s="645"/>
      <c r="T25" s="645"/>
    </row>
    <row r="26" spans="2:20" s="103" customFormat="1" ht="30.75" customHeight="1">
      <c r="B26" s="650" t="s">
        <v>541</v>
      </c>
      <c r="C26" s="654" t="s">
        <v>437</v>
      </c>
      <c r="D26" s="657"/>
      <c r="E26" s="662"/>
      <c r="F26" s="665"/>
      <c r="G26" s="174"/>
      <c r="M26" s="645"/>
      <c r="T26" s="645"/>
    </row>
    <row r="27" spans="2:20" s="103" customFormat="1" ht="32.25" customHeight="1">
      <c r="B27" s="651" t="s">
        <v>542</v>
      </c>
      <c r="C27" s="654" t="s">
        <v>437</v>
      </c>
      <c r="D27" s="658" t="s">
        <v>538</v>
      </c>
      <c r="E27" s="662"/>
      <c r="F27" s="665"/>
      <c r="G27" s="174"/>
      <c r="M27" s="645"/>
      <c r="T27" s="645"/>
    </row>
    <row r="28" spans="2:20" s="103" customFormat="1" ht="27" customHeight="1">
      <c r="B28" s="649" t="s">
        <v>457</v>
      </c>
      <c r="C28" s="654" t="s">
        <v>440</v>
      </c>
      <c r="D28" s="657" t="s">
        <v>482</v>
      </c>
      <c r="E28" s="662" t="s">
        <v>459</v>
      </c>
      <c r="F28" s="665"/>
      <c r="G28" s="174"/>
      <c r="M28" s="645"/>
      <c r="T28" s="645"/>
    </row>
    <row r="29" spans="2:20" s="103" customFormat="1" ht="27" customHeight="1">
      <c r="B29" s="651" t="s">
        <v>452</v>
      </c>
      <c r="C29" s="654" t="s">
        <v>437</v>
      </c>
      <c r="D29" s="657"/>
      <c r="E29" s="662"/>
      <c r="F29" s="657" t="s">
        <v>407</v>
      </c>
      <c r="G29" s="174"/>
      <c r="M29" s="645"/>
      <c r="T29" s="645"/>
    </row>
    <row r="30" spans="2:20" s="103" customFormat="1" ht="32.25" customHeight="1">
      <c r="B30" s="649" t="s">
        <v>207</v>
      </c>
      <c r="C30" s="654" t="s">
        <v>442</v>
      </c>
      <c r="D30" s="657" t="s">
        <v>555</v>
      </c>
      <c r="E30" s="663"/>
      <c r="F30" s="657" t="s">
        <v>554</v>
      </c>
      <c r="G30" s="646"/>
      <c r="M30" s="645"/>
    </row>
    <row r="31" spans="2:20" s="103" customFormat="1" ht="27.75" customHeight="1">
      <c r="B31" s="652" t="s">
        <v>539</v>
      </c>
      <c r="C31" s="655" t="s">
        <v>441</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08984375" defaultRowHeight="14.5"/>
  <cols>
    <col min="1" max="1" width="61.08984375" style="12" bestFit="1" customWidth="1"/>
    <col min="2" max="2" width="13.6328125" style="12" customWidth="1"/>
    <col min="3" max="3" width="9.08984375" style="10"/>
    <col min="4" max="4" width="15" style="12" customWidth="1"/>
    <col min="5" max="5" width="11.54296875" style="10" customWidth="1"/>
    <col min="6" max="6" width="24.08984375" style="12" customWidth="1"/>
    <col min="7" max="7" width="32" style="12" customWidth="1"/>
    <col min="8" max="8" width="14.6328125" style="12" customWidth="1"/>
    <col min="9" max="16384" width="9.08984375" style="12"/>
  </cols>
  <sheetData>
    <row r="1" spans="1:8">
      <c r="A1" s="8" t="s">
        <v>410</v>
      </c>
      <c r="B1" s="8" t="s">
        <v>41</v>
      </c>
      <c r="C1" s="120" t="s">
        <v>234</v>
      </c>
      <c r="D1" s="8" t="s">
        <v>415</v>
      </c>
      <c r="E1" s="120" t="s">
        <v>450</v>
      </c>
      <c r="F1" s="120" t="s">
        <v>549</v>
      </c>
      <c r="G1" s="120" t="s">
        <v>572</v>
      </c>
      <c r="H1" s="120" t="s">
        <v>583</v>
      </c>
    </row>
    <row r="2" spans="1:8">
      <c r="A2" s="12" t="s">
        <v>29</v>
      </c>
      <c r="B2" s="12" t="s">
        <v>27</v>
      </c>
      <c r="C2" s="10">
        <v>2006</v>
      </c>
      <c r="D2" s="12" t="s">
        <v>416</v>
      </c>
      <c r="E2" s="10">
        <f>'2. LRAMVA Threshold'!D9</f>
        <v>2015</v>
      </c>
      <c r="F2" s="26" t="s">
        <v>170</v>
      </c>
      <c r="G2" s="12" t="s">
        <v>573</v>
      </c>
      <c r="H2" s="12" t="s">
        <v>591</v>
      </c>
    </row>
    <row r="3" spans="1:8">
      <c r="A3" s="12" t="s">
        <v>371</v>
      </c>
      <c r="B3" s="12" t="s">
        <v>27</v>
      </c>
      <c r="C3" s="10">
        <v>2007</v>
      </c>
      <c r="D3" s="12" t="s">
        <v>417</v>
      </c>
      <c r="E3" s="10">
        <f>'2. LRAMVA Threshold'!D24</f>
        <v>0</v>
      </c>
      <c r="F3" s="12" t="s">
        <v>550</v>
      </c>
      <c r="G3" s="12" t="s">
        <v>574</v>
      </c>
      <c r="H3" s="12" t="s">
        <v>584</v>
      </c>
    </row>
    <row r="4" spans="1:8">
      <c r="A4" s="12" t="s">
        <v>372</v>
      </c>
      <c r="B4" s="12" t="s">
        <v>28</v>
      </c>
      <c r="C4" s="10">
        <v>2008</v>
      </c>
      <c r="D4" s="12" t="s">
        <v>418</v>
      </c>
      <c r="F4" s="12" t="s">
        <v>169</v>
      </c>
      <c r="G4" s="12" t="s">
        <v>575</v>
      </c>
    </row>
    <row r="5" spans="1:8">
      <c r="A5" s="12" t="s">
        <v>373</v>
      </c>
      <c r="B5" s="12" t="s">
        <v>28</v>
      </c>
      <c r="C5" s="10">
        <v>2009</v>
      </c>
      <c r="F5" s="12" t="s">
        <v>368</v>
      </c>
      <c r="G5" s="12" t="s">
        <v>576</v>
      </c>
    </row>
    <row r="6" spans="1:8">
      <c r="A6" s="12" t="s">
        <v>374</v>
      </c>
      <c r="B6" s="12" t="s">
        <v>28</v>
      </c>
      <c r="C6" s="10">
        <v>2010</v>
      </c>
      <c r="F6" s="12" t="s">
        <v>369</v>
      </c>
      <c r="G6" s="12" t="s">
        <v>577</v>
      </c>
    </row>
    <row r="7" spans="1:8">
      <c r="A7" s="12" t="s">
        <v>375</v>
      </c>
      <c r="B7" s="12" t="s">
        <v>28</v>
      </c>
      <c r="C7" s="10">
        <v>2011</v>
      </c>
      <c r="F7" s="12" t="s">
        <v>370</v>
      </c>
      <c r="G7" s="12" t="s">
        <v>578</v>
      </c>
    </row>
    <row r="8" spans="1:8">
      <c r="A8" s="12" t="s">
        <v>376</v>
      </c>
      <c r="B8" s="12" t="s">
        <v>28</v>
      </c>
      <c r="C8" s="10">
        <v>2012</v>
      </c>
      <c r="F8" s="12" t="s">
        <v>558</v>
      </c>
      <c r="G8" s="12" t="s">
        <v>579</v>
      </c>
    </row>
    <row r="9" spans="1:8">
      <c r="A9" s="12" t="s">
        <v>377</v>
      </c>
      <c r="B9" s="12" t="s">
        <v>28</v>
      </c>
      <c r="C9" s="10">
        <v>2013</v>
      </c>
      <c r="G9" s="12" t="s">
        <v>580</v>
      </c>
    </row>
    <row r="10" spans="1:8">
      <c r="A10" s="12" t="s">
        <v>378</v>
      </c>
      <c r="B10" s="12" t="s">
        <v>28</v>
      </c>
      <c r="C10" s="10">
        <v>2014</v>
      </c>
      <c r="G10" s="12" t="s">
        <v>581</v>
      </c>
    </row>
    <row r="11" spans="1:8">
      <c r="A11" s="12" t="s">
        <v>379</v>
      </c>
      <c r="B11" s="12" t="s">
        <v>28</v>
      </c>
      <c r="C11" s="10">
        <v>2015</v>
      </c>
      <c r="G11" s="12" t="s">
        <v>582</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12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V108"/>
  <sheetViews>
    <sheetView topLeftCell="C19" zoomScale="80" zoomScaleNormal="80" workbookViewId="0">
      <selection activeCell="H34" sqref="H34"/>
    </sheetView>
  </sheetViews>
  <sheetFormatPr defaultColWidth="9.08984375" defaultRowHeight="15.5" outlineLevelRow="1" outlineLevelCol="1"/>
  <cols>
    <col min="1" max="1" width="2.6328125" style="9" customWidth="1"/>
    <col min="2" max="2" width="33.54296875" style="9" customWidth="1"/>
    <col min="3" max="4" width="29.54296875" style="9" customWidth="1"/>
    <col min="5" max="5" width="24.453125" style="17" customWidth="1"/>
    <col min="6" max="6" width="34.453125" style="9" customWidth="1"/>
    <col min="7" max="7" width="27.54296875" style="9" customWidth="1"/>
    <col min="8" max="8" width="28.90625" style="9" customWidth="1"/>
    <col min="9" max="9" width="23.08984375" style="9" customWidth="1"/>
    <col min="10" max="10" width="22" style="9" customWidth="1"/>
    <col min="11" max="11" width="19.6328125" style="9" customWidth="1"/>
    <col min="12" max="12" width="21.6328125" style="9" customWidth="1"/>
    <col min="13" max="13" width="24" style="9" hidden="1" customWidth="1" outlineLevel="1"/>
    <col min="14" max="14" width="24.08984375" style="9" hidden="1" customWidth="1" outlineLevel="1"/>
    <col min="15" max="15" width="21.453125" style="9" hidden="1" customWidth="1" outlineLevel="1"/>
    <col min="16" max="16" width="22.08984375" style="9" hidden="1" customWidth="1" outlineLevel="1"/>
    <col min="17" max="17" width="16.453125" style="9" hidden="1" customWidth="1" outlineLevel="1"/>
    <col min="18" max="18" width="15.54296875" style="9" customWidth="1" collapsed="1"/>
    <col min="19" max="19" width="17.08984375" style="9" customWidth="1"/>
    <col min="20" max="20" width="13.6328125" style="8" customWidth="1"/>
    <col min="21" max="21" width="6.36328125" style="8" customWidth="1"/>
    <col min="22" max="22" width="13.54296875" style="9" customWidth="1"/>
    <col min="23" max="23" width="15.36328125" style="9" customWidth="1"/>
    <col min="24" max="16384" width="9.0898437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551</v>
      </c>
      <c r="D6" s="17"/>
      <c r="E6" s="9"/>
      <c r="T6" s="9"/>
      <c r="V6" s="8"/>
    </row>
    <row r="7" spans="2:22" ht="21" customHeight="1">
      <c r="B7" s="537"/>
      <c r="C7" s="17"/>
      <c r="D7" s="17"/>
      <c r="E7" s="9"/>
      <c r="T7" s="9"/>
      <c r="V7" s="8"/>
    </row>
    <row r="8" spans="2:22" ht="24.75" customHeight="1">
      <c r="B8" s="117" t="s">
        <v>239</v>
      </c>
      <c r="C8" s="189" t="s">
        <v>757</v>
      </c>
      <c r="D8" s="601"/>
      <c r="E8" s="9"/>
      <c r="T8" s="9"/>
      <c r="V8" s="8"/>
    </row>
    <row r="9" spans="2:22" ht="41.25" customHeight="1">
      <c r="B9" s="551" t="s">
        <v>520</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556</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2" t="s">
        <v>758</v>
      </c>
      <c r="E14" s="130"/>
      <c r="F14" s="124" t="s">
        <v>548</v>
      </c>
      <c r="H14" s="542" t="s">
        <v>761</v>
      </c>
      <c r="J14" s="124" t="s">
        <v>515</v>
      </c>
      <c r="L14" s="132"/>
      <c r="N14" s="103"/>
      <c r="Q14" s="99"/>
      <c r="R14" s="96"/>
    </row>
    <row r="15" spans="2:22" ht="26.25" customHeight="1" thickBot="1">
      <c r="B15" s="124" t="s">
        <v>424</v>
      </c>
      <c r="C15" s="106"/>
      <c r="D15" s="542" t="s">
        <v>759</v>
      </c>
      <c r="F15" s="124" t="s">
        <v>414</v>
      </c>
      <c r="G15" s="127"/>
      <c r="H15" s="542" t="s">
        <v>762</v>
      </c>
      <c r="I15" s="17"/>
      <c r="J15" s="124" t="s">
        <v>516</v>
      </c>
      <c r="L15" s="132"/>
      <c r="M15" s="103"/>
      <c r="Q15" s="108"/>
      <c r="R15" s="96"/>
    </row>
    <row r="16" spans="2:22" ht="28.5" customHeight="1" thickBot="1">
      <c r="B16" s="124" t="s">
        <v>454</v>
      </c>
      <c r="C16" s="106"/>
      <c r="D16" s="543" t="s">
        <v>760</v>
      </c>
      <c r="E16" s="103"/>
      <c r="F16" s="124" t="s">
        <v>434</v>
      </c>
      <c r="G16" s="125"/>
      <c r="H16" s="543" t="s">
        <v>763</v>
      </c>
      <c r="I16" s="103"/>
      <c r="K16" s="195"/>
      <c r="L16" s="195"/>
      <c r="M16" s="195"/>
      <c r="N16" s="195"/>
      <c r="Q16" s="115"/>
      <c r="R16" s="96"/>
    </row>
    <row r="17" spans="1:21" ht="29.25" customHeight="1">
      <c r="B17" s="124" t="s">
        <v>421</v>
      </c>
      <c r="C17" s="106"/>
      <c r="D17" s="730">
        <v>-50225</v>
      </c>
      <c r="E17" s="121"/>
      <c r="F17" s="737" t="s">
        <v>674</v>
      </c>
      <c r="G17" s="195"/>
      <c r="H17" s="731">
        <v>1</v>
      </c>
      <c r="I17" s="17"/>
      <c r="M17" s="195"/>
      <c r="N17" s="195"/>
      <c r="P17" s="99"/>
      <c r="Q17" s="99"/>
      <c r="R17" s="96"/>
    </row>
    <row r="18" spans="1:21" s="28" customFormat="1" ht="29.25" customHeight="1">
      <c r="B18" s="124"/>
      <c r="C18" s="732"/>
      <c r="D18" s="729"/>
      <c r="E18" s="733"/>
      <c r="F18" s="728"/>
      <c r="G18" s="734"/>
      <c r="H18" s="735"/>
      <c r="I18" s="163"/>
      <c r="M18" s="734"/>
      <c r="N18" s="734"/>
      <c r="P18" s="734"/>
      <c r="Q18" s="734"/>
      <c r="R18" s="736"/>
      <c r="T18" s="37"/>
      <c r="U18" s="37"/>
    </row>
    <row r="19" spans="1:21" ht="27.75" customHeight="1" thickBot="1">
      <c r="E19" s="9"/>
      <c r="F19" s="124" t="s">
        <v>435</v>
      </c>
      <c r="G19" s="603" t="s">
        <v>363</v>
      </c>
      <c r="H19" s="242">
        <f>SUM(R54,R57,R60,R63,R66,R69,R72,R75,R78)</f>
        <v>3108181.2728416668</v>
      </c>
      <c r="I19" s="863" t="s">
        <v>822</v>
      </c>
      <c r="J19" s="115"/>
      <c r="K19" s="115"/>
      <c r="L19" s="115"/>
      <c r="M19" s="115"/>
      <c r="N19" s="115"/>
      <c r="P19" s="115"/>
      <c r="Q19" s="115"/>
      <c r="R19" s="96"/>
    </row>
    <row r="20" spans="1:21" ht="27.75" customHeight="1" thickBot="1">
      <c r="E20" s="9"/>
      <c r="F20" s="124" t="s">
        <v>436</v>
      </c>
      <c r="G20" s="603" t="s">
        <v>364</v>
      </c>
      <c r="H20" s="131">
        <f>-SUM(R55,R58,R61,R64,R67,R70,R73,R76,R79)</f>
        <v>3007078.0833620522</v>
      </c>
      <c r="I20" s="863" t="s">
        <v>822</v>
      </c>
      <c r="J20" s="115"/>
      <c r="P20" s="115"/>
      <c r="Q20" s="115"/>
      <c r="R20" s="96"/>
    </row>
    <row r="21" spans="1:21" ht="27.75" customHeight="1" thickBot="1">
      <c r="C21" s="32"/>
      <c r="D21" s="32"/>
      <c r="E21" s="32"/>
      <c r="F21" s="124" t="s">
        <v>408</v>
      </c>
      <c r="G21" s="603" t="s">
        <v>365</v>
      </c>
      <c r="H21" s="188">
        <f>R84</f>
        <v>14271.402836902127</v>
      </c>
      <c r="I21" s="863" t="s">
        <v>823</v>
      </c>
      <c r="P21" s="115"/>
      <c r="Q21" s="115"/>
      <c r="R21" s="96"/>
    </row>
    <row r="22" spans="1:21" ht="27.75" customHeight="1">
      <c r="C22" s="32"/>
      <c r="D22" s="32"/>
      <c r="E22" s="32"/>
      <c r="F22" s="124" t="s">
        <v>510</v>
      </c>
      <c r="G22" s="603" t="s">
        <v>449</v>
      </c>
      <c r="H22" s="188">
        <f>H19-H20+H21</f>
        <v>115374.59231651673</v>
      </c>
      <c r="I22" s="864" t="s">
        <v>824</v>
      </c>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892" t="s">
        <v>681</v>
      </c>
      <c r="C26" s="892"/>
      <c r="D26" s="892"/>
      <c r="E26" s="892"/>
      <c r="F26" s="892"/>
      <c r="G26" s="892"/>
    </row>
    <row r="27" spans="1:21" ht="14.25" customHeight="1">
      <c r="A27" s="28"/>
      <c r="B27" s="548"/>
      <c r="C27" s="548"/>
      <c r="D27" s="538"/>
      <c r="E27" s="538"/>
      <c r="F27" s="538"/>
      <c r="G27" s="548"/>
    </row>
    <row r="28" spans="1:21" s="17" customFormat="1" ht="27" customHeight="1">
      <c r="B28" s="893" t="s">
        <v>507</v>
      </c>
      <c r="C28" s="894"/>
      <c r="D28" s="133" t="s">
        <v>41</v>
      </c>
      <c r="E28" s="134" t="s">
        <v>672</v>
      </c>
      <c r="F28" s="134" t="s">
        <v>408</v>
      </c>
      <c r="G28" s="135" t="s">
        <v>409</v>
      </c>
      <c r="T28" s="136"/>
      <c r="U28" s="136"/>
    </row>
    <row r="29" spans="1:21" ht="20.25" customHeight="1">
      <c r="B29" s="890" t="s">
        <v>29</v>
      </c>
      <c r="C29" s="891"/>
      <c r="D29" s="638" t="s">
        <v>27</v>
      </c>
      <c r="E29" s="138">
        <f>SUM(D54:D80)</f>
        <v>113082.50693908303</v>
      </c>
      <c r="F29" s="139">
        <f>D84</f>
        <v>-3789.8238398161266</v>
      </c>
      <c r="G29" s="138">
        <f>E29+F29</f>
        <v>109292.6830992669</v>
      </c>
    </row>
    <row r="30" spans="1:21" ht="20.25" customHeight="1">
      <c r="B30" s="890" t="s">
        <v>371</v>
      </c>
      <c r="C30" s="891"/>
      <c r="D30" s="638" t="s">
        <v>27</v>
      </c>
      <c r="E30" s="140">
        <f>SUM(E54:E80)</f>
        <v>13553.361471070457</v>
      </c>
      <c r="F30" s="141">
        <f>E84</f>
        <v>-684.06635476106976</v>
      </c>
      <c r="G30" s="140">
        <f>E30+F30</f>
        <v>12869.295116309388</v>
      </c>
    </row>
    <row r="31" spans="1:21" ht="20.25" customHeight="1">
      <c r="B31" s="890" t="s">
        <v>764</v>
      </c>
      <c r="C31" s="891"/>
      <c r="D31" s="638" t="s">
        <v>28</v>
      </c>
      <c r="E31" s="140">
        <f>SUM(F54:F80)</f>
        <v>-195370.32612815214</v>
      </c>
      <c r="F31" s="141">
        <f>F84</f>
        <v>-1837.8123402833385</v>
      </c>
      <c r="G31" s="140">
        <f t="shared" ref="G31:G34" si="0">E31+F31</f>
        <v>-197208.13846843547</v>
      </c>
    </row>
    <row r="32" spans="1:21" ht="20.25" customHeight="1">
      <c r="B32" s="890" t="s">
        <v>765</v>
      </c>
      <c r="C32" s="891"/>
      <c r="D32" s="638" t="s">
        <v>28</v>
      </c>
      <c r="E32" s="140">
        <f>SUM(G54:G80)</f>
        <v>16728.409997563871</v>
      </c>
      <c r="F32" s="141">
        <f>G84</f>
        <v>-2054.0855531505208</v>
      </c>
      <c r="G32" s="140">
        <f t="shared" si="0"/>
        <v>14674.324444413351</v>
      </c>
    </row>
    <row r="33" spans="2:22" ht="20.25" customHeight="1">
      <c r="B33" s="890" t="s">
        <v>766</v>
      </c>
      <c r="C33" s="891"/>
      <c r="D33" s="638" t="s">
        <v>28</v>
      </c>
      <c r="E33" s="140">
        <f>SUM(H54:H80)</f>
        <v>-16072.23686811787</v>
      </c>
      <c r="F33" s="141">
        <f>H84</f>
        <v>-144.97519299854937</v>
      </c>
      <c r="G33" s="140">
        <f>E33+F33</f>
        <v>-16217.212061116419</v>
      </c>
    </row>
    <row r="34" spans="2:22" ht="20.25" customHeight="1">
      <c r="B34" s="890" t="s">
        <v>31</v>
      </c>
      <c r="C34" s="891"/>
      <c r="D34" s="638" t="s">
        <v>28</v>
      </c>
      <c r="E34" s="140">
        <f>SUM(I54:I80)</f>
        <v>217365.24045599997</v>
      </c>
      <c r="F34" s="141">
        <f>I84</f>
        <v>22834.039905798432</v>
      </c>
      <c r="G34" s="140">
        <f t="shared" si="0"/>
        <v>240199.28036179842</v>
      </c>
    </row>
    <row r="35" spans="2:22" ht="20.25" customHeight="1">
      <c r="B35" s="890" t="s">
        <v>767</v>
      </c>
      <c r="C35" s="891"/>
      <c r="D35" s="638" t="s">
        <v>27</v>
      </c>
      <c r="E35" s="140">
        <f>SUM(J54:J80)</f>
        <v>-4251.6086391852177</v>
      </c>
      <c r="F35" s="141">
        <f>J84</f>
        <v>-51.324162484986815</v>
      </c>
      <c r="G35" s="140">
        <f>E35+F35</f>
        <v>-4302.9328016702048</v>
      </c>
    </row>
    <row r="36" spans="2:22" ht="20.25" customHeight="1">
      <c r="B36" s="890" t="s">
        <v>768</v>
      </c>
      <c r="C36" s="891"/>
      <c r="D36" s="638" t="s">
        <v>28</v>
      </c>
      <c r="E36" s="140">
        <f>SUM(K54:K80)</f>
        <v>-59.120732686284967</v>
      </c>
      <c r="F36" s="141">
        <f>K84</f>
        <v>-0.54962540171369856</v>
      </c>
      <c r="G36" s="140">
        <f t="shared" ref="G36:G42" si="1">E36+F36</f>
        <v>-59.670358087998665</v>
      </c>
    </row>
    <row r="37" spans="2:22" ht="20.25" hidden="1" customHeight="1" outlineLevel="1">
      <c r="B37" s="890"/>
      <c r="C37" s="891"/>
      <c r="D37" s="638"/>
      <c r="E37" s="140">
        <f>SUM(L54:L80)</f>
        <v>0</v>
      </c>
      <c r="F37" s="141">
        <f>L84</f>
        <v>0</v>
      </c>
      <c r="G37" s="140">
        <f t="shared" si="1"/>
        <v>0</v>
      </c>
    </row>
    <row r="38" spans="2:22" ht="20.25" hidden="1" customHeight="1" outlineLevel="1">
      <c r="B38" s="890"/>
      <c r="C38" s="891"/>
      <c r="D38" s="638"/>
      <c r="E38" s="140">
        <f>SUM(M54:M80)</f>
        <v>0</v>
      </c>
      <c r="F38" s="141">
        <f>M84</f>
        <v>0</v>
      </c>
      <c r="G38" s="140">
        <f t="shared" si="1"/>
        <v>0</v>
      </c>
    </row>
    <row r="39" spans="2:22" ht="20.25" hidden="1" customHeight="1" outlineLevel="1">
      <c r="B39" s="890"/>
      <c r="C39" s="891"/>
      <c r="D39" s="638"/>
      <c r="E39" s="140">
        <f>SUM(N54:N80)</f>
        <v>0</v>
      </c>
      <c r="F39" s="141">
        <f>N84</f>
        <v>0</v>
      </c>
      <c r="G39" s="140">
        <f t="shared" si="1"/>
        <v>0</v>
      </c>
    </row>
    <row r="40" spans="2:22" ht="20.25" hidden="1" customHeight="1" outlineLevel="1">
      <c r="B40" s="890"/>
      <c r="C40" s="891"/>
      <c r="D40" s="638"/>
      <c r="E40" s="140">
        <f>SUM(O54:O80)</f>
        <v>0</v>
      </c>
      <c r="F40" s="141">
        <f>O84</f>
        <v>0</v>
      </c>
      <c r="G40" s="140">
        <f t="shared" si="1"/>
        <v>0</v>
      </c>
    </row>
    <row r="41" spans="2:22" ht="20.25" hidden="1" customHeight="1" outlineLevel="1">
      <c r="B41" s="890"/>
      <c r="C41" s="891"/>
      <c r="D41" s="638"/>
      <c r="E41" s="140">
        <f>SUM(P54:P80)</f>
        <v>0</v>
      </c>
      <c r="F41" s="141">
        <f>P84</f>
        <v>0</v>
      </c>
      <c r="G41" s="140">
        <f t="shared" si="1"/>
        <v>0</v>
      </c>
    </row>
    <row r="42" spans="2:22" ht="20.25" hidden="1" customHeight="1" outlineLevel="1">
      <c r="B42" s="890"/>
      <c r="C42" s="891"/>
      <c r="D42" s="639"/>
      <c r="E42" s="142">
        <f>SUM(Q54:Q80)</f>
        <v>0</v>
      </c>
      <c r="F42" s="143">
        <f>Q84</f>
        <v>0</v>
      </c>
      <c r="G42" s="142">
        <f t="shared" si="1"/>
        <v>0</v>
      </c>
    </row>
    <row r="43" spans="2:22" s="8" customFormat="1" ht="21" customHeight="1" collapsed="1">
      <c r="B43" s="895" t="s">
        <v>26</v>
      </c>
      <c r="C43" s="896"/>
      <c r="D43" s="137"/>
      <c r="E43" s="144">
        <f>SUM(E29:E42)</f>
        <v>144976.2264955758</v>
      </c>
      <c r="F43" s="144">
        <f>SUM(F29:F42)</f>
        <v>14271.402836902127</v>
      </c>
      <c r="G43" s="144">
        <f>SUM(G29:G42)</f>
        <v>159247.62933247795</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92" t="s">
        <v>611</v>
      </c>
      <c r="C48" s="892"/>
      <c r="D48" s="892"/>
      <c r="E48" s="892"/>
      <c r="F48" s="892"/>
      <c r="G48" s="892"/>
      <c r="H48" s="892"/>
      <c r="I48" s="892"/>
      <c r="J48" s="892"/>
      <c r="K48" s="892"/>
      <c r="L48" s="892"/>
      <c r="M48" s="617"/>
      <c r="N48" s="105"/>
      <c r="O48" s="105"/>
      <c r="P48" s="105"/>
      <c r="Q48" s="105"/>
      <c r="R48" s="105"/>
      <c r="T48" s="37"/>
      <c r="U48" s="19"/>
      <c r="V48" s="38"/>
    </row>
    <row r="49" spans="2:22" s="28" customFormat="1" ht="41" customHeight="1">
      <c r="B49" s="892" t="s">
        <v>562</v>
      </c>
      <c r="C49" s="892"/>
      <c r="D49" s="892"/>
      <c r="E49" s="892"/>
      <c r="F49" s="892"/>
      <c r="G49" s="892"/>
      <c r="H49" s="892"/>
      <c r="I49" s="892"/>
      <c r="J49" s="892"/>
      <c r="K49" s="892"/>
      <c r="L49" s="892"/>
      <c r="M49" s="617"/>
      <c r="N49" s="105"/>
      <c r="O49" s="105"/>
      <c r="P49" s="105"/>
      <c r="Q49" s="105"/>
      <c r="R49" s="105"/>
      <c r="T49" s="37"/>
      <c r="U49" s="19"/>
      <c r="V49" s="38"/>
    </row>
    <row r="50" spans="2:22" s="28" customFormat="1" ht="18" customHeight="1">
      <c r="B50" s="892" t="s">
        <v>680</v>
      </c>
      <c r="C50" s="892"/>
      <c r="D50" s="892"/>
      <c r="E50" s="892"/>
      <c r="F50" s="892"/>
      <c r="G50" s="892"/>
      <c r="H50" s="892"/>
      <c r="I50" s="892"/>
      <c r="J50" s="892"/>
      <c r="K50" s="892"/>
      <c r="L50" s="892"/>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 50 to 999 kW (I1 &amp; I4)</v>
      </c>
      <c r="G52" s="135" t="str">
        <f>IF($B32&lt;&gt;"",$B32,"")</f>
        <v>GS 1,000 to 4,999 kW (I2)</v>
      </c>
      <c r="H52" s="135" t="str">
        <f>IF($B33&lt;&gt;"",$B33,"")</f>
        <v>Large Use (I3)</v>
      </c>
      <c r="I52" s="135" t="str">
        <f>IF($B34&lt;&gt;"",$B34,"")</f>
        <v>Street Lighting</v>
      </c>
      <c r="J52" s="135" t="str">
        <f>IF($B35&lt;&gt;"",$B35,"")</f>
        <v>USL</v>
      </c>
      <c r="K52" s="135" t="str">
        <f>IF($B36&lt;&gt;"",$B36,"")</f>
        <v>Sentinel Lights</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v>
      </c>
      <c r="I53" s="576" t="str">
        <f>D34</f>
        <v>kW</v>
      </c>
      <c r="J53" s="576" t="str">
        <f>D35</f>
        <v>kWh</v>
      </c>
      <c r="K53" s="576" t="str">
        <f>D36</f>
        <v>kW</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41900.616000000002</v>
      </c>
      <c r="E66" s="164">
        <f>'5.  2015-2020 LRAM'!Z204</f>
        <v>17514.339080000002</v>
      </c>
      <c r="F66" s="164">
        <f>'5.  2015-2020 LRAM'!AA204</f>
        <v>8989.1966520000005</v>
      </c>
      <c r="G66" s="164">
        <f>'5.  2015-2020 LRAM'!AB204</f>
        <v>24863.993603999996</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93268.145335999987</v>
      </c>
      <c r="U66" s="152"/>
      <c r="V66" s="153"/>
    </row>
    <row r="67" spans="2:22" s="163" customFormat="1">
      <c r="B67" s="154" t="s">
        <v>93</v>
      </c>
      <c r="C67" s="155"/>
      <c r="D67" s="164">
        <f>-'5.  2015-2020 LRAM'!Y205</f>
        <v>-59774.394349310249</v>
      </c>
      <c r="E67" s="164">
        <f>-'5.  2015-2020 LRAM'!Z205</f>
        <v>-23146.117541340442</v>
      </c>
      <c r="F67" s="164">
        <f>-'5.  2015-2020 LRAM'!AA205</f>
        <v>-32023.99402708195</v>
      </c>
      <c r="G67" s="164">
        <f>-'5.  2015-2020 LRAM'!AB205</f>
        <v>-4743.7737861186524</v>
      </c>
      <c r="H67" s="164">
        <f>-'5.  2015-2020 LRAM'!AC205</f>
        <v>-2035.8456302235293</v>
      </c>
      <c r="I67" s="164">
        <f>-'5.  2015-2020 LRAM'!AD205</f>
        <v>-33664.574718652235</v>
      </c>
      <c r="J67" s="164">
        <f>-'5.  2015-2020 LRAM'!AE205</f>
        <v>-375.63238972604717</v>
      </c>
      <c r="K67" s="164">
        <f>-'5.  2015-2020 LRAM'!AF205</f>
        <v>-6.3960268083562379</v>
      </c>
      <c r="L67" s="164">
        <f>-'5.  2015-2020 LRAM'!AG205</f>
        <v>0</v>
      </c>
      <c r="M67" s="164">
        <f>-'5.  2015-2020 LRAM'!AH205</f>
        <v>0</v>
      </c>
      <c r="N67" s="164">
        <f>-'5.  2015-2020 LRAM'!AI205</f>
        <v>0</v>
      </c>
      <c r="O67" s="164">
        <f>-'5.  2015-2020 LRAM'!AJ205</f>
        <v>0</v>
      </c>
      <c r="P67" s="164">
        <f>-'5.  2015-2020 LRAM'!AK205</f>
        <v>0</v>
      </c>
      <c r="Q67" s="164">
        <f>-'5.  2015-2020 LRAM'!AL205</f>
        <v>0</v>
      </c>
      <c r="R67" s="157">
        <f>SUM(D67:Q67)</f>
        <v>-155770.72846926149</v>
      </c>
      <c r="S67" s="158"/>
      <c r="U67" s="152"/>
      <c r="V67" s="153"/>
    </row>
    <row r="68" spans="2:22" s="136" customFormat="1">
      <c r="B68" s="625" t="s">
        <v>67</v>
      </c>
      <c r="C68" s="621"/>
      <c r="D68" s="855">
        <v>17873.778349310247</v>
      </c>
      <c r="E68" s="855">
        <v>5631.7784613404401</v>
      </c>
      <c r="F68" s="855">
        <v>23034.797375081951</v>
      </c>
      <c r="G68" s="855">
        <v>-20120.219817881341</v>
      </c>
      <c r="H68" s="855">
        <v>2035.8456302235293</v>
      </c>
      <c r="I68" s="855">
        <v>33664.574718652235</v>
      </c>
      <c r="J68" s="855">
        <v>375.63238972604717</v>
      </c>
      <c r="K68" s="856">
        <v>6.3960268083562379</v>
      </c>
      <c r="L68" s="856"/>
      <c r="M68" s="856"/>
      <c r="N68" s="856"/>
      <c r="O68" s="856"/>
      <c r="P68" s="856"/>
      <c r="Q68" s="856"/>
      <c r="R68" s="857">
        <f>SUM(D68:K68)</f>
        <v>62502.583133261454</v>
      </c>
      <c r="U68" s="159"/>
      <c r="V68" s="153"/>
    </row>
    <row r="69" spans="2:22" s="163" customFormat="1">
      <c r="B69" s="154" t="s">
        <v>225</v>
      </c>
      <c r="C69" s="535"/>
      <c r="D69" s="156">
        <f>'5.  2015-2020 LRAM'!Y388</f>
        <v>181894.58760000003</v>
      </c>
      <c r="E69" s="156">
        <f>'5.  2015-2020 LRAM'!Z388</f>
        <v>54193.120112999997</v>
      </c>
      <c r="F69" s="156">
        <f>'5.  2015-2020 LRAM'!AA388</f>
        <v>23674.79736</v>
      </c>
      <c r="G69" s="156">
        <f>'5.  2015-2020 LRAM'!AB388</f>
        <v>25310.502096</v>
      </c>
      <c r="H69" s="156">
        <f>'5.  2015-2020 LRAM'!AC388</f>
        <v>0</v>
      </c>
      <c r="I69" s="156">
        <f>'5.  2015-2020 LRAM'!AD388</f>
        <v>27519.179380000001</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312592.18654899998</v>
      </c>
      <c r="U69" s="152"/>
      <c r="V69" s="153"/>
    </row>
    <row r="70" spans="2:22" s="163" customFormat="1">
      <c r="B70" s="154" t="s">
        <v>224</v>
      </c>
      <c r="C70" s="155"/>
      <c r="D70" s="156">
        <f>-'5.  2015-2020 LRAM'!Y389</f>
        <v>-128714.59514063118</v>
      </c>
      <c r="E70" s="156">
        <f>-'5.  2015-2020 LRAM'!Z389</f>
        <v>-38600.790623836299</v>
      </c>
      <c r="F70" s="156">
        <f>-'5.  2015-2020 LRAM'!AA389</f>
        <v>-69595.262944064496</v>
      </c>
      <c r="G70" s="156">
        <f>-'5.  2015-2020 LRAM'!AB389</f>
        <v>-7878.0106060414773</v>
      </c>
      <c r="H70" s="156">
        <f>-'5.  2015-2020 LRAM'!AC389</f>
        <v>-3731.3590436692443</v>
      </c>
      <c r="I70" s="156">
        <f>-'5.  2015-2020 LRAM'!AD389</f>
        <v>-322942.55977135984</v>
      </c>
      <c r="J70" s="156">
        <f>-'5.  2015-2020 LRAM'!AE389</f>
        <v>-888.31623181887255</v>
      </c>
      <c r="K70" s="156">
        <f>-'5.  2015-2020 LRAM'!AF389</f>
        <v>-13.502568131391333</v>
      </c>
      <c r="L70" s="156">
        <f>-'5.  2015-2020 LRAM'!AG389</f>
        <v>0</v>
      </c>
      <c r="M70" s="156">
        <f>-'5.  2015-2020 LRAM'!AH389</f>
        <v>0</v>
      </c>
      <c r="N70" s="156">
        <f>-'5.  2015-2020 LRAM'!AI389</f>
        <v>0</v>
      </c>
      <c r="O70" s="156">
        <f>-'5.  2015-2020 LRAM'!AJ389</f>
        <v>0</v>
      </c>
      <c r="P70" s="156">
        <f>-'5.  2015-2020 LRAM'!AK389</f>
        <v>0</v>
      </c>
      <c r="Q70" s="156">
        <f>-'5.  2015-2020 LRAM'!AL389</f>
        <v>0</v>
      </c>
      <c r="R70" s="157">
        <f>SUM(D70:Q70)</f>
        <v>-572364.3969295529</v>
      </c>
      <c r="S70" s="158"/>
      <c r="U70" s="152"/>
      <c r="V70" s="153"/>
    </row>
    <row r="71" spans="2:22" s="136" customFormat="1">
      <c r="B71" s="625" t="s">
        <v>67</v>
      </c>
      <c r="C71" s="621"/>
      <c r="D71" s="855">
        <v>-53179.992459368848</v>
      </c>
      <c r="E71" s="855">
        <v>-15592.329489163698</v>
      </c>
      <c r="F71" s="855">
        <v>45920.465584064499</v>
      </c>
      <c r="G71" s="855">
        <v>-17432.491489958524</v>
      </c>
      <c r="H71" s="855">
        <v>3731.3590436692443</v>
      </c>
      <c r="I71" s="855">
        <v>295423.38039135985</v>
      </c>
      <c r="J71" s="855">
        <v>888.31623181887255</v>
      </c>
      <c r="K71" s="856">
        <v>13.502568131391333</v>
      </c>
      <c r="L71" s="856"/>
      <c r="M71" s="856"/>
      <c r="N71" s="856"/>
      <c r="O71" s="856"/>
      <c r="P71" s="856"/>
      <c r="Q71" s="856"/>
      <c r="R71" s="857">
        <f>SUM(D71:K71)</f>
        <v>259772.2103805528</v>
      </c>
      <c r="U71" s="159"/>
      <c r="V71" s="153"/>
    </row>
    <row r="72" spans="2:22" s="163" customFormat="1">
      <c r="B72" s="154" t="s">
        <v>227</v>
      </c>
      <c r="C72" s="535"/>
      <c r="D72" s="156">
        <f>'5.  2015-2020 LRAM'!Y572</f>
        <v>321868.21460000001</v>
      </c>
      <c r="E72" s="156">
        <f>'5.  2015-2020 LRAM'!Z572</f>
        <v>81037.279701000007</v>
      </c>
      <c r="F72" s="156">
        <f>'5.  2015-2020 LRAM'!AA572</f>
        <v>47831.89749599999</v>
      </c>
      <c r="G72" s="156">
        <f>'5.  2015-2020 LRAM'!AB572</f>
        <v>25720.447752</v>
      </c>
      <c r="H72" s="156">
        <f>'5.  2015-2020 LRAM'!AC572</f>
        <v>832.18578000000002</v>
      </c>
      <c r="I72" s="156">
        <f>'5.  2015-2020 LRAM'!AD572</f>
        <v>481561.61798399995</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958851.64331299998</v>
      </c>
      <c r="U72" s="152"/>
      <c r="V72" s="153"/>
    </row>
    <row r="73" spans="2:22" s="163" customFormat="1">
      <c r="B73" s="154" t="s">
        <v>226</v>
      </c>
      <c r="C73" s="155"/>
      <c r="D73" s="156">
        <f>-'5.  2015-2020 LRAM'!Y573</f>
        <v>-134903.70464491274</v>
      </c>
      <c r="E73" s="156">
        <f>-'5.  2015-2020 LRAM'!Z573</f>
        <v>-53634.242805354566</v>
      </c>
      <c r="F73" s="156">
        <f>-'5.  2015-2020 LRAM'!AA573</f>
        <v>-96097.872513176422</v>
      </c>
      <c r="G73" s="156">
        <f>-'5.  2015-2020 LRAM'!AB573</f>
        <v>-10845.194025455652</v>
      </c>
      <c r="H73" s="156">
        <f>-'5.  2015-2020 LRAM'!AC573</f>
        <v>-5176.1456144747799</v>
      </c>
      <c r="I73" s="156">
        <f>-'5.  2015-2020 LRAM'!AD573</f>
        <v>-378543.26399999997</v>
      </c>
      <c r="J73" s="156">
        <f>-'5.  2015-2020 LRAM'!AE573</f>
        <v>-1231.3878655689045</v>
      </c>
      <c r="K73" s="156">
        <f>-'5.  2015-2020 LRAM'!AF573</f>
        <v>-18.075346203573638</v>
      </c>
      <c r="L73" s="156">
        <f>-'5.  2015-2020 LRAM'!AG573</f>
        <v>0</v>
      </c>
      <c r="M73" s="156">
        <f>-'5.  2015-2020 LRAM'!AH573</f>
        <v>0</v>
      </c>
      <c r="N73" s="156">
        <f>-'5.  2015-2020 LRAM'!AI573</f>
        <v>0</v>
      </c>
      <c r="O73" s="156">
        <f>-'5.  2015-2020 LRAM'!AJ573</f>
        <v>0</v>
      </c>
      <c r="P73" s="156">
        <f>-'5.  2015-2020 LRAM'!AK573</f>
        <v>0</v>
      </c>
      <c r="Q73" s="156">
        <f>-'5.  2015-2020 LRAM'!AL573</f>
        <v>0</v>
      </c>
      <c r="R73" s="157">
        <f>SUM(D73:Q73)</f>
        <v>-680449.88681514643</v>
      </c>
      <c r="S73" s="158"/>
      <c r="U73" s="152"/>
      <c r="V73" s="153"/>
    </row>
    <row r="74" spans="2:22" s="136" customFormat="1">
      <c r="B74" s="625" t="s">
        <v>67</v>
      </c>
      <c r="C74" s="621"/>
      <c r="D74" s="855">
        <v>-186964.50995508727</v>
      </c>
      <c r="E74" s="855">
        <v>-27403.03689564544</v>
      </c>
      <c r="F74" s="855">
        <v>48265.975017176432</v>
      </c>
      <c r="G74" s="855">
        <v>-14875.253726544348</v>
      </c>
      <c r="H74" s="855">
        <v>4343.9598344747801</v>
      </c>
      <c r="I74" s="855">
        <v>-103018.35398399999</v>
      </c>
      <c r="J74" s="855">
        <v>1231.3878655689045</v>
      </c>
      <c r="K74" s="856">
        <v>18.075346203573638</v>
      </c>
      <c r="L74" s="856"/>
      <c r="M74" s="161"/>
      <c r="N74" s="161"/>
      <c r="O74" s="161"/>
      <c r="P74" s="161"/>
      <c r="Q74" s="161"/>
      <c r="R74" s="857">
        <f>SUM(D74:K74)</f>
        <v>-278401.75649785332</v>
      </c>
      <c r="U74" s="159"/>
      <c r="V74" s="153"/>
    </row>
    <row r="75" spans="2:22" s="163" customFormat="1">
      <c r="B75" s="154" t="s">
        <v>229</v>
      </c>
      <c r="C75" s="535"/>
      <c r="D75" s="156">
        <f>'5.  2015-2020 LRAM'!Y756</f>
        <v>221593.35741183499</v>
      </c>
      <c r="E75" s="156">
        <f>'5.  2015-2020 LRAM'!Z756</f>
        <v>98593.290412247719</v>
      </c>
      <c r="F75" s="156">
        <f>'5.  2015-2020 LRAM'!AA756</f>
        <v>66130.751635142879</v>
      </c>
      <c r="G75" s="156">
        <f>'5.  2015-2020 LRAM'!AB756</f>
        <v>26404.57764</v>
      </c>
      <c r="H75" s="156">
        <f>'5.  2015-2020 LRAM'!AC756</f>
        <v>853.86084000000017</v>
      </c>
      <c r="I75" s="156">
        <f>'5.  2015-2020 LRAM'!AD756</f>
        <v>498068.508248</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911644.34618722554</v>
      </c>
      <c r="U75" s="152"/>
      <c r="V75" s="153"/>
    </row>
    <row r="76" spans="2:22" s="163" customFormat="1" ht="16.5" customHeight="1">
      <c r="B76" s="154" t="s">
        <v>228</v>
      </c>
      <c r="C76" s="155"/>
      <c r="D76" s="156">
        <f>-'5.  2015-2020 LRAM'!Y757</f>
        <v>-130302.41170966552</v>
      </c>
      <c r="E76" s="156">
        <f>-'5.  2015-2020 LRAM'!Z757</f>
        <v>-76477.914196017708</v>
      </c>
      <c r="F76" s="156">
        <f>-'5.  2015-2020 LRAM'!AA757</f>
        <v>-136264.9059575047</v>
      </c>
      <c r="G76" s="156">
        <f>-'5.  2015-2020 LRAM'!AB757</f>
        <v>-15294.098787732899</v>
      </c>
      <c r="H76" s="156">
        <f>-'5.  2015-2020 LRAM'!AC757</f>
        <v>-7350.6984419551809</v>
      </c>
      <c r="I76" s="156">
        <f>-'5.  2015-2020 LRAM'!AD757</f>
        <v>-391518.908</v>
      </c>
      <c r="J76" s="156">
        <f>-'5.  2015-2020 LRAM'!AE757</f>
        <v>-1749.6080684294532</v>
      </c>
      <c r="K76" s="156">
        <f>-'5.  2015-2020 LRAM'!AF757</f>
        <v>-24.853183280957566</v>
      </c>
      <c r="L76" s="156">
        <f>-'5.  2015-2020 LRAM'!AG757</f>
        <v>0</v>
      </c>
      <c r="M76" s="156">
        <f>-'5.  2015-2020 LRAM'!AH757</f>
        <v>0</v>
      </c>
      <c r="N76" s="156">
        <f>-'5.  2015-2020 LRAM'!AI757</f>
        <v>0</v>
      </c>
      <c r="O76" s="156">
        <f>-'5.  2015-2020 LRAM'!AJ757</f>
        <v>0</v>
      </c>
      <c r="P76" s="156">
        <f>-'5.  2015-2020 LRAM'!AK757</f>
        <v>0</v>
      </c>
      <c r="Q76" s="156">
        <f>-'5.  2015-2020 LRAM'!AL757</f>
        <v>0</v>
      </c>
      <c r="R76" s="157">
        <f>SUM(D76:Q76)</f>
        <v>-758983.39834458637</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116530.67199999999</v>
      </c>
      <c r="E78" s="156">
        <f>'5.  2015-2020 LRAM'!Z940</f>
        <v>100672.79723127943</v>
      </c>
      <c r="F78" s="156">
        <f>'5.  2015-2020 LRAM'!AA940</f>
        <v>68509.067729162431</v>
      </c>
      <c r="G78" s="156">
        <f>'5.  2015-2020 LRAM'!AB940</f>
        <v>27223.719047999999</v>
      </c>
      <c r="H78" s="156">
        <f>'5.  2015-2020 LRAM'!AC940</f>
        <v>878.48724000000016</v>
      </c>
      <c r="I78" s="156">
        <f>'5.  2015-2020 LRAM'!AD940</f>
        <v>518010.208208</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831824.95145644178</v>
      </c>
      <c r="U78" s="152"/>
      <c r="V78" s="153"/>
    </row>
    <row r="79" spans="2:22" s="163" customFormat="1">
      <c r="B79" s="154" t="s">
        <v>230</v>
      </c>
      <c r="C79" s="155"/>
      <c r="D79" s="156">
        <f>-'5.  2015-2020 LRAM'!Y941</f>
        <v>-94739.110763086428</v>
      </c>
      <c r="E79" s="156">
        <f>-'5.  2015-2020 LRAM'!Z941</f>
        <v>-109234.81197643898</v>
      </c>
      <c r="F79" s="156">
        <f>-'5.  2015-2020 LRAM'!AA941</f>
        <v>-193745.23953495274</v>
      </c>
      <c r="G79" s="156">
        <f>-'5.  2015-2020 LRAM'!AB941</f>
        <v>-21605.787902703229</v>
      </c>
      <c r="H79" s="156">
        <f>-'5.  2015-2020 LRAM'!AC941</f>
        <v>-10453.886506162691</v>
      </c>
      <c r="I79" s="156">
        <f>-'5.  2015-2020 LRAM'!AD941</f>
        <v>-407194.56799999997</v>
      </c>
      <c r="J79" s="156">
        <f>-'5.  2015-2020 LRAM'!AE941</f>
        <v>-2502.0005707557648</v>
      </c>
      <c r="K79" s="156">
        <f>-'5.  2015-2020 LRAM'!AF941</f>
        <v>-34.267549405327401</v>
      </c>
      <c r="L79" s="156">
        <f>-'5.  2015-2020 LRAM'!AG941</f>
        <v>0</v>
      </c>
      <c r="M79" s="156">
        <f>-'5.  2015-2020 LRAM'!AH941</f>
        <v>0</v>
      </c>
      <c r="N79" s="156">
        <f>-'5.  2015-2020 LRAM'!AI941</f>
        <v>0</v>
      </c>
      <c r="O79" s="156">
        <f>-'5.  2015-2020 LRAM'!AJ941</f>
        <v>0</v>
      </c>
      <c r="P79" s="156">
        <f>-'5.  2015-2020 LRAM'!AK941</f>
        <v>0</v>
      </c>
      <c r="Q79" s="156">
        <f>-'5.  2015-2020 LRAM'!AL941</f>
        <v>0</v>
      </c>
      <c r="R79" s="157">
        <f>SUM(D79:Q79)</f>
        <v>-839509.67280350521</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Charges'!I237</f>
        <v>-3789.8238398161266</v>
      </c>
      <c r="E84" s="679">
        <f>'6.  Carrying Charges'!J237</f>
        <v>-684.06635476106976</v>
      </c>
      <c r="F84" s="679">
        <f>'6.  Carrying Charges'!K237</f>
        <v>-1837.8123402833385</v>
      </c>
      <c r="G84" s="679">
        <f>'6.  Carrying Charges'!L237</f>
        <v>-2054.0855531505208</v>
      </c>
      <c r="H84" s="679">
        <f>'6.  Carrying Charges'!M237</f>
        <v>-144.97519299854937</v>
      </c>
      <c r="I84" s="679">
        <f>'6.  Carrying Charges'!N237</f>
        <v>22834.039905798432</v>
      </c>
      <c r="J84" s="679">
        <f>'6.  Carrying Charges'!O237</f>
        <v>-51.324162484986815</v>
      </c>
      <c r="K84" s="679">
        <f>'6.  Carrying Charges'!P237</f>
        <v>-0.54962540171369856</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14271.402836902127</v>
      </c>
      <c r="U84" s="152"/>
      <c r="V84" s="153"/>
    </row>
    <row r="85" spans="2:22" s="163" customFormat="1" ht="21.75" customHeight="1">
      <c r="B85" s="623" t="s">
        <v>240</v>
      </c>
      <c r="C85" s="624"/>
      <c r="D85" s="623">
        <f>SUM(D54:D80)+D84</f>
        <v>109292.6830992669</v>
      </c>
      <c r="E85" s="623">
        <f t="shared" ref="E85:Q85" si="2">SUM(E54:E80)+E84</f>
        <v>12869.295116309388</v>
      </c>
      <c r="F85" s="623">
        <f t="shared" si="2"/>
        <v>-197208.13846843547</v>
      </c>
      <c r="G85" s="623">
        <f t="shared" si="2"/>
        <v>14674.324444413351</v>
      </c>
      <c r="H85" s="623">
        <f t="shared" si="2"/>
        <v>-16217.212061116419</v>
      </c>
      <c r="I85" s="623">
        <f t="shared" si="2"/>
        <v>240199.28036179842</v>
      </c>
      <c r="J85" s="623">
        <f t="shared" si="2"/>
        <v>-4302.9328016702048</v>
      </c>
      <c r="K85" s="623">
        <f t="shared" si="2"/>
        <v>-59.670358087998665</v>
      </c>
      <c r="L85" s="623">
        <f t="shared" si="2"/>
        <v>0</v>
      </c>
      <c r="M85" s="623">
        <f t="shared" si="2"/>
        <v>0</v>
      </c>
      <c r="N85" s="623">
        <f t="shared" si="2"/>
        <v>0</v>
      </c>
      <c r="O85" s="623">
        <f t="shared" si="2"/>
        <v>0</v>
      </c>
      <c r="P85" s="623">
        <f t="shared" si="2"/>
        <v>0</v>
      </c>
      <c r="Q85" s="623">
        <f t="shared" si="2"/>
        <v>0</v>
      </c>
      <c r="R85" s="623">
        <f>SUM(R54:R80)+R84</f>
        <v>159247.62933247787</v>
      </c>
      <c r="U85" s="152"/>
      <c r="V85" s="153"/>
    </row>
    <row r="86" spans="2:22" ht="20.25" customHeight="1">
      <c r="B86" s="453" t="s">
        <v>536</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4.5">
      <c r="E88" s="9"/>
    </row>
    <row r="89" spans="2:22" ht="21" hidden="1" customHeight="1">
      <c r="B89" s="118" t="s">
        <v>537</v>
      </c>
      <c r="F89" s="589"/>
    </row>
    <row r="90" spans="2:22" s="549" customFormat="1" ht="27.75" hidden="1" customHeight="1">
      <c r="B90" s="570" t="s">
        <v>557</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0</v>
      </c>
      <c r="K93" s="556">
        <f>SUM('5.  2015-2020 LRAM'!Y931:AL931)</f>
        <v>0</v>
      </c>
      <c r="L93" s="556">
        <f>SUM('5.  2015-2020 LRAM'!Y1114:AL1114)</f>
        <v>0</v>
      </c>
      <c r="M93" s="556">
        <f>SUM(C93:L93)</f>
        <v>0</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0</v>
      </c>
      <c r="K94" s="556">
        <f>SUM('5.  2015-2020 LRAM'!Y932:AL932)</f>
        <v>0</v>
      </c>
      <c r="L94" s="556">
        <f>SUM('5.  2015-2020 LRAM'!Y1115:AL1115)</f>
        <v>0</v>
      </c>
      <c r="M94" s="556">
        <f>SUM(D94:L94)</f>
        <v>0</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LRAM'!Y750:AL750)</f>
        <v>0</v>
      </c>
      <c r="K95" s="556">
        <f>SUM('5.  2015-2020 LRAM'!Y933:AL933)</f>
        <v>0</v>
      </c>
      <c r="L95" s="556">
        <f>SUM('5.  2015-2020 LRAM'!Y1116:AL1116)</f>
        <v>0</v>
      </c>
      <c r="M95" s="556">
        <f>SUM(C95:L95)</f>
        <v>0</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LRAM'!Y751:AL751)</f>
        <v>0</v>
      </c>
      <c r="K96" s="556">
        <f>SUM('5.  2015-2020 LRAM'!Y934:AL934)</f>
        <v>0</v>
      </c>
      <c r="L96" s="556">
        <f>SUM('5.  2015-2020 LRAM'!Y1117:AL1117)</f>
        <v>0</v>
      </c>
      <c r="M96" s="556">
        <f>SUM(F96:L96)</f>
        <v>0</v>
      </c>
      <c r="T96" s="197"/>
      <c r="U96" s="197"/>
    </row>
    <row r="97" spans="2:21" s="90" customFormat="1" ht="23.25" hidden="1" customHeight="1">
      <c r="B97" s="198">
        <v>2015</v>
      </c>
      <c r="C97" s="559"/>
      <c r="D97" s="559"/>
      <c r="E97" s="559"/>
      <c r="F97" s="559"/>
      <c r="G97" s="557">
        <f>SUM('5.  2015-2020 LRAM'!Y203:AL203)</f>
        <v>93268.145335999987</v>
      </c>
      <c r="H97" s="556">
        <f>SUM('5.  2015-2020 LRAM'!Y386:AL386)</f>
        <v>98877.163404000006</v>
      </c>
      <c r="I97" s="557">
        <f>SUM('5.  2015-2020 LRAM'!Y569:AL569)</f>
        <v>88452.790383999993</v>
      </c>
      <c r="J97" s="556">
        <f>SUM('5.  2015-2020 LRAM'!Y752:AL752)</f>
        <v>78446.235642000014</v>
      </c>
      <c r="K97" s="556">
        <f>SUM('5.  2015-2020 LRAM'!Y935:AL935)</f>
        <v>67926.227299999999</v>
      </c>
      <c r="L97" s="556">
        <f>SUM('5.  2015-2020 LRAM'!Y1118:AL1118)</f>
        <v>0</v>
      </c>
      <c r="M97" s="556">
        <f>SUM(G97:L97)</f>
        <v>426970.56206600007</v>
      </c>
      <c r="T97" s="197"/>
      <c r="U97" s="197"/>
    </row>
    <row r="98" spans="2:21" s="90" customFormat="1" ht="23.25" hidden="1" customHeight="1">
      <c r="B98" s="198">
        <v>2016</v>
      </c>
      <c r="C98" s="559"/>
      <c r="D98" s="559"/>
      <c r="E98" s="559"/>
      <c r="F98" s="559"/>
      <c r="G98" s="559"/>
      <c r="H98" s="556">
        <f>SUM('5.  2015-2020 LRAM'!Y387:AL387)</f>
        <v>213715.02314500004</v>
      </c>
      <c r="I98" s="557">
        <f>SUM('5.  2015-2020 LRAM'!Y570:AL570)</f>
        <v>185450.78447000001</v>
      </c>
      <c r="J98" s="556">
        <f>SUM('5.  2015-2020 LRAM'!Y753:AL753)</f>
        <v>157505.96522100002</v>
      </c>
      <c r="K98" s="556">
        <f>SUM('5.  2015-2020 LRAM'!Y936:AL936)</f>
        <v>124981.967042</v>
      </c>
      <c r="L98" s="556">
        <f>SUM('5.  2015-2020 LRAM'!Y1119:AL1119)</f>
        <v>0</v>
      </c>
      <c r="M98" s="556">
        <f>SUM(H98:L98)</f>
        <v>681653.73987800011</v>
      </c>
      <c r="T98" s="197"/>
      <c r="U98" s="197"/>
    </row>
    <row r="99" spans="2:21" s="90" customFormat="1" ht="23.25" hidden="1" customHeight="1">
      <c r="B99" s="198">
        <v>2017</v>
      </c>
      <c r="C99" s="559"/>
      <c r="D99" s="559"/>
      <c r="E99" s="559"/>
      <c r="F99" s="559"/>
      <c r="G99" s="559"/>
      <c r="H99" s="559"/>
      <c r="I99" s="556">
        <f>SUM('5.  2015-2020 LRAM'!Y571:AL571)</f>
        <v>684948.06845899997</v>
      </c>
      <c r="J99" s="556">
        <f>SUM('5.  2015-2020 LRAM'!Y754:AL754)</f>
        <v>619890.90928400005</v>
      </c>
      <c r="K99" s="556">
        <f>SUM('5.  2015-2020 LRAM'!Y937:AL937)</f>
        <v>593346.18198400002</v>
      </c>
      <c r="L99" s="556">
        <f>SUM('5.  2015-2020 LRAM'!Y1120:AL1120)</f>
        <v>0</v>
      </c>
      <c r="M99" s="556">
        <f>SUM(I99:L99)</f>
        <v>1898185.1597270002</v>
      </c>
      <c r="T99" s="197"/>
      <c r="U99" s="197"/>
    </row>
    <row r="100" spans="2:21" s="90" customFormat="1" ht="23.25" hidden="1" customHeight="1">
      <c r="B100" s="198">
        <v>2018</v>
      </c>
      <c r="C100" s="559"/>
      <c r="D100" s="559"/>
      <c r="E100" s="559"/>
      <c r="F100" s="559"/>
      <c r="G100" s="559"/>
      <c r="H100" s="559"/>
      <c r="I100" s="559"/>
      <c r="J100" s="556">
        <f>SUM('5.  2015-2020 LRAM'!Y755:AL755)</f>
        <v>55801.236040225602</v>
      </c>
      <c r="K100" s="556">
        <f>SUM('5.  2015-2020 LRAM'!Y938:AL938)</f>
        <v>43598.760512976864</v>
      </c>
      <c r="L100" s="556">
        <f>SUM('5.  2015-2020 LRAM'!Y1121:AL1121)</f>
        <v>0</v>
      </c>
      <c r="M100" s="556">
        <f>SUM(J100:L100)</f>
        <v>99399.996553202465</v>
      </c>
      <c r="T100" s="197"/>
      <c r="U100" s="197"/>
    </row>
    <row r="101" spans="2:21" s="90" customFormat="1" ht="23.25" hidden="1" customHeight="1">
      <c r="B101" s="198">
        <v>2019</v>
      </c>
      <c r="C101" s="559"/>
      <c r="D101" s="559"/>
      <c r="E101" s="559"/>
      <c r="F101" s="559"/>
      <c r="G101" s="559"/>
      <c r="H101" s="559"/>
      <c r="I101" s="559"/>
      <c r="J101" s="559"/>
      <c r="K101" s="556">
        <f>SUM('5.  2015-2020 LRAM'!Y939:AL939)</f>
        <v>1971.8146174650033</v>
      </c>
      <c r="L101" s="556">
        <f>SUM('5.  2015-2020 LRAM'!Y1122:AL1122)</f>
        <v>0</v>
      </c>
      <c r="M101" s="556">
        <f>SUM(K101:L101)</f>
        <v>1971.8146174650033</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519</v>
      </c>
      <c r="C103" s="555">
        <f>C93</f>
        <v>0</v>
      </c>
      <c r="D103" s="556">
        <f>D93+D94</f>
        <v>0</v>
      </c>
      <c r="E103" s="556">
        <f>E93+E94+E95</f>
        <v>0</v>
      </c>
      <c r="F103" s="556">
        <f>F93+F94+F95+F96</f>
        <v>0</v>
      </c>
      <c r="G103" s="556">
        <f>G93+G94+G95+G96+G97</f>
        <v>93268.145335999987</v>
      </c>
      <c r="H103" s="556">
        <f>H93+H94+H95+H96+H97+H98</f>
        <v>312592.18654900003</v>
      </c>
      <c r="I103" s="556">
        <f>I93+I94+I95+I96+I97+I98+I99</f>
        <v>958851.64331299998</v>
      </c>
      <c r="J103" s="556">
        <f>J93+J94+J95+J96+J97+J98+J99+J100</f>
        <v>911644.34618722566</v>
      </c>
      <c r="K103" s="556">
        <f>K93+K94+K95+K96+K97+K98+K99+K100+K101</f>
        <v>831824.95145644201</v>
      </c>
      <c r="L103" s="556">
        <f>SUM(L93:L102)</f>
        <v>0</v>
      </c>
      <c r="M103" s="556">
        <f>SUM(M93:M102)</f>
        <v>3108181.2728416678</v>
      </c>
      <c r="T103" s="199"/>
      <c r="U103" s="199"/>
    </row>
    <row r="104" spans="2:21" s="27" customFormat="1" ht="24.75" hidden="1" customHeight="1">
      <c r="B104" s="572" t="s">
        <v>518</v>
      </c>
      <c r="C104" s="554">
        <f>'4.  2011-2014 LRAM'!AM132</f>
        <v>0</v>
      </c>
      <c r="D104" s="554">
        <f>'4.  2011-2014 LRAM'!AM262</f>
        <v>0</v>
      </c>
      <c r="E104" s="554">
        <f>'4.  2011-2014 LRAM'!AM392</f>
        <v>0</v>
      </c>
      <c r="F104" s="554">
        <f>'4.  2011-2014 LRAM'!AM522</f>
        <v>0</v>
      </c>
      <c r="G104" s="554">
        <f>'5.  2015-2020 LRAM'!AM205</f>
        <v>155770.72846926149</v>
      </c>
      <c r="H104" s="554">
        <f>'5.  2015-2020 LRAM'!AM389</f>
        <v>572364.3969295529</v>
      </c>
      <c r="I104" s="554">
        <f>'5.  2015-2020 LRAM'!AM573</f>
        <v>680449.88681514643</v>
      </c>
      <c r="J104" s="554">
        <f>'5.  2015-2020 LRAM'!AM757</f>
        <v>758983.39834458637</v>
      </c>
      <c r="K104" s="554">
        <f>'5.  2015-2020 LRAM'!AM941</f>
        <v>839509.67280350521</v>
      </c>
      <c r="L104" s="554">
        <f>'5.  2015-2020 LRAM'!AM1125</f>
        <v>0</v>
      </c>
      <c r="M104" s="556">
        <f>SUM(C104:L104)</f>
        <v>3007078.0833620522</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-319.9350974133821</v>
      </c>
      <c r="H105" s="554">
        <f>'6.  Carrying Charges'!W102</f>
        <v>-1629.619991415336</v>
      </c>
      <c r="I105" s="554">
        <f>'6.  Carrying Charges'!W117</f>
        <v>5.9903280095527407</v>
      </c>
      <c r="J105" s="554">
        <f>'6.  Carrying Charges'!W132</f>
        <v>1405.064306259073</v>
      </c>
      <c r="K105" s="554">
        <f>'6.  Carrying Charges'!W147</f>
        <v>4758.9036693205426</v>
      </c>
      <c r="L105" s="554">
        <f>'6.  Carrying Charges'!W162</f>
        <v>14271.402836902143</v>
      </c>
      <c r="M105" s="556">
        <f>SUM(C105:L105)</f>
        <v>18491.806051662592</v>
      </c>
    </row>
    <row r="106" spans="2:21" ht="23.25" hidden="1" customHeight="1">
      <c r="B106" s="571" t="s">
        <v>26</v>
      </c>
      <c r="C106" s="554">
        <f>C103-C104+C105</f>
        <v>0</v>
      </c>
      <c r="D106" s="554">
        <f t="shared" ref="D106:J106" si="3">D103-D104+D105</f>
        <v>0</v>
      </c>
      <c r="E106" s="554">
        <f t="shared" si="3"/>
        <v>0</v>
      </c>
      <c r="F106" s="554">
        <f t="shared" si="3"/>
        <v>0</v>
      </c>
      <c r="G106" s="554">
        <f t="shared" si="3"/>
        <v>-62822.51823067489</v>
      </c>
      <c r="H106" s="554">
        <f t="shared" si="3"/>
        <v>-261401.83037196819</v>
      </c>
      <c r="I106" s="554">
        <f t="shared" si="3"/>
        <v>278407.74682586308</v>
      </c>
      <c r="J106" s="554">
        <f t="shared" si="3"/>
        <v>154066.01214889836</v>
      </c>
      <c r="K106" s="554">
        <f>K103-K104+K105</f>
        <v>-2925.8176777426552</v>
      </c>
      <c r="L106" s="554">
        <f>L103-L104+L105</f>
        <v>14271.402836902143</v>
      </c>
      <c r="M106" s="554">
        <f>M103-M104+M105</f>
        <v>119594.99553127814</v>
      </c>
    </row>
    <row r="107" spans="2:21" hidden="1"/>
    <row r="108" spans="2:21">
      <c r="B108" s="589"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3" scale="63"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958850</xdr:colOff>
                    <xdr:row>53</xdr:row>
                    <xdr:rowOff>25400</xdr:rowOff>
                  </from>
                  <to>
                    <xdr:col>2</xdr:col>
                    <xdr:colOff>1377950</xdr:colOff>
                    <xdr:row>54</xdr:row>
                    <xdr:rowOff>158750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958850</xdr:colOff>
                    <xdr:row>56</xdr:row>
                    <xdr:rowOff>25400</xdr:rowOff>
                  </from>
                  <to>
                    <xdr:col>2</xdr:col>
                    <xdr:colOff>1377950</xdr:colOff>
                    <xdr:row>57</xdr:row>
                    <xdr:rowOff>158750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958850</xdr:colOff>
                    <xdr:row>59</xdr:row>
                    <xdr:rowOff>25400</xdr:rowOff>
                  </from>
                  <to>
                    <xdr:col>2</xdr:col>
                    <xdr:colOff>1377950</xdr:colOff>
                    <xdr:row>60</xdr:row>
                    <xdr:rowOff>158750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958850</xdr:colOff>
                    <xdr:row>62</xdr:row>
                    <xdr:rowOff>25400</xdr:rowOff>
                  </from>
                  <to>
                    <xdr:col>2</xdr:col>
                    <xdr:colOff>1377950</xdr:colOff>
                    <xdr:row>63</xdr:row>
                    <xdr:rowOff>158750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958850</xdr:colOff>
                    <xdr:row>65</xdr:row>
                    <xdr:rowOff>25400</xdr:rowOff>
                  </from>
                  <to>
                    <xdr:col>2</xdr:col>
                    <xdr:colOff>1377950</xdr:colOff>
                    <xdr:row>66</xdr:row>
                    <xdr:rowOff>158750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958850</xdr:colOff>
                    <xdr:row>68</xdr:row>
                    <xdr:rowOff>38100</xdr:rowOff>
                  </from>
                  <to>
                    <xdr:col>2</xdr:col>
                    <xdr:colOff>1377950</xdr:colOff>
                    <xdr:row>69</xdr:row>
                    <xdr:rowOff>177800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958850</xdr:colOff>
                    <xdr:row>71</xdr:row>
                    <xdr:rowOff>38100</xdr:rowOff>
                  </from>
                  <to>
                    <xdr:col>2</xdr:col>
                    <xdr:colOff>1377950</xdr:colOff>
                    <xdr:row>72</xdr:row>
                    <xdr:rowOff>177800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31750</xdr:rowOff>
                  </from>
                  <to>
                    <xdr:col>2</xdr:col>
                    <xdr:colOff>1371600</xdr:colOff>
                    <xdr:row>75</xdr:row>
                    <xdr:rowOff>165100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topLeftCell="C4" zoomScale="80" zoomScaleNormal="80" workbookViewId="0">
      <selection activeCell="G24" sqref="G24:H24"/>
    </sheetView>
  </sheetViews>
  <sheetFormatPr defaultColWidth="9.08984375" defaultRowHeight="14.5"/>
  <cols>
    <col min="1" max="1" width="5.453125" style="12" customWidth="1"/>
    <col min="2" max="2" width="27" style="12" customWidth="1"/>
    <col min="3" max="3" width="24.36328125" style="12" customWidth="1"/>
    <col min="4" max="4" width="23.453125" style="12" customWidth="1"/>
    <col min="5" max="5" width="28.6328125" style="12" customWidth="1"/>
    <col min="6" max="6" width="43.90625" style="12" customWidth="1"/>
    <col min="7" max="7" width="72.6328125" style="12" customWidth="1"/>
    <col min="8" max="16384" width="9.08984375" style="12"/>
  </cols>
  <sheetData>
    <row r="13" spans="2:3" ht="15" thickBot="1"/>
    <row r="14" spans="2:3" ht="26.25" customHeight="1" thickBot="1">
      <c r="B14" s="537" t="s">
        <v>171</v>
      </c>
      <c r="C14" s="126" t="s">
        <v>175</v>
      </c>
    </row>
    <row r="15" spans="2:3" ht="26.25" customHeight="1" thickBot="1">
      <c r="C15" s="128" t="s">
        <v>406</v>
      </c>
    </row>
    <row r="16" spans="2:3" ht="27" customHeight="1" thickBot="1">
      <c r="C16" s="569" t="s">
        <v>551</v>
      </c>
    </row>
    <row r="19" spans="2:8" ht="15.5">
      <c r="B19" s="537" t="s">
        <v>616</v>
      </c>
    </row>
    <row r="20" spans="2:8" ht="13.5" customHeight="1"/>
    <row r="21" spans="2:8" ht="41" customHeight="1">
      <c r="B21" s="892" t="s">
        <v>679</v>
      </c>
      <c r="C21" s="892"/>
      <c r="D21" s="892"/>
      <c r="E21" s="892"/>
      <c r="F21" s="892"/>
      <c r="G21" s="892"/>
      <c r="H21" s="892"/>
    </row>
    <row r="23" spans="2:8" s="609" customFormat="1" ht="15.5">
      <c r="B23" s="619" t="s">
        <v>546</v>
      </c>
      <c r="C23" s="619" t="s">
        <v>561</v>
      </c>
      <c r="D23" s="619" t="s">
        <v>545</v>
      </c>
      <c r="E23" s="899" t="s">
        <v>34</v>
      </c>
      <c r="F23" s="900"/>
      <c r="G23" s="899" t="s">
        <v>544</v>
      </c>
      <c r="H23" s="900"/>
    </row>
    <row r="24" spans="2:8">
      <c r="B24" s="608">
        <v>1</v>
      </c>
      <c r="C24" s="644" t="s">
        <v>550</v>
      </c>
      <c r="D24" s="607" t="s">
        <v>769</v>
      </c>
      <c r="E24" s="897" t="s">
        <v>770</v>
      </c>
      <c r="F24" s="898"/>
      <c r="G24" s="901" t="s">
        <v>771</v>
      </c>
      <c r="H24" s="902"/>
    </row>
    <row r="25" spans="2:8">
      <c r="B25" s="608">
        <v>2</v>
      </c>
      <c r="C25" s="644"/>
      <c r="D25" s="607"/>
      <c r="E25" s="897"/>
      <c r="F25" s="898"/>
      <c r="G25" s="901"/>
      <c r="H25" s="902"/>
    </row>
    <row r="26" spans="2:8">
      <c r="B26" s="608">
        <v>3</v>
      </c>
      <c r="C26" s="644"/>
      <c r="D26" s="607"/>
      <c r="E26" s="897"/>
      <c r="F26" s="898"/>
      <c r="G26" s="901"/>
      <c r="H26" s="902"/>
    </row>
    <row r="27" spans="2:8">
      <c r="B27" s="608">
        <v>4</v>
      </c>
      <c r="C27" s="644"/>
      <c r="D27" s="607"/>
      <c r="E27" s="897"/>
      <c r="F27" s="898"/>
      <c r="G27" s="901"/>
      <c r="H27" s="902"/>
    </row>
    <row r="28" spans="2:8">
      <c r="B28" s="608">
        <v>5</v>
      </c>
      <c r="C28" s="644"/>
      <c r="D28" s="607"/>
      <c r="E28" s="897"/>
      <c r="F28" s="898"/>
      <c r="G28" s="901"/>
      <c r="H28" s="902"/>
    </row>
    <row r="29" spans="2:8">
      <c r="B29" s="608">
        <v>6</v>
      </c>
      <c r="C29" s="644"/>
      <c r="D29" s="607"/>
      <c r="E29" s="897"/>
      <c r="F29" s="898"/>
      <c r="G29" s="901"/>
      <c r="H29" s="902"/>
    </row>
    <row r="30" spans="2:8">
      <c r="B30" s="608">
        <v>7</v>
      </c>
      <c r="C30" s="644"/>
      <c r="D30" s="607"/>
      <c r="E30" s="897"/>
      <c r="F30" s="898"/>
      <c r="G30" s="901"/>
      <c r="H30" s="902"/>
    </row>
    <row r="31" spans="2:8">
      <c r="B31" s="608">
        <v>8</v>
      </c>
      <c r="C31" s="644"/>
      <c r="D31" s="607"/>
      <c r="E31" s="897"/>
      <c r="F31" s="898"/>
      <c r="G31" s="901"/>
      <c r="H31" s="902"/>
    </row>
    <row r="32" spans="2:8">
      <c r="B32" s="608">
        <v>9</v>
      </c>
      <c r="C32" s="644"/>
      <c r="D32" s="607"/>
      <c r="E32" s="897"/>
      <c r="F32" s="898"/>
      <c r="G32" s="901"/>
      <c r="H32" s="902"/>
    </row>
    <row r="33" spans="2:8">
      <c r="B33" s="608">
        <v>10</v>
      </c>
      <c r="C33" s="644"/>
      <c r="D33" s="607"/>
      <c r="E33" s="897"/>
      <c r="F33" s="898"/>
      <c r="G33" s="901"/>
      <c r="H33" s="902"/>
    </row>
    <row r="34" spans="2:8">
      <c r="B34" s="608" t="s">
        <v>480</v>
      </c>
      <c r="C34" s="644"/>
      <c r="D34" s="607"/>
      <c r="E34" s="897"/>
      <c r="F34" s="898"/>
      <c r="G34" s="901"/>
      <c r="H34" s="902"/>
    </row>
    <row r="36" spans="2:8" ht="30.75" customHeight="1">
      <c r="B36" s="537" t="s">
        <v>612</v>
      </c>
    </row>
    <row r="37" spans="2:8" ht="23.25" customHeight="1">
      <c r="B37" s="568" t="s">
        <v>617</v>
      </c>
      <c r="C37" s="605"/>
      <c r="D37" s="605"/>
      <c r="E37" s="605"/>
      <c r="F37" s="605"/>
      <c r="G37" s="605"/>
      <c r="H37" s="605"/>
    </row>
    <row r="39" spans="2:8" s="90" customFormat="1" ht="15.5">
      <c r="B39" s="619" t="s">
        <v>546</v>
      </c>
      <c r="C39" s="619" t="s">
        <v>561</v>
      </c>
      <c r="D39" s="619" t="s">
        <v>545</v>
      </c>
      <c r="E39" s="899" t="s">
        <v>34</v>
      </c>
      <c r="F39" s="900"/>
      <c r="G39" s="899" t="s">
        <v>544</v>
      </c>
      <c r="H39" s="900"/>
    </row>
    <row r="40" spans="2:8">
      <c r="B40" s="608">
        <v>1</v>
      </c>
      <c r="C40" s="644"/>
      <c r="D40" s="607"/>
      <c r="E40" s="897"/>
      <c r="F40" s="898"/>
      <c r="G40" s="901"/>
      <c r="H40" s="902"/>
    </row>
    <row r="41" spans="2:8">
      <c r="B41" s="608">
        <v>2</v>
      </c>
      <c r="C41" s="644"/>
      <c r="D41" s="607"/>
      <c r="E41" s="897"/>
      <c r="F41" s="898"/>
      <c r="G41" s="901"/>
      <c r="H41" s="902"/>
    </row>
    <row r="42" spans="2:8">
      <c r="B42" s="608">
        <v>3</v>
      </c>
      <c r="C42" s="644"/>
      <c r="D42" s="607"/>
      <c r="E42" s="897"/>
      <c r="F42" s="898"/>
      <c r="G42" s="901"/>
      <c r="H42" s="902"/>
    </row>
    <row r="43" spans="2:8">
      <c r="B43" s="608">
        <v>4</v>
      </c>
      <c r="C43" s="644"/>
      <c r="D43" s="607"/>
      <c r="E43" s="897"/>
      <c r="F43" s="898"/>
      <c r="G43" s="901"/>
      <c r="H43" s="902"/>
    </row>
    <row r="44" spans="2:8">
      <c r="B44" s="608">
        <v>5</v>
      </c>
      <c r="C44" s="644"/>
      <c r="D44" s="607"/>
      <c r="E44" s="897"/>
      <c r="F44" s="898"/>
      <c r="G44" s="901"/>
      <c r="H44" s="902"/>
    </row>
    <row r="45" spans="2:8">
      <c r="B45" s="608">
        <v>6</v>
      </c>
      <c r="C45" s="644"/>
      <c r="D45" s="607"/>
      <c r="E45" s="897"/>
      <c r="F45" s="898"/>
      <c r="G45" s="901"/>
      <c r="H45" s="902"/>
    </row>
    <row r="46" spans="2:8">
      <c r="B46" s="608">
        <v>7</v>
      </c>
      <c r="C46" s="644"/>
      <c r="D46" s="607"/>
      <c r="E46" s="897"/>
      <c r="F46" s="898"/>
      <c r="G46" s="901"/>
      <c r="H46" s="902"/>
    </row>
    <row r="47" spans="2:8">
      <c r="B47" s="608">
        <v>8</v>
      </c>
      <c r="C47" s="644"/>
      <c r="D47" s="607"/>
      <c r="E47" s="897"/>
      <c r="F47" s="898"/>
      <c r="G47" s="901"/>
      <c r="H47" s="902"/>
    </row>
    <row r="48" spans="2:8">
      <c r="B48" s="608">
        <v>9</v>
      </c>
      <c r="C48" s="644"/>
      <c r="D48" s="607"/>
      <c r="E48" s="897"/>
      <c r="F48" s="898"/>
      <c r="G48" s="901"/>
      <c r="H48" s="902"/>
    </row>
    <row r="49" spans="2:8">
      <c r="B49" s="608">
        <v>10</v>
      </c>
      <c r="C49" s="644"/>
      <c r="D49" s="607"/>
      <c r="E49" s="897"/>
      <c r="F49" s="898"/>
      <c r="G49" s="901"/>
      <c r="H49" s="902"/>
    </row>
    <row r="50" spans="2:8">
      <c r="B50" s="608" t="s">
        <v>480</v>
      </c>
      <c r="C50" s="644"/>
      <c r="D50" s="607"/>
      <c r="E50" s="897"/>
      <c r="F50" s="898"/>
      <c r="G50" s="901"/>
      <c r="H50" s="902"/>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AF96"/>
  <sheetViews>
    <sheetView topLeftCell="D22" zoomScale="80" zoomScaleNormal="80" workbookViewId="0">
      <selection activeCell="H22" sqref="H22"/>
    </sheetView>
  </sheetViews>
  <sheetFormatPr defaultColWidth="9.08984375" defaultRowHeight="14.5"/>
  <cols>
    <col min="1" max="1" width="5.36328125" style="12" customWidth="1"/>
    <col min="2" max="2" width="27.36328125" style="10" customWidth="1"/>
    <col min="3" max="3" width="19.1796875" style="10" customWidth="1"/>
    <col min="4" max="4" width="28" style="12" customWidth="1"/>
    <col min="5" max="5" width="20.54296875" style="12" customWidth="1"/>
    <col min="6" max="6" width="19.90625" style="12" customWidth="1"/>
    <col min="7" max="7" width="18" style="12" customWidth="1"/>
    <col min="8" max="8" width="20.1796875" style="12" customWidth="1"/>
    <col min="9" max="9" width="18" style="12" customWidth="1"/>
    <col min="10" max="10" width="18.90625" style="12" customWidth="1"/>
    <col min="11" max="11" width="15.1796875" style="12" customWidth="1"/>
    <col min="12" max="12" width="17.7265625" style="12" customWidth="1"/>
    <col min="13" max="13" width="17.81640625" style="12" customWidth="1"/>
    <col min="14" max="14" width="16.81640625" style="12" customWidth="1"/>
    <col min="15" max="15" width="15.7265625" style="12" customWidth="1"/>
    <col min="16" max="16" width="16.1796875" style="12" customWidth="1"/>
    <col min="17" max="17" width="16.36328125" style="12" customWidth="1"/>
    <col min="18" max="18" width="13.54296875" style="12" customWidth="1"/>
    <col min="19" max="19" width="13.90625" style="12" customWidth="1"/>
    <col min="20" max="20" width="20" style="12" customWidth="1"/>
    <col min="21" max="21" width="10.08984375" style="12" customWidth="1"/>
    <col min="22" max="30" width="14" style="12" customWidth="1"/>
    <col min="31" max="16384" width="9.0898437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551</v>
      </c>
      <c r="P7" s="105"/>
      <c r="Q7" s="105"/>
    </row>
    <row r="8" spans="2:17" s="104" customFormat="1" ht="30" customHeight="1">
      <c r="D8" s="574"/>
      <c r="P8" s="105"/>
      <c r="Q8" s="105"/>
    </row>
    <row r="9" spans="2:17" s="2" customFormat="1" ht="24.75" customHeight="1">
      <c r="B9" s="118" t="s">
        <v>411</v>
      </c>
      <c r="C9" s="17"/>
      <c r="D9" s="455">
        <v>2015</v>
      </c>
    </row>
    <row r="10" spans="2:17" s="17" customFormat="1" ht="16.5" customHeight="1"/>
    <row r="11" spans="2:17" s="17" customFormat="1" ht="36.75" customHeight="1">
      <c r="B11" s="903" t="s">
        <v>756</v>
      </c>
      <c r="C11" s="903"/>
      <c r="D11" s="903"/>
      <c r="E11" s="903"/>
      <c r="F11" s="903"/>
      <c r="G11" s="903"/>
      <c r="H11" s="903"/>
      <c r="I11" s="903"/>
      <c r="J11" s="903"/>
      <c r="K11" s="903"/>
      <c r="L11" s="903"/>
      <c r="M11" s="903"/>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 to 999 kW (I1 &amp; I4)</v>
      </c>
      <c r="G13" s="243" t="str">
        <f>'1.  LRAMVA Summary'!G52</f>
        <v>GS 1,000 to 4,999 kW (I2)</v>
      </c>
      <c r="H13" s="243" t="str">
        <f>'1.  LRAMVA Summary'!H52</f>
        <v>Large Use (I3)</v>
      </c>
      <c r="I13" s="243" t="str">
        <f>'1.  LRAMVA Summary'!I52</f>
        <v>Street Lighting</v>
      </c>
      <c r="J13" s="243" t="str">
        <f>'1.  LRAMVA Summary'!J52</f>
        <v>USL</v>
      </c>
      <c r="K13" s="243" t="str">
        <f>'1.  LRAMVA Summary'!K52</f>
        <v>Sentinel Lights</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v>
      </c>
      <c r="I14" s="579" t="str">
        <f>'1.  LRAMVA Summary'!I53</f>
        <v>kW</v>
      </c>
      <c r="J14" s="579" t="str">
        <f>'1.  LRAMVA Summary'!J53</f>
        <v>kWh</v>
      </c>
      <c r="K14" s="579" t="str">
        <f>'1.  LRAMVA Summary'!K53</f>
        <v>kW</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12166667</v>
      </c>
      <c r="D15" s="755">
        <v>3834791.1453266889</v>
      </c>
      <c r="E15" s="755">
        <v>1008700.2017302075</v>
      </c>
      <c r="F15" s="755">
        <v>2505248.311070208</v>
      </c>
      <c r="G15" s="755">
        <v>612169.61697435426</v>
      </c>
      <c r="H15" s="755">
        <v>338528.1295386409</v>
      </c>
      <c r="I15" s="755">
        <v>3846486.6557611316</v>
      </c>
      <c r="J15" s="755">
        <v>20523.098251560299</v>
      </c>
      <c r="K15" s="755">
        <v>219.84134720893545</v>
      </c>
      <c r="L15" s="451"/>
      <c r="M15" s="451"/>
      <c r="N15" s="451"/>
      <c r="O15" s="451"/>
      <c r="P15" s="452"/>
      <c r="Q15" s="452"/>
    </row>
    <row r="16" spans="2:17" s="456" customFormat="1" ht="15.75" customHeight="1">
      <c r="B16" s="461" t="s">
        <v>28</v>
      </c>
      <c r="C16" s="626">
        <f>SUM(D16:Q16)</f>
        <v>19167.978772931558</v>
      </c>
      <c r="D16" s="756"/>
      <c r="E16" s="756"/>
      <c r="F16" s="756">
        <v>6327.6224003132484</v>
      </c>
      <c r="G16" s="756">
        <v>1352.3687505855519</v>
      </c>
      <c r="H16" s="756">
        <v>765.74694814587633</v>
      </c>
      <c r="I16" s="756">
        <v>10721.240673886883</v>
      </c>
      <c r="J16" s="756"/>
      <c r="K16" s="757">
        <v>1</v>
      </c>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3834791.1453266889</v>
      </c>
      <c r="E18" s="192">
        <f t="shared" si="0"/>
        <v>1008700.2017302075</v>
      </c>
      <c r="F18" s="192">
        <f>IF(F14="kw",HLOOKUP(F14,F14:F16,3,FALSE),HLOOKUP(F14,F14:F16,2,FALSE))</f>
        <v>6327.6224003132484</v>
      </c>
      <c r="G18" s="192">
        <f t="shared" ref="G18:Q18" si="1">IF(G14="kw",HLOOKUP(G14,G14:G16,3,FALSE),HLOOKUP(G14,G14:G16,2,FALSE))</f>
        <v>1352.3687505855519</v>
      </c>
      <c r="H18" s="192">
        <f t="shared" si="1"/>
        <v>765.74694814587633</v>
      </c>
      <c r="I18" s="192">
        <f t="shared" si="1"/>
        <v>10721.240673886883</v>
      </c>
      <c r="J18" s="192">
        <f t="shared" si="1"/>
        <v>20523.098251560299</v>
      </c>
      <c r="K18" s="192">
        <f t="shared" si="1"/>
        <v>1</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673</v>
      </c>
      <c r="C20" s="453"/>
      <c r="D20" s="454"/>
    </row>
    <row r="21" spans="2:17" s="438" customFormat="1" ht="21" customHeight="1">
      <c r="B21" s="460" t="s">
        <v>366</v>
      </c>
      <c r="C21" s="453" t="s">
        <v>413</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903" t="s">
        <v>756</v>
      </c>
      <c r="C26" s="903"/>
      <c r="D26" s="903"/>
      <c r="E26" s="903"/>
      <c r="F26" s="903"/>
      <c r="G26" s="903"/>
      <c r="H26" s="903"/>
      <c r="I26" s="903"/>
      <c r="J26" s="903"/>
      <c r="K26" s="903"/>
      <c r="L26" s="903"/>
      <c r="M26" s="903"/>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 to 999 kW (I1 &amp; I4)</v>
      </c>
      <c r="G28" s="243" t="str">
        <f>'1.  LRAMVA Summary'!G52</f>
        <v>GS 1,000 to 4,999 kW (I2)</v>
      </c>
      <c r="H28" s="243" t="str">
        <f>'1.  LRAMVA Summary'!H52</f>
        <v>Large Use (I3)</v>
      </c>
      <c r="I28" s="243" t="str">
        <f>'1.  LRAMVA Summary'!I52</f>
        <v>Street Lighting</v>
      </c>
      <c r="J28" s="243" t="str">
        <f>'1.  LRAMVA Summary'!J52</f>
        <v>USL</v>
      </c>
      <c r="K28" s="243" t="str">
        <f>'1.  LRAMVA Summary'!K52</f>
        <v>Sentinel Lights</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v>
      </c>
      <c r="I29" s="579" t="str">
        <f>'1.  LRAMVA Summary'!I53</f>
        <v>kW</v>
      </c>
      <c r="J29" s="579" t="str">
        <f>'1.  LRAMVA Summary'!J53</f>
        <v>kWh</v>
      </c>
      <c r="K29" s="579" t="str">
        <f>'1.  LRAMVA Summary'!K53</f>
        <v>kW</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673</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5">
      <c r="B39" s="118" t="s">
        <v>453</v>
      </c>
      <c r="C39" s="35"/>
      <c r="D39" s="34"/>
      <c r="E39" s="39"/>
      <c r="F39" s="40"/>
    </row>
    <row r="40" spans="2:32" s="70" customFormat="1" ht="39" customHeight="1">
      <c r="B40" s="903" t="s">
        <v>610</v>
      </c>
      <c r="C40" s="903"/>
      <c r="D40" s="903"/>
      <c r="E40" s="903"/>
      <c r="F40" s="903"/>
      <c r="G40" s="903"/>
      <c r="H40" s="903"/>
      <c r="I40" s="903"/>
      <c r="J40" s="903"/>
      <c r="K40" s="903"/>
      <c r="L40" s="903"/>
      <c r="M40" s="903"/>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607</v>
      </c>
      <c r="D42" s="243" t="str">
        <f>'1.  LRAMVA Summary'!D52</f>
        <v>Residential</v>
      </c>
      <c r="E42" s="243" t="str">
        <f>'1.  LRAMVA Summary'!E52</f>
        <v>GS&lt;50 kW</v>
      </c>
      <c r="F42" s="243" t="str">
        <f>'1.  LRAMVA Summary'!F52</f>
        <v>GS 50 to 999 kW (I1 &amp; I4)</v>
      </c>
      <c r="G42" s="243" t="str">
        <f>'1.  LRAMVA Summary'!G52</f>
        <v>GS 1,000 to 4,999 kW (I2)</v>
      </c>
      <c r="H42" s="243" t="str">
        <f>'1.  LRAMVA Summary'!H52</f>
        <v>Large Use (I3)</v>
      </c>
      <c r="I42" s="243" t="str">
        <f>'1.  LRAMVA Summary'!I52</f>
        <v>Street Lighting</v>
      </c>
      <c r="J42" s="243" t="str">
        <f>'1.  LRAMVA Summary'!J52</f>
        <v>USL</v>
      </c>
      <c r="K42" s="243" t="str">
        <f>'1.  LRAMVA Summary'!K52</f>
        <v>Sentinel Lights</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v>
      </c>
      <c r="I43" s="583" t="str">
        <f>'1.  LRAMVA Summary'!I53</f>
        <v>kW</v>
      </c>
      <c r="J43" s="583" t="str">
        <f>'1.  LRAMVA Summary'!J53</f>
        <v>kWh</v>
      </c>
      <c r="K43" s="583" t="str">
        <f>'1.  LRAMVA Summary'!K53</f>
        <v>kW</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5">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5">
      <c r="B48" s="171">
        <v>2015</v>
      </c>
      <c r="C48" s="534"/>
      <c r="D48" s="754">
        <v>4981199.5291091874</v>
      </c>
      <c r="E48" s="754">
        <v>1361536.3259612024</v>
      </c>
      <c r="F48" s="754">
        <v>8632.5023659816015</v>
      </c>
      <c r="G48" s="754">
        <v>1829.9478401877302</v>
      </c>
      <c r="H48" s="754">
        <v>991.59594282963769</v>
      </c>
      <c r="I48" s="754">
        <v>1859.4897713598079</v>
      </c>
      <c r="J48" s="754">
        <v>27620.028656326998</v>
      </c>
      <c r="K48" s="754">
        <v>1.0297238639205715</v>
      </c>
      <c r="L48" s="190">
        <f t="shared" ref="L48:Q48" si="7">IF(ISBLANK($C$48),0,IF($C$48=$D$9,HLOOKUP(L43,L14:L18,5,FALSE),HLOOKUP(L43,L29:L33,5,FALSE)))</f>
        <v>0</v>
      </c>
      <c r="M48" s="190">
        <f t="shared" si="7"/>
        <v>0</v>
      </c>
      <c r="N48" s="190">
        <f t="shared" si="7"/>
        <v>0</v>
      </c>
      <c r="O48" s="190">
        <f t="shared" si="7"/>
        <v>0</v>
      </c>
      <c r="P48" s="190">
        <f t="shared" si="7"/>
        <v>0</v>
      </c>
      <c r="Q48" s="190">
        <f t="shared" si="7"/>
        <v>0</v>
      </c>
      <c r="R48" s="163"/>
      <c r="AF48" s="163"/>
    </row>
    <row r="49" spans="2:32" s="17" customFormat="1" ht="15.5">
      <c r="B49" s="171">
        <v>2016</v>
      </c>
      <c r="C49" s="534"/>
      <c r="D49" s="754">
        <v>9064408.1084951535</v>
      </c>
      <c r="E49" s="754">
        <v>2458649.0843207836</v>
      </c>
      <c r="F49" s="754">
        <v>15555.490152897743</v>
      </c>
      <c r="G49" s="754">
        <v>3302.8721306563293</v>
      </c>
      <c r="H49" s="754">
        <v>1805.5545551481873</v>
      </c>
      <c r="I49" s="754">
        <v>11427.954271961493</v>
      </c>
      <c r="J49" s="754">
        <v>49905.406281959135</v>
      </c>
      <c r="K49" s="754">
        <v>1.7982324913956069</v>
      </c>
      <c r="L49" s="190">
        <f t="shared" ref="L49:Q49" si="8">IF(ISBLANK($C$49),0,IF($C$49=$D$9,HLOOKUP(L43,L14:L18,5,FALSE),HLOOKUP(L43,L29:L33,5,FALSE)))</f>
        <v>0</v>
      </c>
      <c r="M49" s="190">
        <f t="shared" si="8"/>
        <v>0</v>
      </c>
      <c r="N49" s="190">
        <f t="shared" si="8"/>
        <v>0</v>
      </c>
      <c r="O49" s="190">
        <f t="shared" si="8"/>
        <v>0</v>
      </c>
      <c r="P49" s="190">
        <f t="shared" si="8"/>
        <v>0</v>
      </c>
      <c r="Q49" s="190">
        <f t="shared" si="8"/>
        <v>0</v>
      </c>
      <c r="R49" s="163"/>
      <c r="AF49" s="163"/>
    </row>
    <row r="50" spans="2:32" s="17" customFormat="1" ht="15.5">
      <c r="B50" s="171">
        <v>2017</v>
      </c>
      <c r="C50" s="534"/>
      <c r="D50" s="754">
        <v>12376486.664670894</v>
      </c>
      <c r="E50" s="754">
        <v>3331319.4289040104</v>
      </c>
      <c r="F50" s="754">
        <v>21032.122849833977</v>
      </c>
      <c r="G50" s="754">
        <v>4472.982770541802</v>
      </c>
      <c r="H50" s="754">
        <v>2466.8282011508268</v>
      </c>
      <c r="I50" s="754">
        <v>12760</v>
      </c>
      <c r="J50" s="754">
        <v>67658.673932357386</v>
      </c>
      <c r="K50" s="754">
        <v>2.3562605855112158</v>
      </c>
      <c r="L50" s="190">
        <f t="shared" ref="L50:Q50" si="9">IF(ISBLANK($C$50),0,IF($C$50=$D$9,HLOOKUP(L43,L14:L18,5,FALSE),HLOOKUP(L43,L29:L33,5,FALSE)))</f>
        <v>0</v>
      </c>
      <c r="M50" s="190">
        <f t="shared" si="9"/>
        <v>0</v>
      </c>
      <c r="N50" s="190">
        <f t="shared" si="9"/>
        <v>0</v>
      </c>
      <c r="O50" s="190">
        <f t="shared" si="9"/>
        <v>0</v>
      </c>
      <c r="P50" s="190">
        <f t="shared" si="9"/>
        <v>0</v>
      </c>
      <c r="Q50" s="190">
        <f t="shared" si="9"/>
        <v>0</v>
      </c>
      <c r="R50" s="163"/>
      <c r="AF50" s="163"/>
    </row>
    <row r="51" spans="2:32" s="17" customFormat="1" ht="15.5">
      <c r="B51" s="171">
        <v>2018</v>
      </c>
      <c r="C51" s="534"/>
      <c r="D51" s="754">
        <v>17145054.172324412</v>
      </c>
      <c r="E51" s="754">
        <v>4579515.8201208208</v>
      </c>
      <c r="F51" s="754">
        <v>28851.34574581933</v>
      </c>
      <c r="G51" s="754">
        <v>6145.9107043330914</v>
      </c>
      <c r="H51" s="754">
        <v>3419.406634393255</v>
      </c>
      <c r="I51" s="754">
        <v>12760</v>
      </c>
      <c r="J51" s="754">
        <v>93064.258959013459</v>
      </c>
      <c r="K51" s="754">
        <v>3.1324514791794362</v>
      </c>
      <c r="L51" s="190">
        <f t="shared" ref="L51:Q51" si="10">IF(ISBLANK($C$51),0,IF($C$51=$D$9,HLOOKUP(L43,L14:L18,5,FALSE),HLOOKUP(L43,L29:L33,5,FALSE)))</f>
        <v>0</v>
      </c>
      <c r="M51" s="190">
        <f t="shared" si="10"/>
        <v>0</v>
      </c>
      <c r="N51" s="190">
        <f t="shared" si="10"/>
        <v>0</v>
      </c>
      <c r="O51" s="190">
        <f t="shared" si="10"/>
        <v>0</v>
      </c>
      <c r="P51" s="190">
        <f t="shared" si="10"/>
        <v>0</v>
      </c>
      <c r="Q51" s="190">
        <f t="shared" si="10"/>
        <v>0</v>
      </c>
      <c r="R51" s="163"/>
      <c r="AF51" s="163"/>
    </row>
    <row r="52" spans="2:32" s="17" customFormat="1" ht="15.5">
      <c r="B52" s="171">
        <v>2019</v>
      </c>
      <c r="C52" s="534"/>
      <c r="D52" s="754">
        <v>23684777.690771606</v>
      </c>
      <c r="E52" s="754">
        <v>6277862.757266609</v>
      </c>
      <c r="F52" s="754">
        <v>39467.353745152323</v>
      </c>
      <c r="G52" s="754">
        <v>8421.0109922061147</v>
      </c>
      <c r="H52" s="754">
        <v>4726.6295185435147</v>
      </c>
      <c r="I52" s="754">
        <v>12760</v>
      </c>
      <c r="J52" s="754">
        <v>127653.09034468187</v>
      </c>
      <c r="K52" s="754">
        <v>4.1527363006044018</v>
      </c>
      <c r="L52" s="190">
        <f t="shared" ref="L52:Q52" si="11">IF(ISBLANK($C$52),0,IF($C$52=$D$9,HLOOKUP(L43,L14:L18,5,FALSE),HLOOKUP(L43,L29:L33,5,FALSE)))</f>
        <v>0</v>
      </c>
      <c r="M52" s="190">
        <f t="shared" si="11"/>
        <v>0</v>
      </c>
      <c r="N52" s="190">
        <f t="shared" si="11"/>
        <v>0</v>
      </c>
      <c r="O52" s="190">
        <f t="shared" si="11"/>
        <v>0</v>
      </c>
      <c r="P52" s="190">
        <f t="shared" si="11"/>
        <v>0</v>
      </c>
      <c r="Q52" s="190">
        <f t="shared" si="11"/>
        <v>0</v>
      </c>
      <c r="R52" s="163"/>
      <c r="AF52" s="163"/>
    </row>
    <row r="53" spans="2:32" s="17" customFormat="1" ht="15.5" hidden="1">
      <c r="B53" s="171">
        <v>2020</v>
      </c>
      <c r="C53" s="534"/>
      <c r="D53" s="190">
        <f t="shared" ref="D53:Q53" si="12">IF(ISBLANK($C$53),0,IF($C$53=$D$9,HLOOKUP(D43,D14:D18,5,FALSE),HLOOKUP(D43,D29:D33,5,FALSE)))</f>
        <v>0</v>
      </c>
      <c r="E53" s="190">
        <f t="shared" si="12"/>
        <v>0</v>
      </c>
      <c r="F53" s="190">
        <f t="shared" si="12"/>
        <v>0</v>
      </c>
      <c r="G53" s="190">
        <f t="shared" si="12"/>
        <v>0</v>
      </c>
      <c r="H53" s="190">
        <f t="shared" si="12"/>
        <v>0</v>
      </c>
      <c r="I53" s="190">
        <f t="shared" si="12"/>
        <v>0</v>
      </c>
      <c r="J53" s="190">
        <f t="shared" si="12"/>
        <v>0</v>
      </c>
      <c r="K53" s="190">
        <f t="shared" si="12"/>
        <v>0</v>
      </c>
      <c r="L53" s="190">
        <f t="shared" si="12"/>
        <v>0</v>
      </c>
      <c r="M53" s="190">
        <f t="shared" si="12"/>
        <v>0</v>
      </c>
      <c r="N53" s="190">
        <f t="shared" si="12"/>
        <v>0</v>
      </c>
      <c r="O53" s="190">
        <f t="shared" si="12"/>
        <v>0</v>
      </c>
      <c r="P53" s="190">
        <f t="shared" si="12"/>
        <v>0</v>
      </c>
      <c r="Q53" s="190">
        <f t="shared" si="12"/>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3" scale="54"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Z136"/>
  <sheetViews>
    <sheetView topLeftCell="A121" zoomScale="80" zoomScaleNormal="80" workbookViewId="0">
      <selection activeCell="C137" sqref="C137"/>
    </sheetView>
  </sheetViews>
  <sheetFormatPr defaultColWidth="9.08984375" defaultRowHeight="14.5" outlineLevelRow="1" outlineLevelCol="1"/>
  <cols>
    <col min="1" max="1" width="6.54296875" style="4" customWidth="1"/>
    <col min="2" max="2" width="36.54296875" style="5" customWidth="1"/>
    <col min="3" max="3" width="16.90625" style="78" customWidth="1"/>
    <col min="4" max="5" width="17.90625" style="5" hidden="1" customWidth="1" outlineLevel="1"/>
    <col min="6" max="6" width="18.6328125" style="5" hidden="1" customWidth="1" outlineLevel="1"/>
    <col min="7" max="8" width="15.453125" style="5" hidden="1" customWidth="1" outlineLevel="1"/>
    <col min="9" max="9" width="17.36328125" style="5" customWidth="1" collapsed="1"/>
    <col min="10" max="13" width="15.90625" style="5" customWidth="1"/>
    <col min="14" max="14" width="18.90625" style="5" customWidth="1"/>
    <col min="15" max="15" width="16.54296875" style="5" hidden="1" customWidth="1" outlineLevel="1"/>
    <col min="16" max="16" width="17.08984375" style="5" customWidth="1" collapsed="1"/>
    <col min="17" max="16384" width="9.0898437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904" t="s">
        <v>171</v>
      </c>
      <c r="C4" s="85" t="s">
        <v>175</v>
      </c>
      <c r="D4" s="85"/>
      <c r="E4" s="49"/>
    </row>
    <row r="5" spans="1:26" s="18" customFormat="1" ht="26.25" hidden="1" customHeight="1" outlineLevel="1" thickBot="1">
      <c r="A5" s="4"/>
      <c r="B5" s="904"/>
      <c r="C5" s="86" t="s">
        <v>172</v>
      </c>
      <c r="D5" s="86"/>
      <c r="E5" s="49"/>
    </row>
    <row r="6" spans="1:26" ht="26.25" hidden="1" customHeight="1" outlineLevel="1" thickBot="1">
      <c r="B6" s="904"/>
      <c r="C6" s="910" t="s">
        <v>551</v>
      </c>
      <c r="D6" s="911"/>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527</v>
      </c>
      <c r="C8" s="594" t="s">
        <v>482</v>
      </c>
      <c r="D8" s="593"/>
      <c r="M8" s="6"/>
      <c r="N8" s="6"/>
      <c r="O8" s="6"/>
      <c r="P8" s="6"/>
      <c r="Q8" s="6"/>
      <c r="R8" s="6"/>
      <c r="S8" s="6"/>
      <c r="T8" s="6"/>
      <c r="U8" s="6"/>
      <c r="V8" s="6"/>
      <c r="W8" s="6"/>
      <c r="X8" s="6"/>
      <c r="Y8" s="6"/>
      <c r="Z8" s="6"/>
    </row>
    <row r="9" spans="1:26" s="18" customFormat="1" ht="19.5" hidden="1" customHeight="1" outlineLevel="1">
      <c r="A9" s="4"/>
      <c r="B9" s="540"/>
      <c r="C9" s="594" t="s">
        <v>528</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912" t="s">
        <v>618</v>
      </c>
      <c r="C12" s="912"/>
      <c r="D12" s="912"/>
      <c r="E12" s="912"/>
      <c r="F12" s="912"/>
      <c r="G12" s="912"/>
      <c r="H12" s="912"/>
      <c r="I12" s="912"/>
      <c r="J12" s="912"/>
      <c r="K12" s="912"/>
      <c r="L12" s="912"/>
      <c r="M12" s="912"/>
      <c r="N12" s="912"/>
      <c r="O12" s="912"/>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563</v>
      </c>
      <c r="E14" s="472" t="s">
        <v>564</v>
      </c>
      <c r="F14" s="472" t="s">
        <v>565</v>
      </c>
      <c r="G14" s="472" t="s">
        <v>566</v>
      </c>
      <c r="H14" s="472" t="s">
        <v>567</v>
      </c>
      <c r="I14" s="472" t="s">
        <v>772</v>
      </c>
      <c r="J14" s="472" t="s">
        <v>772</v>
      </c>
      <c r="K14" s="472" t="s">
        <v>772</v>
      </c>
      <c r="L14" s="472" t="s">
        <v>773</v>
      </c>
      <c r="M14" s="472" t="s">
        <v>773</v>
      </c>
      <c r="N14" s="472" t="s">
        <v>758</v>
      </c>
      <c r="O14" s="472" t="s">
        <v>568</v>
      </c>
      <c r="P14" s="7"/>
    </row>
    <row r="15" spans="1:26" s="7" customFormat="1" ht="18.75" customHeight="1">
      <c r="B15" s="473" t="s">
        <v>188</v>
      </c>
      <c r="C15" s="905"/>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906"/>
      <c r="D16" s="477"/>
      <c r="E16" s="477"/>
      <c r="F16" s="477"/>
      <c r="G16" s="477"/>
      <c r="H16" s="477"/>
      <c r="I16" s="477">
        <v>0</v>
      </c>
      <c r="J16" s="477">
        <v>0</v>
      </c>
      <c r="K16" s="477">
        <v>0</v>
      </c>
      <c r="L16" s="477">
        <v>0</v>
      </c>
      <c r="M16" s="477">
        <v>0</v>
      </c>
      <c r="N16" s="477">
        <v>0</v>
      </c>
      <c r="O16" s="478"/>
    </row>
    <row r="17" spans="1:15" s="111" customFormat="1" ht="17.25" customHeight="1">
      <c r="B17" s="479" t="s">
        <v>560</v>
      </c>
      <c r="C17" s="907"/>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80" t="str">
        <f>'1.  LRAMVA Summary'!B29</f>
        <v>Residential</v>
      </c>
      <c r="C18" s="908" t="str">
        <f>'2. LRAMVA Threshold'!D43</f>
        <v>kWh</v>
      </c>
      <c r="D18" s="46"/>
      <c r="E18" s="46"/>
      <c r="F18" s="46"/>
      <c r="G18" s="46"/>
      <c r="H18" s="46"/>
      <c r="I18" s="46">
        <v>1.2E-2</v>
      </c>
      <c r="J18" s="46">
        <v>1.4200000000000001E-2</v>
      </c>
      <c r="K18" s="46">
        <v>1.09E-2</v>
      </c>
      <c r="L18" s="46">
        <v>7.5999999999999991E-3</v>
      </c>
      <c r="M18" s="46">
        <v>4.0000000000000001E-3</v>
      </c>
      <c r="N18" s="46">
        <v>0</v>
      </c>
      <c r="O18" s="69"/>
    </row>
    <row r="19" spans="1:15" s="7" customFormat="1" ht="15" customHeight="1" outlineLevel="1">
      <c r="B19" s="536" t="s">
        <v>511</v>
      </c>
      <c r="C19" s="906"/>
      <c r="D19" s="46"/>
      <c r="E19" s="46"/>
      <c r="F19" s="46"/>
      <c r="G19" s="46"/>
      <c r="H19" s="46"/>
      <c r="I19" s="46"/>
      <c r="J19" s="46"/>
      <c r="K19" s="46"/>
      <c r="L19" s="46"/>
      <c r="M19" s="46"/>
      <c r="N19" s="46"/>
      <c r="O19" s="69"/>
    </row>
    <row r="20" spans="1:15" s="7" customFormat="1" ht="15" customHeight="1" outlineLevel="1">
      <c r="B20" s="536" t="s">
        <v>512</v>
      </c>
      <c r="C20" s="906"/>
      <c r="D20" s="46"/>
      <c r="E20" s="46"/>
      <c r="F20" s="46"/>
      <c r="G20" s="46"/>
      <c r="H20" s="46"/>
      <c r="I20" s="46"/>
      <c r="J20" s="46"/>
      <c r="K20" s="46"/>
      <c r="L20" s="46"/>
      <c r="M20" s="46"/>
      <c r="N20" s="46"/>
      <c r="O20" s="69"/>
    </row>
    <row r="21" spans="1:15" s="7" customFormat="1" ht="15" customHeight="1" outlineLevel="1">
      <c r="B21" s="536" t="s">
        <v>490</v>
      </c>
      <c r="C21" s="906"/>
      <c r="D21" s="46"/>
      <c r="E21" s="46"/>
      <c r="F21" s="46"/>
      <c r="G21" s="46"/>
      <c r="H21" s="46"/>
      <c r="I21" s="46"/>
      <c r="J21" s="46"/>
      <c r="K21" s="46"/>
      <c r="L21" s="46"/>
      <c r="M21" s="46"/>
      <c r="N21" s="46"/>
      <c r="O21" s="69"/>
    </row>
    <row r="22" spans="1:15" s="7" customFormat="1" ht="14.25" customHeight="1">
      <c r="B22" s="536" t="s">
        <v>513</v>
      </c>
      <c r="C22" s="909"/>
      <c r="D22" s="65">
        <f>SUM(D18:D21)</f>
        <v>0</v>
      </c>
      <c r="E22" s="65">
        <f>SUM(E18:E21)</f>
        <v>0</v>
      </c>
      <c r="F22" s="65">
        <f>SUM(F18:F21)</f>
        <v>0</v>
      </c>
      <c r="G22" s="65">
        <f t="shared" ref="G22:N22" si="2">SUM(G18:G21)</f>
        <v>0</v>
      </c>
      <c r="H22" s="65">
        <f t="shared" si="2"/>
        <v>0</v>
      </c>
      <c r="I22" s="65">
        <f t="shared" si="2"/>
        <v>1.2E-2</v>
      </c>
      <c r="J22" s="65">
        <f t="shared" si="2"/>
        <v>1.4200000000000001E-2</v>
      </c>
      <c r="K22" s="65">
        <f t="shared" si="2"/>
        <v>1.09E-2</v>
      </c>
      <c r="L22" s="65">
        <f t="shared" si="2"/>
        <v>7.5999999999999991E-3</v>
      </c>
      <c r="M22" s="65">
        <f t="shared" si="2"/>
        <v>4.0000000000000001E-3</v>
      </c>
      <c r="N22" s="65">
        <f t="shared" si="2"/>
        <v>0</v>
      </c>
      <c r="O22" s="76"/>
    </row>
    <row r="23" spans="1:15" s="63" customFormat="1">
      <c r="A23" s="62"/>
      <c r="B23" s="492" t="s">
        <v>514</v>
      </c>
      <c r="C23" s="482"/>
      <c r="D23" s="483"/>
      <c r="E23" s="484">
        <f>ROUND(SUM(D22*E16+E22*E17)/12,4)</f>
        <v>0</v>
      </c>
      <c r="F23" s="484">
        <f>ROUND(SUM(E22*F16+F22*F17)/12,4)</f>
        <v>0</v>
      </c>
      <c r="G23" s="484">
        <f>ROUND(SUM(F22*G16+G22*G17)/12,4)</f>
        <v>0</v>
      </c>
      <c r="H23" s="484">
        <f>ROUND(SUM(G22*H16+H22*H17)/12,4)</f>
        <v>0</v>
      </c>
      <c r="I23" s="484">
        <f>ROUND(SUM(H22*I16+I22*I17)/12,4)</f>
        <v>1.2E-2</v>
      </c>
      <c r="J23" s="484">
        <f t="shared" ref="J23:N23" si="3">ROUND(SUM(I22*J16+J22*J17)/12,4)</f>
        <v>1.4200000000000001E-2</v>
      </c>
      <c r="K23" s="484">
        <f t="shared" si="3"/>
        <v>1.09E-2</v>
      </c>
      <c r="L23" s="484">
        <f t="shared" si="3"/>
        <v>7.6E-3</v>
      </c>
      <c r="M23" s="484">
        <f t="shared" si="3"/>
        <v>4.0000000000000001E-3</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908" t="str">
        <f>'2. LRAMVA Threshold'!E43</f>
        <v>kWh</v>
      </c>
      <c r="D25" s="46"/>
      <c r="E25" s="46"/>
      <c r="F25" s="46"/>
      <c r="G25" s="46"/>
      <c r="H25" s="46"/>
      <c r="I25" s="46">
        <v>1.7000000000000001E-2</v>
      </c>
      <c r="J25" s="46">
        <v>1.5699999999999999E-2</v>
      </c>
      <c r="K25" s="46">
        <v>1.61E-2</v>
      </c>
      <c r="L25" s="46">
        <v>1.67E-2</v>
      </c>
      <c r="M25" s="46">
        <v>1.7399999999999999E-2</v>
      </c>
      <c r="N25" s="46">
        <v>1.77E-2</v>
      </c>
      <c r="O25" s="69"/>
    </row>
    <row r="26" spans="1:15" s="18" customFormat="1" outlineLevel="1">
      <c r="A26" s="4"/>
      <c r="B26" s="536" t="s">
        <v>511</v>
      </c>
      <c r="C26" s="906"/>
      <c r="D26" s="46"/>
      <c r="E26" s="46"/>
      <c r="F26" s="46"/>
      <c r="G26" s="46"/>
      <c r="H26" s="46"/>
      <c r="I26" s="46"/>
      <c r="J26" s="46"/>
      <c r="K26" s="46"/>
      <c r="L26" s="46"/>
      <c r="M26" s="46"/>
      <c r="N26" s="46"/>
      <c r="O26" s="69"/>
    </row>
    <row r="27" spans="1:15" s="18" customFormat="1" outlineLevel="1">
      <c r="A27" s="4"/>
      <c r="B27" s="536" t="s">
        <v>512</v>
      </c>
      <c r="C27" s="906"/>
      <c r="D27" s="46"/>
      <c r="E27" s="46"/>
      <c r="F27" s="46"/>
      <c r="G27" s="46"/>
      <c r="H27" s="46"/>
      <c r="I27" s="46"/>
      <c r="J27" s="46"/>
      <c r="K27" s="46"/>
      <c r="L27" s="46"/>
      <c r="M27" s="46"/>
      <c r="N27" s="46"/>
      <c r="O27" s="69"/>
    </row>
    <row r="28" spans="1:15" s="18" customFormat="1" outlineLevel="1">
      <c r="A28" s="4"/>
      <c r="B28" s="536" t="s">
        <v>490</v>
      </c>
      <c r="C28" s="906"/>
      <c r="D28" s="46"/>
      <c r="E28" s="46"/>
      <c r="F28" s="46"/>
      <c r="G28" s="46"/>
      <c r="H28" s="46"/>
      <c r="I28" s="46"/>
      <c r="J28" s="46"/>
      <c r="K28" s="46"/>
      <c r="L28" s="46"/>
      <c r="M28" s="46"/>
      <c r="N28" s="46"/>
      <c r="O28" s="69"/>
    </row>
    <row r="29" spans="1:15" s="18" customFormat="1">
      <c r="A29" s="4"/>
      <c r="B29" s="536" t="s">
        <v>513</v>
      </c>
      <c r="C29" s="909"/>
      <c r="D29" s="65">
        <f>SUM(D25:D28)</f>
        <v>0</v>
      </c>
      <c r="E29" s="65">
        <f t="shared" ref="E29:N29" si="4">SUM(E25:E28)</f>
        <v>0</v>
      </c>
      <c r="F29" s="65">
        <f t="shared" si="4"/>
        <v>0</v>
      </c>
      <c r="G29" s="65">
        <f t="shared" si="4"/>
        <v>0</v>
      </c>
      <c r="H29" s="65">
        <f t="shared" si="4"/>
        <v>0</v>
      </c>
      <c r="I29" s="65">
        <f t="shared" si="4"/>
        <v>1.7000000000000001E-2</v>
      </c>
      <c r="J29" s="65">
        <f t="shared" si="4"/>
        <v>1.5699999999999999E-2</v>
      </c>
      <c r="K29" s="65">
        <f t="shared" si="4"/>
        <v>1.61E-2</v>
      </c>
      <c r="L29" s="65">
        <f t="shared" si="4"/>
        <v>1.67E-2</v>
      </c>
      <c r="M29" s="65">
        <f t="shared" si="4"/>
        <v>1.7399999999999999E-2</v>
      </c>
      <c r="N29" s="65">
        <f t="shared" si="4"/>
        <v>1.77E-2</v>
      </c>
      <c r="O29" s="76"/>
    </row>
    <row r="30" spans="1:15" s="18" customFormat="1">
      <c r="A30" s="4"/>
      <c r="B30" s="492" t="s">
        <v>514</v>
      </c>
      <c r="C30" s="488"/>
      <c r="D30" s="71"/>
      <c r="E30" s="484">
        <f>ROUND(SUM(D29*E16+E29*E17)/12,4)</f>
        <v>0</v>
      </c>
      <c r="F30" s="484">
        <f t="shared" ref="F30:N30" si="5">ROUND(SUM(E29*F16+F29*F17)/12,4)</f>
        <v>0</v>
      </c>
      <c r="G30" s="484">
        <f t="shared" si="5"/>
        <v>0</v>
      </c>
      <c r="H30" s="484">
        <f t="shared" si="5"/>
        <v>0</v>
      </c>
      <c r="I30" s="484">
        <f t="shared" si="5"/>
        <v>1.7000000000000001E-2</v>
      </c>
      <c r="J30" s="484">
        <f>ROUND(SUM(I29*J16+J29*J17)/12,4)</f>
        <v>1.5699999999999999E-2</v>
      </c>
      <c r="K30" s="484">
        <f t="shared" si="5"/>
        <v>1.61E-2</v>
      </c>
      <c r="L30" s="484">
        <f t="shared" si="5"/>
        <v>1.67E-2</v>
      </c>
      <c r="M30" s="484">
        <f t="shared" si="5"/>
        <v>1.7399999999999999E-2</v>
      </c>
      <c r="N30" s="484">
        <f t="shared" si="5"/>
        <v>1.77E-2</v>
      </c>
      <c r="O30" s="489"/>
    </row>
    <row r="31" spans="1:15" s="18" customFormat="1">
      <c r="A31" s="4"/>
      <c r="B31" s="481"/>
      <c r="C31" s="490"/>
      <c r="D31" s="491"/>
      <c r="E31" s="491"/>
      <c r="F31" s="491"/>
      <c r="G31" s="491"/>
      <c r="H31" s="491"/>
      <c r="I31" s="491"/>
      <c r="J31" s="491"/>
      <c r="K31" s="491"/>
      <c r="L31" s="491"/>
      <c r="M31" s="491"/>
      <c r="N31" s="487"/>
      <c r="O31" s="489"/>
    </row>
    <row r="32" spans="1:15" s="64" customFormat="1" ht="14">
      <c r="B32" s="604" t="str">
        <f>'1.  LRAMVA Summary'!B31</f>
        <v>GS 50 to 999 kW (I1 &amp; I4)</v>
      </c>
      <c r="C32" s="908" t="str">
        <f>'2. LRAMVA Threshold'!F43</f>
        <v>kW</v>
      </c>
      <c r="D32" s="46"/>
      <c r="E32" s="46"/>
      <c r="F32" s="46"/>
      <c r="G32" s="46"/>
      <c r="H32" s="46"/>
      <c r="I32" s="46">
        <v>3.7097000000000002</v>
      </c>
      <c r="J32" s="46">
        <v>4.4740000000000002</v>
      </c>
      <c r="K32" s="46">
        <v>4.5690999999999997</v>
      </c>
      <c r="L32" s="46">
        <v>4.7229999999999999</v>
      </c>
      <c r="M32" s="46">
        <v>4.9089999999999998</v>
      </c>
      <c r="N32" s="46">
        <v>4.9997999999999996</v>
      </c>
      <c r="O32" s="69"/>
    </row>
    <row r="33" spans="1:15" s="18" customFormat="1" outlineLevel="1">
      <c r="A33" s="4"/>
      <c r="B33" s="536" t="s">
        <v>511</v>
      </c>
      <c r="C33" s="906"/>
      <c r="D33" s="46"/>
      <c r="E33" s="46"/>
      <c r="F33" s="46"/>
      <c r="G33" s="46"/>
      <c r="H33" s="46"/>
      <c r="I33" s="46"/>
      <c r="J33" s="46"/>
      <c r="K33" s="46"/>
      <c r="L33" s="46"/>
      <c r="M33" s="46"/>
      <c r="N33" s="46"/>
      <c r="O33" s="69"/>
    </row>
    <row r="34" spans="1:15" s="18" customFormat="1" outlineLevel="1">
      <c r="A34" s="4"/>
      <c r="B34" s="536" t="s">
        <v>512</v>
      </c>
      <c r="C34" s="906"/>
      <c r="D34" s="46"/>
      <c r="E34" s="46"/>
      <c r="F34" s="46"/>
      <c r="G34" s="46"/>
      <c r="H34" s="46"/>
      <c r="I34" s="46"/>
      <c r="J34" s="46"/>
      <c r="K34" s="46"/>
      <c r="L34" s="46"/>
      <c r="M34" s="46"/>
      <c r="N34" s="46"/>
      <c r="O34" s="69"/>
    </row>
    <row r="35" spans="1:15" s="18" customFormat="1" outlineLevel="1">
      <c r="A35" s="4"/>
      <c r="B35" s="536" t="s">
        <v>490</v>
      </c>
      <c r="C35" s="906"/>
      <c r="D35" s="46"/>
      <c r="E35" s="46"/>
      <c r="F35" s="46"/>
      <c r="G35" s="46"/>
      <c r="H35" s="46"/>
      <c r="I35" s="46"/>
      <c r="J35" s="46"/>
      <c r="K35" s="46"/>
      <c r="L35" s="46"/>
      <c r="M35" s="46"/>
      <c r="N35" s="46"/>
      <c r="O35" s="69"/>
    </row>
    <row r="36" spans="1:15" s="18" customFormat="1">
      <c r="A36" s="4"/>
      <c r="B36" s="536" t="s">
        <v>513</v>
      </c>
      <c r="C36" s="909"/>
      <c r="D36" s="65">
        <f>SUM(D32:D35)</f>
        <v>0</v>
      </c>
      <c r="E36" s="65">
        <f>SUM(E32:E35)</f>
        <v>0</v>
      </c>
      <c r="F36" s="65">
        <f t="shared" ref="F36:M36" si="6">SUM(F32:F35)</f>
        <v>0</v>
      </c>
      <c r="G36" s="65">
        <f t="shared" si="6"/>
        <v>0</v>
      </c>
      <c r="H36" s="65">
        <f t="shared" si="6"/>
        <v>0</v>
      </c>
      <c r="I36" s="65">
        <f t="shared" si="6"/>
        <v>3.7097000000000002</v>
      </c>
      <c r="J36" s="65">
        <f t="shared" si="6"/>
        <v>4.4740000000000002</v>
      </c>
      <c r="K36" s="65">
        <f t="shared" si="6"/>
        <v>4.5690999999999997</v>
      </c>
      <c r="L36" s="65">
        <f t="shared" si="6"/>
        <v>4.7229999999999999</v>
      </c>
      <c r="M36" s="65">
        <f t="shared" si="6"/>
        <v>4.9089999999999998</v>
      </c>
      <c r="N36" s="65">
        <f>SUM(N32:N35)</f>
        <v>4.9997999999999996</v>
      </c>
      <c r="O36" s="76"/>
    </row>
    <row r="37" spans="1:15" s="18" customFormat="1">
      <c r="A37" s="4"/>
      <c r="B37" s="492" t="s">
        <v>514</v>
      </c>
      <c r="C37" s="488"/>
      <c r="D37" s="71"/>
      <c r="E37" s="484">
        <f t="shared" ref="E37:N37" si="7">ROUND(SUM(D36*E16+E36*E17)/12,4)</f>
        <v>0</v>
      </c>
      <c r="F37" s="484">
        <f t="shared" si="7"/>
        <v>0</v>
      </c>
      <c r="G37" s="484">
        <f t="shared" si="7"/>
        <v>0</v>
      </c>
      <c r="H37" s="484">
        <f t="shared" si="7"/>
        <v>0</v>
      </c>
      <c r="I37" s="484">
        <f t="shared" si="7"/>
        <v>3.7097000000000002</v>
      </c>
      <c r="J37" s="484">
        <f t="shared" si="7"/>
        <v>4.4740000000000002</v>
      </c>
      <c r="K37" s="484">
        <f t="shared" si="7"/>
        <v>4.5690999999999997</v>
      </c>
      <c r="L37" s="484">
        <f t="shared" si="7"/>
        <v>4.7229999999999999</v>
      </c>
      <c r="M37" s="484">
        <f t="shared" si="7"/>
        <v>4.9089999999999998</v>
      </c>
      <c r="N37" s="484">
        <f t="shared" si="7"/>
        <v>4.9997999999999996</v>
      </c>
      <c r="O37" s="489"/>
    </row>
    <row r="38" spans="1:15" s="70" customFormat="1" ht="15.75" customHeight="1">
      <c r="B38" s="492"/>
      <c r="C38" s="488"/>
      <c r="D38" s="71"/>
      <c r="E38" s="71"/>
      <c r="F38" s="71"/>
      <c r="G38" s="71"/>
      <c r="H38" s="71"/>
      <c r="I38" s="71"/>
      <c r="J38" s="71"/>
      <c r="K38" s="71"/>
      <c r="L38" s="487"/>
      <c r="M38" s="487"/>
      <c r="N38" s="487"/>
      <c r="O38" s="493"/>
    </row>
    <row r="39" spans="1:15" s="64" customFormat="1" ht="14">
      <c r="A39" s="62"/>
      <c r="B39" s="604" t="str">
        <f>'1.  LRAMVA Summary'!B32</f>
        <v>GS 1,000 to 4,999 kW (I2)</v>
      </c>
      <c r="C39" s="908" t="str">
        <f>'2. LRAMVA Threshold'!G43</f>
        <v>kW</v>
      </c>
      <c r="D39" s="46"/>
      <c r="E39" s="46"/>
      <c r="F39" s="46"/>
      <c r="G39" s="46"/>
      <c r="H39" s="46"/>
      <c r="I39" s="46">
        <v>2.5922999999999998</v>
      </c>
      <c r="J39" s="46">
        <v>2.3852000000000002</v>
      </c>
      <c r="K39" s="46">
        <v>2.4245999999999999</v>
      </c>
      <c r="L39" s="46">
        <v>2.4885000000000002</v>
      </c>
      <c r="M39" s="46">
        <v>2.5657000000000001</v>
      </c>
      <c r="N39" s="46">
        <v>2.6132</v>
      </c>
      <c r="O39" s="69"/>
    </row>
    <row r="40" spans="1:15" s="18" customFormat="1" outlineLevel="1">
      <c r="A40" s="4"/>
      <c r="B40" s="536" t="s">
        <v>511</v>
      </c>
      <c r="C40" s="906"/>
      <c r="D40" s="46"/>
      <c r="E40" s="46"/>
      <c r="F40" s="46"/>
      <c r="G40" s="46"/>
      <c r="H40" s="46"/>
      <c r="I40" s="46"/>
      <c r="J40" s="46"/>
      <c r="K40" s="46"/>
      <c r="L40" s="46"/>
      <c r="M40" s="46"/>
      <c r="N40" s="46"/>
      <c r="O40" s="69"/>
    </row>
    <row r="41" spans="1:15" s="18" customFormat="1" outlineLevel="1">
      <c r="A41" s="4"/>
      <c r="B41" s="536" t="s">
        <v>512</v>
      </c>
      <c r="C41" s="906"/>
      <c r="D41" s="46"/>
      <c r="E41" s="46"/>
      <c r="F41" s="46"/>
      <c r="G41" s="46"/>
      <c r="H41" s="46"/>
      <c r="I41" s="46"/>
      <c r="J41" s="46"/>
      <c r="K41" s="46"/>
      <c r="L41" s="46"/>
      <c r="M41" s="46"/>
      <c r="N41" s="46"/>
      <c r="O41" s="69"/>
    </row>
    <row r="42" spans="1:15" s="18" customFormat="1" outlineLevel="1">
      <c r="A42" s="4"/>
      <c r="B42" s="536" t="s">
        <v>490</v>
      </c>
      <c r="C42" s="906"/>
      <c r="D42" s="46"/>
      <c r="E42" s="46"/>
      <c r="F42" s="46"/>
      <c r="G42" s="46"/>
      <c r="H42" s="46"/>
      <c r="I42" s="46"/>
      <c r="J42" s="46"/>
      <c r="K42" s="46"/>
      <c r="L42" s="46"/>
      <c r="M42" s="46"/>
      <c r="N42" s="46"/>
      <c r="O42" s="69"/>
    </row>
    <row r="43" spans="1:15" s="18" customFormat="1">
      <c r="A43" s="4"/>
      <c r="B43" s="536" t="s">
        <v>513</v>
      </c>
      <c r="C43" s="909"/>
      <c r="D43" s="65">
        <f>SUM(D39:D42)</f>
        <v>0</v>
      </c>
      <c r="E43" s="65">
        <f t="shared" ref="E43:N43" si="8">SUM(E39:E42)</f>
        <v>0</v>
      </c>
      <c r="F43" s="65">
        <f t="shared" si="8"/>
        <v>0</v>
      </c>
      <c r="G43" s="65">
        <f t="shared" si="8"/>
        <v>0</v>
      </c>
      <c r="H43" s="65">
        <f t="shared" si="8"/>
        <v>0</v>
      </c>
      <c r="I43" s="65">
        <f t="shared" si="8"/>
        <v>2.5922999999999998</v>
      </c>
      <c r="J43" s="65">
        <f t="shared" si="8"/>
        <v>2.3852000000000002</v>
      </c>
      <c r="K43" s="65">
        <f t="shared" si="8"/>
        <v>2.4245999999999999</v>
      </c>
      <c r="L43" s="65">
        <f t="shared" si="8"/>
        <v>2.4885000000000002</v>
      </c>
      <c r="M43" s="65">
        <f t="shared" si="8"/>
        <v>2.5657000000000001</v>
      </c>
      <c r="N43" s="65">
        <f t="shared" si="8"/>
        <v>2.6132</v>
      </c>
      <c r="O43" s="76"/>
    </row>
    <row r="44" spans="1:15" s="14" customFormat="1">
      <c r="A44" s="72"/>
      <c r="B44" s="492" t="s">
        <v>514</v>
      </c>
      <c r="C44" s="488"/>
      <c r="D44" s="71"/>
      <c r="E44" s="484">
        <f t="shared" ref="E44:N44" si="9">ROUND(SUM(D43*E16+E43*E17)/12,4)</f>
        <v>0</v>
      </c>
      <c r="F44" s="484">
        <f t="shared" si="9"/>
        <v>0</v>
      </c>
      <c r="G44" s="484">
        <f t="shared" si="9"/>
        <v>0</v>
      </c>
      <c r="H44" s="484">
        <f t="shared" si="9"/>
        <v>0</v>
      </c>
      <c r="I44" s="484">
        <f t="shared" si="9"/>
        <v>2.5922999999999998</v>
      </c>
      <c r="J44" s="484">
        <f t="shared" si="9"/>
        <v>2.3852000000000002</v>
      </c>
      <c r="K44" s="484">
        <f t="shared" si="9"/>
        <v>2.4245999999999999</v>
      </c>
      <c r="L44" s="484">
        <f t="shared" si="9"/>
        <v>2.4885000000000002</v>
      </c>
      <c r="M44" s="484">
        <f t="shared" si="9"/>
        <v>2.5657000000000001</v>
      </c>
      <c r="N44" s="484">
        <f t="shared" si="9"/>
        <v>2.6132</v>
      </c>
      <c r="O44" s="489"/>
    </row>
    <row r="45" spans="1:15" s="70" customFormat="1" ht="14">
      <c r="A45" s="72"/>
      <c r="B45" s="492"/>
      <c r="C45" s="488"/>
      <c r="D45" s="71"/>
      <c r="E45" s="71"/>
      <c r="F45" s="71"/>
      <c r="G45" s="71"/>
      <c r="H45" s="71"/>
      <c r="I45" s="71"/>
      <c r="J45" s="71"/>
      <c r="K45" s="71"/>
      <c r="L45" s="487"/>
      <c r="M45" s="487"/>
      <c r="N45" s="487"/>
      <c r="O45" s="493"/>
    </row>
    <row r="46" spans="1:15" s="64" customFormat="1" ht="14">
      <c r="A46" s="62"/>
      <c r="B46" s="604" t="str">
        <f>'1.  LRAMVA Summary'!B33</f>
        <v>Large Use (I3)</v>
      </c>
      <c r="C46" s="908" t="str">
        <f>'2. LRAMVA Threshold'!H43</f>
        <v>kW</v>
      </c>
      <c r="D46" s="46"/>
      <c r="E46" s="46"/>
      <c r="F46" s="46"/>
      <c r="G46" s="46"/>
      <c r="H46" s="46"/>
      <c r="I46" s="46">
        <v>2.0531000000000001</v>
      </c>
      <c r="J46" s="46">
        <v>2.0666000000000002</v>
      </c>
      <c r="K46" s="46">
        <v>2.0983000000000001</v>
      </c>
      <c r="L46" s="46">
        <v>2.1497000000000002</v>
      </c>
      <c r="M46" s="46">
        <v>2.2117</v>
      </c>
      <c r="N46" s="46">
        <v>2.2526000000000002</v>
      </c>
      <c r="O46" s="69"/>
    </row>
    <row r="47" spans="1:15" s="18" customFormat="1" outlineLevel="1">
      <c r="A47" s="4"/>
      <c r="B47" s="536" t="s">
        <v>511</v>
      </c>
      <c r="C47" s="906"/>
      <c r="D47" s="46"/>
      <c r="E47" s="46"/>
      <c r="F47" s="46"/>
      <c r="G47" s="46"/>
      <c r="H47" s="46"/>
      <c r="I47" s="46"/>
      <c r="J47" s="46"/>
      <c r="K47" s="46"/>
      <c r="L47" s="46"/>
      <c r="M47" s="46"/>
      <c r="N47" s="46"/>
      <c r="O47" s="69"/>
    </row>
    <row r="48" spans="1:15" s="18" customFormat="1" outlineLevel="1">
      <c r="A48" s="4"/>
      <c r="B48" s="536" t="s">
        <v>512</v>
      </c>
      <c r="C48" s="906"/>
      <c r="D48" s="46"/>
      <c r="E48" s="46"/>
      <c r="F48" s="46"/>
      <c r="G48" s="46"/>
      <c r="H48" s="46"/>
      <c r="I48" s="46"/>
      <c r="J48" s="46"/>
      <c r="K48" s="46"/>
      <c r="L48" s="46"/>
      <c r="M48" s="46"/>
      <c r="N48" s="46"/>
      <c r="O48" s="69"/>
    </row>
    <row r="49" spans="1:15" s="18" customFormat="1" outlineLevel="1">
      <c r="A49" s="4"/>
      <c r="B49" s="536" t="s">
        <v>490</v>
      </c>
      <c r="C49" s="906"/>
      <c r="D49" s="46"/>
      <c r="E49" s="46"/>
      <c r="F49" s="46"/>
      <c r="G49" s="46"/>
      <c r="H49" s="46"/>
      <c r="I49" s="46"/>
      <c r="J49" s="46"/>
      <c r="K49" s="46"/>
      <c r="L49" s="46"/>
      <c r="M49" s="46"/>
      <c r="N49" s="46"/>
      <c r="O49" s="69"/>
    </row>
    <row r="50" spans="1:15" s="18" customFormat="1">
      <c r="A50" s="4"/>
      <c r="B50" s="536" t="s">
        <v>513</v>
      </c>
      <c r="C50" s="909"/>
      <c r="D50" s="65">
        <f>SUM(D46:D49)</f>
        <v>0</v>
      </c>
      <c r="E50" s="65">
        <f t="shared" ref="E50:N50" si="10">SUM(E46:E49)</f>
        <v>0</v>
      </c>
      <c r="F50" s="65">
        <f t="shared" si="10"/>
        <v>0</v>
      </c>
      <c r="G50" s="65">
        <f t="shared" si="10"/>
        <v>0</v>
      </c>
      <c r="H50" s="65">
        <f t="shared" si="10"/>
        <v>0</v>
      </c>
      <c r="I50" s="65">
        <f t="shared" si="10"/>
        <v>2.0531000000000001</v>
      </c>
      <c r="J50" s="65">
        <f t="shared" si="10"/>
        <v>2.0666000000000002</v>
      </c>
      <c r="K50" s="65">
        <f t="shared" si="10"/>
        <v>2.0983000000000001</v>
      </c>
      <c r="L50" s="65">
        <f t="shared" si="10"/>
        <v>2.1497000000000002</v>
      </c>
      <c r="M50" s="65">
        <f t="shared" si="10"/>
        <v>2.2117</v>
      </c>
      <c r="N50" s="65">
        <f t="shared" si="10"/>
        <v>2.2526000000000002</v>
      </c>
      <c r="O50" s="76"/>
    </row>
    <row r="51" spans="1:15" s="14" customFormat="1">
      <c r="A51" s="72"/>
      <c r="B51" s="492" t="s">
        <v>514</v>
      </c>
      <c r="C51" s="488"/>
      <c r="D51" s="71"/>
      <c r="E51" s="484">
        <f t="shared" ref="E51:N51" si="11">ROUND(SUM(D50*E16+E50*E17)/12,4)</f>
        <v>0</v>
      </c>
      <c r="F51" s="484">
        <f t="shared" si="11"/>
        <v>0</v>
      </c>
      <c r="G51" s="484">
        <f t="shared" si="11"/>
        <v>0</v>
      </c>
      <c r="H51" s="484">
        <f t="shared" si="11"/>
        <v>0</v>
      </c>
      <c r="I51" s="484">
        <f t="shared" si="11"/>
        <v>2.0531000000000001</v>
      </c>
      <c r="J51" s="484">
        <f t="shared" si="11"/>
        <v>2.0666000000000002</v>
      </c>
      <c r="K51" s="484">
        <f t="shared" si="11"/>
        <v>2.0983000000000001</v>
      </c>
      <c r="L51" s="484">
        <f t="shared" si="11"/>
        <v>2.1497000000000002</v>
      </c>
      <c r="M51" s="484">
        <f t="shared" si="11"/>
        <v>2.2117</v>
      </c>
      <c r="N51" s="484">
        <f t="shared" si="11"/>
        <v>2.2526000000000002</v>
      </c>
      <c r="O51" s="489"/>
    </row>
    <row r="52" spans="1:15" s="70" customFormat="1" ht="14">
      <c r="A52" s="72"/>
      <c r="B52" s="492"/>
      <c r="C52" s="488"/>
      <c r="D52" s="71"/>
      <c r="E52" s="71"/>
      <c r="F52" s="71"/>
      <c r="G52" s="71"/>
      <c r="H52" s="71"/>
      <c r="I52" s="71"/>
      <c r="J52" s="71"/>
      <c r="K52" s="71"/>
      <c r="L52" s="494"/>
      <c r="M52" s="494"/>
      <c r="N52" s="494"/>
      <c r="O52" s="493"/>
    </row>
    <row r="53" spans="1:15" s="64" customFormat="1" ht="14">
      <c r="A53" s="62"/>
      <c r="B53" s="604" t="str">
        <f>'1.  LRAMVA Summary'!B34</f>
        <v>Street Lighting</v>
      </c>
      <c r="C53" s="908" t="str">
        <f>'2. LRAMVA Threshold'!I43</f>
        <v>kW</v>
      </c>
      <c r="D53" s="46"/>
      <c r="E53" s="46"/>
      <c r="F53" s="46"/>
      <c r="G53" s="46"/>
      <c r="H53" s="46"/>
      <c r="I53" s="46">
        <v>18.104199999999999</v>
      </c>
      <c r="J53" s="46">
        <v>28.259</v>
      </c>
      <c r="K53" s="46">
        <v>29.666399999999999</v>
      </c>
      <c r="L53" s="46">
        <v>30.683299999999999</v>
      </c>
      <c r="M53" s="46">
        <v>31.911799999999999</v>
      </c>
      <c r="N53" s="46">
        <v>32.502200000000002</v>
      </c>
      <c r="O53" s="69"/>
    </row>
    <row r="54" spans="1:15" s="18" customFormat="1" outlineLevel="1">
      <c r="A54" s="4"/>
      <c r="B54" s="536" t="s">
        <v>511</v>
      </c>
      <c r="C54" s="906"/>
      <c r="D54" s="46"/>
      <c r="E54" s="46"/>
      <c r="F54" s="46"/>
      <c r="G54" s="46"/>
      <c r="H54" s="46"/>
      <c r="I54" s="46"/>
      <c r="J54" s="46"/>
      <c r="K54" s="46"/>
      <c r="L54" s="46"/>
      <c r="M54" s="46"/>
      <c r="N54" s="46"/>
      <c r="O54" s="69"/>
    </row>
    <row r="55" spans="1:15" s="18" customFormat="1" outlineLevel="1">
      <c r="A55" s="4"/>
      <c r="B55" s="536" t="s">
        <v>512</v>
      </c>
      <c r="C55" s="906"/>
      <c r="D55" s="46"/>
      <c r="E55" s="46"/>
      <c r="F55" s="46"/>
      <c r="G55" s="46"/>
      <c r="H55" s="46"/>
      <c r="I55" s="46"/>
      <c r="J55" s="46"/>
      <c r="K55" s="46"/>
      <c r="L55" s="46"/>
      <c r="M55" s="46"/>
      <c r="N55" s="46"/>
      <c r="O55" s="69"/>
    </row>
    <row r="56" spans="1:15" s="18" customFormat="1" outlineLevel="1">
      <c r="A56" s="4"/>
      <c r="B56" s="536" t="s">
        <v>490</v>
      </c>
      <c r="C56" s="906"/>
      <c r="D56" s="46"/>
      <c r="E56" s="46"/>
      <c r="F56" s="46"/>
      <c r="G56" s="46"/>
      <c r="H56" s="46"/>
      <c r="I56" s="46"/>
      <c r="J56" s="46"/>
      <c r="K56" s="46"/>
      <c r="L56" s="46"/>
      <c r="M56" s="46"/>
      <c r="N56" s="46"/>
      <c r="O56" s="69"/>
    </row>
    <row r="57" spans="1:15" s="18" customFormat="1">
      <c r="A57" s="4"/>
      <c r="B57" s="536" t="s">
        <v>513</v>
      </c>
      <c r="C57" s="909"/>
      <c r="D57" s="65">
        <f>SUM(D53:D56)</f>
        <v>0</v>
      </c>
      <c r="E57" s="65">
        <f t="shared" ref="E57:N57" si="12">SUM(E53:E56)</f>
        <v>0</v>
      </c>
      <c r="F57" s="65">
        <f t="shared" si="12"/>
        <v>0</v>
      </c>
      <c r="G57" s="65">
        <f t="shared" si="12"/>
        <v>0</v>
      </c>
      <c r="H57" s="65">
        <f t="shared" si="12"/>
        <v>0</v>
      </c>
      <c r="I57" s="65">
        <f t="shared" si="12"/>
        <v>18.104199999999999</v>
      </c>
      <c r="J57" s="65">
        <f t="shared" si="12"/>
        <v>28.259</v>
      </c>
      <c r="K57" s="65">
        <f t="shared" si="12"/>
        <v>29.666399999999999</v>
      </c>
      <c r="L57" s="65">
        <f t="shared" si="12"/>
        <v>30.683299999999999</v>
      </c>
      <c r="M57" s="65">
        <f t="shared" si="12"/>
        <v>31.911799999999999</v>
      </c>
      <c r="N57" s="65">
        <f t="shared" si="12"/>
        <v>32.502200000000002</v>
      </c>
      <c r="O57" s="77"/>
    </row>
    <row r="58" spans="1:15" s="14" customFormat="1">
      <c r="A58" s="72"/>
      <c r="B58" s="492" t="s">
        <v>514</v>
      </c>
      <c r="C58" s="488"/>
      <c r="D58" s="71"/>
      <c r="E58" s="484">
        <f t="shared" ref="E58:N58" si="13">ROUND(SUM(D57*E16+E57*E17)/12,4)</f>
        <v>0</v>
      </c>
      <c r="F58" s="484">
        <f t="shared" si="13"/>
        <v>0</v>
      </c>
      <c r="G58" s="484">
        <f t="shared" si="13"/>
        <v>0</v>
      </c>
      <c r="H58" s="484">
        <f t="shared" si="13"/>
        <v>0</v>
      </c>
      <c r="I58" s="484">
        <f t="shared" si="13"/>
        <v>18.104199999999999</v>
      </c>
      <c r="J58" s="484">
        <f t="shared" si="13"/>
        <v>28.259</v>
      </c>
      <c r="K58" s="484">
        <f t="shared" si="13"/>
        <v>29.666399999999999</v>
      </c>
      <c r="L58" s="484">
        <f t="shared" si="13"/>
        <v>30.683299999999999</v>
      </c>
      <c r="M58" s="484">
        <f t="shared" si="13"/>
        <v>31.911799999999999</v>
      </c>
      <c r="N58" s="484">
        <f t="shared" si="13"/>
        <v>32.502200000000002</v>
      </c>
      <c r="O58" s="489"/>
    </row>
    <row r="59" spans="1:15" s="70" customFormat="1" ht="14">
      <c r="A59" s="72"/>
      <c r="B59" s="492"/>
      <c r="C59" s="488"/>
      <c r="D59" s="71"/>
      <c r="E59" s="71"/>
      <c r="F59" s="71"/>
      <c r="G59" s="71"/>
      <c r="H59" s="71"/>
      <c r="I59" s="71"/>
      <c r="J59" s="71"/>
      <c r="K59" s="71"/>
      <c r="L59" s="494"/>
      <c r="M59" s="494"/>
      <c r="N59" s="494"/>
      <c r="O59" s="493"/>
    </row>
    <row r="60" spans="1:15" s="64" customFormat="1" ht="14">
      <c r="A60" s="62"/>
      <c r="B60" s="604" t="str">
        <f>'1.  LRAMVA Summary'!B35</f>
        <v>USL</v>
      </c>
      <c r="C60" s="908" t="str">
        <f>'2. LRAMVA Threshold'!J43</f>
        <v>kWh</v>
      </c>
      <c r="D60" s="46"/>
      <c r="E60" s="46"/>
      <c r="F60" s="46"/>
      <c r="G60" s="46"/>
      <c r="H60" s="46"/>
      <c r="I60" s="46">
        <v>1.3599999999999999E-2</v>
      </c>
      <c r="J60" s="46">
        <v>1.78E-2</v>
      </c>
      <c r="K60" s="46">
        <v>1.8200000000000001E-2</v>
      </c>
      <c r="L60" s="46">
        <v>1.8800000000000001E-2</v>
      </c>
      <c r="M60" s="46">
        <v>1.9599999999999999E-2</v>
      </c>
      <c r="N60" s="46">
        <v>0.02</v>
      </c>
      <c r="O60" s="69"/>
    </row>
    <row r="61" spans="1:15" s="18" customFormat="1" outlineLevel="1">
      <c r="A61" s="4"/>
      <c r="B61" s="536" t="s">
        <v>511</v>
      </c>
      <c r="C61" s="906"/>
      <c r="D61" s="46"/>
      <c r="E61" s="46"/>
      <c r="F61" s="46"/>
      <c r="G61" s="46"/>
      <c r="H61" s="46"/>
      <c r="I61" s="46"/>
      <c r="J61" s="46"/>
      <c r="K61" s="46"/>
      <c r="L61" s="46"/>
      <c r="M61" s="46"/>
      <c r="N61" s="46"/>
      <c r="O61" s="69"/>
    </row>
    <row r="62" spans="1:15" s="18" customFormat="1" outlineLevel="1">
      <c r="A62" s="4"/>
      <c r="B62" s="536" t="s">
        <v>512</v>
      </c>
      <c r="C62" s="906"/>
      <c r="D62" s="46"/>
      <c r="E62" s="46"/>
      <c r="F62" s="46"/>
      <c r="G62" s="46"/>
      <c r="H62" s="46"/>
      <c r="I62" s="46"/>
      <c r="J62" s="46"/>
      <c r="K62" s="46"/>
      <c r="L62" s="46"/>
      <c r="M62" s="46"/>
      <c r="N62" s="46"/>
      <c r="O62" s="69"/>
    </row>
    <row r="63" spans="1:15" s="18" customFormat="1" outlineLevel="1">
      <c r="A63" s="4"/>
      <c r="B63" s="536" t="s">
        <v>490</v>
      </c>
      <c r="C63" s="906"/>
      <c r="D63" s="46"/>
      <c r="E63" s="46"/>
      <c r="F63" s="46"/>
      <c r="G63" s="46"/>
      <c r="H63" s="46"/>
      <c r="I63" s="46"/>
      <c r="J63" s="46"/>
      <c r="K63" s="46"/>
      <c r="L63" s="46"/>
      <c r="M63" s="46"/>
      <c r="N63" s="46"/>
      <c r="O63" s="69"/>
    </row>
    <row r="64" spans="1:15" s="18" customFormat="1">
      <c r="A64" s="4"/>
      <c r="B64" s="536" t="s">
        <v>513</v>
      </c>
      <c r="C64" s="909"/>
      <c r="D64" s="65">
        <f>SUM(D60:D63)</f>
        <v>0</v>
      </c>
      <c r="E64" s="65">
        <f t="shared" ref="E64:N64" si="14">SUM(E60:E63)</f>
        <v>0</v>
      </c>
      <c r="F64" s="65">
        <f t="shared" si="14"/>
        <v>0</v>
      </c>
      <c r="G64" s="65">
        <f t="shared" si="14"/>
        <v>0</v>
      </c>
      <c r="H64" s="65">
        <f t="shared" si="14"/>
        <v>0</v>
      </c>
      <c r="I64" s="65">
        <f t="shared" si="14"/>
        <v>1.3599999999999999E-2</v>
      </c>
      <c r="J64" s="65">
        <f t="shared" si="14"/>
        <v>1.78E-2</v>
      </c>
      <c r="K64" s="65">
        <f t="shared" si="14"/>
        <v>1.8200000000000001E-2</v>
      </c>
      <c r="L64" s="65">
        <f t="shared" si="14"/>
        <v>1.8800000000000001E-2</v>
      </c>
      <c r="M64" s="65">
        <f t="shared" si="14"/>
        <v>1.9599999999999999E-2</v>
      </c>
      <c r="N64" s="65">
        <f t="shared" si="14"/>
        <v>0.02</v>
      </c>
      <c r="O64" s="77"/>
    </row>
    <row r="65" spans="1:15" s="14" customFormat="1">
      <c r="A65" s="72"/>
      <c r="B65" s="492" t="s">
        <v>514</v>
      </c>
      <c r="C65" s="488"/>
      <c r="D65" s="71"/>
      <c r="E65" s="484">
        <f t="shared" ref="E65:N65" si="15">ROUND(SUM(D64*E16+E64*E17)/12,4)</f>
        <v>0</v>
      </c>
      <c r="F65" s="484">
        <f t="shared" si="15"/>
        <v>0</v>
      </c>
      <c r="G65" s="484">
        <f t="shared" si="15"/>
        <v>0</v>
      </c>
      <c r="H65" s="484">
        <f t="shared" si="15"/>
        <v>0</v>
      </c>
      <c r="I65" s="484">
        <f>ROUND(SUM(H64*I16+I64*I17)/12,4)</f>
        <v>1.3599999999999999E-2</v>
      </c>
      <c r="J65" s="484">
        <f t="shared" si="15"/>
        <v>1.78E-2</v>
      </c>
      <c r="K65" s="484">
        <f t="shared" si="15"/>
        <v>1.8200000000000001E-2</v>
      </c>
      <c r="L65" s="484">
        <f t="shared" si="15"/>
        <v>1.8800000000000001E-2</v>
      </c>
      <c r="M65" s="484">
        <f t="shared" si="15"/>
        <v>1.9599999999999999E-2</v>
      </c>
      <c r="N65" s="484">
        <f t="shared" si="15"/>
        <v>0.02</v>
      </c>
      <c r="O65" s="489"/>
    </row>
    <row r="66" spans="1:15" s="14" customFormat="1">
      <c r="A66" s="72"/>
      <c r="B66" s="73"/>
      <c r="C66" s="80"/>
      <c r="D66" s="71"/>
      <c r="E66" s="71"/>
      <c r="F66" s="71"/>
      <c r="G66" s="71"/>
      <c r="H66" s="71"/>
      <c r="I66" s="71"/>
      <c r="J66" s="71"/>
      <c r="K66" s="71"/>
      <c r="L66" s="487"/>
      <c r="M66" s="487"/>
      <c r="N66" s="487"/>
      <c r="O66" s="489"/>
    </row>
    <row r="67" spans="1:15" s="64" customFormat="1" ht="14">
      <c r="A67" s="62"/>
      <c r="B67" s="604" t="str">
        <f>'1.  LRAMVA Summary'!B36</f>
        <v>Sentinel Lights</v>
      </c>
      <c r="C67" s="908" t="str">
        <f>'2. LRAMVA Threshold'!K43</f>
        <v>kW</v>
      </c>
      <c r="D67" s="46"/>
      <c r="E67" s="46"/>
      <c r="F67" s="46"/>
      <c r="G67" s="46"/>
      <c r="H67" s="46"/>
      <c r="I67" s="46">
        <v>6.2114000000000003</v>
      </c>
      <c r="J67" s="46">
        <v>7.5087999999999999</v>
      </c>
      <c r="K67" s="46">
        <v>7.6711999999999998</v>
      </c>
      <c r="L67" s="46">
        <v>7.9340999999999999</v>
      </c>
      <c r="M67" s="46">
        <v>8.2517999999999994</v>
      </c>
      <c r="N67" s="46">
        <v>8.4045000000000005</v>
      </c>
      <c r="O67" s="69"/>
    </row>
    <row r="68" spans="1:15" s="18" customFormat="1" outlineLevel="1">
      <c r="A68" s="4"/>
      <c r="B68" s="536" t="s">
        <v>511</v>
      </c>
      <c r="C68" s="906"/>
      <c r="D68" s="46"/>
      <c r="E68" s="46"/>
      <c r="F68" s="46"/>
      <c r="G68" s="46"/>
      <c r="H68" s="46"/>
      <c r="I68" s="46"/>
      <c r="J68" s="46"/>
      <c r="K68" s="46"/>
      <c r="L68" s="46"/>
      <c r="M68" s="46"/>
      <c r="N68" s="46"/>
      <c r="O68" s="69"/>
    </row>
    <row r="69" spans="1:15" s="18" customFormat="1" outlineLevel="1">
      <c r="A69" s="4"/>
      <c r="B69" s="536" t="s">
        <v>512</v>
      </c>
      <c r="C69" s="906"/>
      <c r="D69" s="46"/>
      <c r="E69" s="46"/>
      <c r="F69" s="46"/>
      <c r="G69" s="46"/>
      <c r="H69" s="46"/>
      <c r="I69" s="46"/>
      <c r="J69" s="46"/>
      <c r="K69" s="46"/>
      <c r="L69" s="46"/>
      <c r="M69" s="46"/>
      <c r="N69" s="46"/>
      <c r="O69" s="69"/>
    </row>
    <row r="70" spans="1:15" s="18" customFormat="1" outlineLevel="1">
      <c r="A70" s="4"/>
      <c r="B70" s="536" t="s">
        <v>490</v>
      </c>
      <c r="C70" s="906"/>
      <c r="D70" s="46"/>
      <c r="E70" s="46"/>
      <c r="F70" s="46"/>
      <c r="G70" s="46"/>
      <c r="H70" s="46"/>
      <c r="I70" s="46"/>
      <c r="J70" s="46"/>
      <c r="K70" s="46"/>
      <c r="L70" s="46"/>
      <c r="M70" s="46"/>
      <c r="N70" s="46"/>
      <c r="O70" s="69"/>
    </row>
    <row r="71" spans="1:15" s="18" customFormat="1">
      <c r="A71" s="4"/>
      <c r="B71" s="536" t="s">
        <v>513</v>
      </c>
      <c r="C71" s="909"/>
      <c r="D71" s="65">
        <f>SUM(D67:D70)</f>
        <v>0</v>
      </c>
      <c r="E71" s="65">
        <f t="shared" ref="E71:N71" si="16">SUM(E67:E70)</f>
        <v>0</v>
      </c>
      <c r="F71" s="65">
        <f>SUM(F67:F70)</f>
        <v>0</v>
      </c>
      <c r="G71" s="65">
        <f t="shared" si="16"/>
        <v>0</v>
      </c>
      <c r="H71" s="65">
        <f t="shared" si="16"/>
        <v>0</v>
      </c>
      <c r="I71" s="65">
        <f t="shared" si="16"/>
        <v>6.2114000000000003</v>
      </c>
      <c r="J71" s="65">
        <f t="shared" si="16"/>
        <v>7.5087999999999999</v>
      </c>
      <c r="K71" s="65">
        <f t="shared" si="16"/>
        <v>7.6711999999999998</v>
      </c>
      <c r="L71" s="65">
        <f t="shared" si="16"/>
        <v>7.9340999999999999</v>
      </c>
      <c r="M71" s="65">
        <f t="shared" si="16"/>
        <v>8.2517999999999994</v>
      </c>
      <c r="N71" s="65">
        <f t="shared" si="16"/>
        <v>8.4045000000000005</v>
      </c>
      <c r="O71" s="77"/>
    </row>
    <row r="72" spans="1:15" s="14" customFormat="1">
      <c r="A72" s="72"/>
      <c r="B72" s="492" t="s">
        <v>514</v>
      </c>
      <c r="C72" s="488"/>
      <c r="D72" s="71"/>
      <c r="E72" s="484">
        <f t="shared" ref="E72:N72" si="17">ROUND(SUM(D71*E16+E71*E17)/12,4)</f>
        <v>0</v>
      </c>
      <c r="F72" s="484">
        <f t="shared" si="17"/>
        <v>0</v>
      </c>
      <c r="G72" s="484">
        <f t="shared" si="17"/>
        <v>0</v>
      </c>
      <c r="H72" s="484">
        <f t="shared" si="17"/>
        <v>0</v>
      </c>
      <c r="I72" s="484">
        <f t="shared" si="17"/>
        <v>6.2114000000000003</v>
      </c>
      <c r="J72" s="484">
        <f t="shared" si="17"/>
        <v>7.5087999999999999</v>
      </c>
      <c r="K72" s="484">
        <f t="shared" si="17"/>
        <v>7.6711999999999998</v>
      </c>
      <c r="L72" s="484">
        <f t="shared" si="17"/>
        <v>7.9340999999999999</v>
      </c>
      <c r="M72" s="484">
        <f t="shared" si="17"/>
        <v>8.2517999999999994</v>
      </c>
      <c r="N72" s="484">
        <f t="shared" si="17"/>
        <v>8.4045000000000005</v>
      </c>
      <c r="O72" s="489"/>
    </row>
    <row r="73" spans="1:15" s="14" customFormat="1">
      <c r="A73" s="72"/>
      <c r="B73" s="481"/>
      <c r="C73" s="488"/>
      <c r="D73" s="71"/>
      <c r="E73" s="484"/>
      <c r="F73" s="484"/>
      <c r="G73" s="484"/>
      <c r="H73" s="484"/>
      <c r="I73" s="484"/>
      <c r="J73" s="484"/>
      <c r="K73" s="484"/>
      <c r="L73" s="484"/>
      <c r="M73" s="484"/>
      <c r="N73" s="484"/>
      <c r="O73" s="489"/>
    </row>
    <row r="74" spans="1:15" s="64" customFormat="1" ht="14">
      <c r="A74" s="62"/>
      <c r="B74" s="604">
        <f>'1.  LRAMVA Summary'!B37</f>
        <v>0</v>
      </c>
      <c r="C74" s="908">
        <f>'2. LRAMVA Threshold'!L43</f>
        <v>0</v>
      </c>
      <c r="D74" s="46"/>
      <c r="E74" s="46"/>
      <c r="F74" s="46"/>
      <c r="G74" s="46"/>
      <c r="H74" s="46"/>
      <c r="I74" s="46"/>
      <c r="J74" s="46"/>
      <c r="K74" s="46"/>
      <c r="L74" s="46"/>
      <c r="M74" s="46"/>
      <c r="N74" s="46"/>
      <c r="O74" s="69"/>
    </row>
    <row r="75" spans="1:15" s="18" customFormat="1" hidden="1" outlineLevel="1">
      <c r="A75" s="4"/>
      <c r="B75" s="536" t="s">
        <v>511</v>
      </c>
      <c r="C75" s="906"/>
      <c r="D75" s="46"/>
      <c r="E75" s="46"/>
      <c r="F75" s="46"/>
      <c r="G75" s="46"/>
      <c r="H75" s="46"/>
      <c r="I75" s="46"/>
      <c r="J75" s="46"/>
      <c r="K75" s="46"/>
      <c r="L75" s="46"/>
      <c r="M75" s="46"/>
      <c r="N75" s="46"/>
      <c r="O75" s="69"/>
    </row>
    <row r="76" spans="1:15" s="18" customFormat="1" hidden="1" outlineLevel="1">
      <c r="A76" s="4"/>
      <c r="B76" s="536" t="s">
        <v>512</v>
      </c>
      <c r="C76" s="906"/>
      <c r="D76" s="46"/>
      <c r="E76" s="46"/>
      <c r="F76" s="46"/>
      <c r="G76" s="46"/>
      <c r="H76" s="46"/>
      <c r="I76" s="46"/>
      <c r="J76" s="46"/>
      <c r="K76" s="46"/>
      <c r="L76" s="46"/>
      <c r="M76" s="46"/>
      <c r="N76" s="46"/>
      <c r="O76" s="69"/>
    </row>
    <row r="77" spans="1:15" s="18" customFormat="1" hidden="1" outlineLevel="1">
      <c r="A77" s="4"/>
      <c r="B77" s="536" t="s">
        <v>490</v>
      </c>
      <c r="C77" s="906"/>
      <c r="D77" s="46"/>
      <c r="E77" s="46"/>
      <c r="F77" s="46"/>
      <c r="G77" s="46"/>
      <c r="H77" s="46"/>
      <c r="I77" s="46"/>
      <c r="J77" s="46"/>
      <c r="K77" s="46"/>
      <c r="L77" s="46"/>
      <c r="M77" s="46"/>
      <c r="N77" s="46"/>
      <c r="O77" s="69"/>
    </row>
    <row r="78" spans="1:15" s="18" customFormat="1" collapsed="1">
      <c r="A78" s="4"/>
      <c r="B78" s="536" t="s">
        <v>513</v>
      </c>
      <c r="C78" s="909"/>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514</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ht="14">
      <c r="A81" s="62"/>
      <c r="B81" s="604">
        <f>'1.  LRAMVA Summary'!B38</f>
        <v>0</v>
      </c>
      <c r="C81" s="908">
        <f>'2. LRAMVA Threshold'!M43</f>
        <v>0</v>
      </c>
      <c r="D81" s="46"/>
      <c r="E81" s="46"/>
      <c r="F81" s="46"/>
      <c r="G81" s="46"/>
      <c r="H81" s="46"/>
      <c r="I81" s="46"/>
      <c r="J81" s="46"/>
      <c r="K81" s="46"/>
      <c r="L81" s="46"/>
      <c r="M81" s="46"/>
      <c r="N81" s="46"/>
      <c r="O81" s="69"/>
    </row>
    <row r="82" spans="1:15" s="18" customFormat="1" hidden="1" outlineLevel="1">
      <c r="A82" s="4"/>
      <c r="B82" s="536" t="s">
        <v>511</v>
      </c>
      <c r="C82" s="906"/>
      <c r="D82" s="46"/>
      <c r="E82" s="46"/>
      <c r="F82" s="46"/>
      <c r="G82" s="46"/>
      <c r="H82" s="46"/>
      <c r="I82" s="46"/>
      <c r="J82" s="46"/>
      <c r="K82" s="46"/>
      <c r="L82" s="46"/>
      <c r="M82" s="46"/>
      <c r="N82" s="46"/>
      <c r="O82" s="69"/>
    </row>
    <row r="83" spans="1:15" s="18" customFormat="1" hidden="1" outlineLevel="1">
      <c r="A83" s="4"/>
      <c r="B83" s="536" t="s">
        <v>512</v>
      </c>
      <c r="C83" s="906"/>
      <c r="D83" s="46"/>
      <c r="E83" s="46"/>
      <c r="F83" s="46"/>
      <c r="G83" s="46"/>
      <c r="H83" s="46"/>
      <c r="I83" s="46"/>
      <c r="J83" s="46"/>
      <c r="K83" s="46"/>
      <c r="L83" s="46"/>
      <c r="M83" s="46"/>
      <c r="N83" s="46"/>
      <c r="O83" s="69"/>
    </row>
    <row r="84" spans="1:15" s="18" customFormat="1" hidden="1" outlineLevel="1">
      <c r="A84" s="4"/>
      <c r="B84" s="536" t="s">
        <v>490</v>
      </c>
      <c r="C84" s="906"/>
      <c r="D84" s="46"/>
      <c r="E84" s="46"/>
      <c r="F84" s="46"/>
      <c r="G84" s="46"/>
      <c r="H84" s="46"/>
      <c r="I84" s="46"/>
      <c r="J84" s="46"/>
      <c r="K84" s="46"/>
      <c r="L84" s="46"/>
      <c r="M84" s="46"/>
      <c r="N84" s="46"/>
      <c r="O84" s="69"/>
    </row>
    <row r="85" spans="1:15" s="18" customFormat="1" collapsed="1">
      <c r="A85" s="4"/>
      <c r="B85" s="536" t="s">
        <v>513</v>
      </c>
      <c r="C85" s="909"/>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514</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ht="14">
      <c r="A88" s="62"/>
      <c r="B88" s="604">
        <f>'1.  LRAMVA Summary'!B39</f>
        <v>0</v>
      </c>
      <c r="C88" s="908">
        <f>'2. LRAMVA Threshold'!N43</f>
        <v>0</v>
      </c>
      <c r="D88" s="46"/>
      <c r="E88" s="46"/>
      <c r="F88" s="46"/>
      <c r="G88" s="46"/>
      <c r="H88" s="46"/>
      <c r="I88" s="46"/>
      <c r="J88" s="46"/>
      <c r="K88" s="46"/>
      <c r="L88" s="46"/>
      <c r="M88" s="46"/>
      <c r="N88" s="46"/>
      <c r="O88" s="69"/>
    </row>
    <row r="89" spans="1:15" s="18" customFormat="1" hidden="1" outlineLevel="1">
      <c r="A89" s="4"/>
      <c r="B89" s="536" t="s">
        <v>511</v>
      </c>
      <c r="C89" s="906"/>
      <c r="D89" s="46"/>
      <c r="E89" s="46"/>
      <c r="F89" s="46"/>
      <c r="G89" s="46"/>
      <c r="H89" s="46"/>
      <c r="I89" s="46"/>
      <c r="J89" s="46"/>
      <c r="K89" s="46"/>
      <c r="L89" s="46"/>
      <c r="M89" s="46"/>
      <c r="N89" s="46"/>
      <c r="O89" s="69"/>
    </row>
    <row r="90" spans="1:15" s="18" customFormat="1" hidden="1" outlineLevel="1">
      <c r="A90" s="4"/>
      <c r="B90" s="536" t="s">
        <v>512</v>
      </c>
      <c r="C90" s="906"/>
      <c r="D90" s="46"/>
      <c r="E90" s="46"/>
      <c r="F90" s="46"/>
      <c r="G90" s="46"/>
      <c r="H90" s="46"/>
      <c r="I90" s="46"/>
      <c r="J90" s="46"/>
      <c r="K90" s="46"/>
      <c r="L90" s="46"/>
      <c r="M90" s="46"/>
      <c r="N90" s="46"/>
      <c r="O90" s="69"/>
    </row>
    <row r="91" spans="1:15" s="18" customFormat="1" hidden="1" outlineLevel="1">
      <c r="A91" s="4"/>
      <c r="B91" s="536" t="s">
        <v>490</v>
      </c>
      <c r="C91" s="906"/>
      <c r="D91" s="46"/>
      <c r="E91" s="46"/>
      <c r="F91" s="46"/>
      <c r="G91" s="46"/>
      <c r="H91" s="46"/>
      <c r="I91" s="46"/>
      <c r="J91" s="46"/>
      <c r="K91" s="46"/>
      <c r="L91" s="46"/>
      <c r="M91" s="46"/>
      <c r="N91" s="46"/>
      <c r="O91" s="69"/>
    </row>
    <row r="92" spans="1:15" s="18" customFormat="1" collapsed="1">
      <c r="A92" s="4"/>
      <c r="B92" s="536" t="s">
        <v>513</v>
      </c>
      <c r="C92" s="909"/>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514</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ht="14">
      <c r="A95" s="62"/>
      <c r="B95" s="604">
        <f>'1.  LRAMVA Summary'!B40</f>
        <v>0</v>
      </c>
      <c r="C95" s="908">
        <f>'2. LRAMVA Threshold'!O43</f>
        <v>0</v>
      </c>
      <c r="D95" s="46"/>
      <c r="E95" s="46"/>
      <c r="F95" s="46"/>
      <c r="G95" s="46"/>
      <c r="H95" s="46"/>
      <c r="I95" s="46"/>
      <c r="J95" s="46"/>
      <c r="K95" s="46"/>
      <c r="L95" s="46"/>
      <c r="M95" s="46"/>
      <c r="N95" s="46"/>
      <c r="O95" s="69"/>
    </row>
    <row r="96" spans="1:15" s="18" customFormat="1" outlineLevel="1">
      <c r="A96" s="4"/>
      <c r="B96" s="536" t="s">
        <v>511</v>
      </c>
      <c r="C96" s="906"/>
      <c r="D96" s="46"/>
      <c r="E96" s="46"/>
      <c r="F96" s="46"/>
      <c r="G96" s="46"/>
      <c r="H96" s="46"/>
      <c r="I96" s="46"/>
      <c r="J96" s="46"/>
      <c r="K96" s="46"/>
      <c r="L96" s="46"/>
      <c r="M96" s="46"/>
      <c r="N96" s="46"/>
      <c r="O96" s="69"/>
    </row>
    <row r="97" spans="1:15" s="18" customFormat="1" outlineLevel="1">
      <c r="A97" s="4"/>
      <c r="B97" s="536" t="s">
        <v>512</v>
      </c>
      <c r="C97" s="906"/>
      <c r="D97" s="46"/>
      <c r="E97" s="46"/>
      <c r="F97" s="46"/>
      <c r="G97" s="46"/>
      <c r="H97" s="46"/>
      <c r="I97" s="46"/>
      <c r="J97" s="46"/>
      <c r="K97" s="46"/>
      <c r="L97" s="46"/>
      <c r="M97" s="46"/>
      <c r="N97" s="46"/>
      <c r="O97" s="69"/>
    </row>
    <row r="98" spans="1:15" s="18" customFormat="1" outlineLevel="1">
      <c r="A98" s="4"/>
      <c r="B98" s="536" t="s">
        <v>490</v>
      </c>
      <c r="C98" s="906"/>
      <c r="D98" s="46"/>
      <c r="E98" s="46"/>
      <c r="F98" s="46"/>
      <c r="G98" s="46"/>
      <c r="H98" s="46"/>
      <c r="I98" s="46"/>
      <c r="J98" s="46"/>
      <c r="K98" s="46"/>
      <c r="L98" s="46"/>
      <c r="M98" s="46"/>
      <c r="N98" s="46"/>
      <c r="O98" s="69"/>
    </row>
    <row r="99" spans="1:15" s="18" customFormat="1">
      <c r="A99" s="4"/>
      <c r="B99" s="536" t="s">
        <v>513</v>
      </c>
      <c r="C99" s="909"/>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514</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ht="14">
      <c r="A102" s="62"/>
      <c r="B102" s="604">
        <f>'1.  LRAMVA Summary'!B41</f>
        <v>0</v>
      </c>
      <c r="C102" s="908">
        <f>'2. LRAMVA Threshold'!P43</f>
        <v>0</v>
      </c>
      <c r="D102" s="46"/>
      <c r="E102" s="46"/>
      <c r="F102" s="46"/>
      <c r="G102" s="46"/>
      <c r="H102" s="46"/>
      <c r="I102" s="46"/>
      <c r="J102" s="46"/>
      <c r="K102" s="46"/>
      <c r="L102" s="46"/>
      <c r="M102" s="46"/>
      <c r="N102" s="46"/>
      <c r="O102" s="69"/>
    </row>
    <row r="103" spans="1:15" s="18" customFormat="1" outlineLevel="1">
      <c r="A103" s="4"/>
      <c r="B103" s="536" t="s">
        <v>511</v>
      </c>
      <c r="C103" s="906"/>
      <c r="D103" s="46"/>
      <c r="E103" s="46"/>
      <c r="F103" s="46"/>
      <c r="G103" s="46"/>
      <c r="H103" s="46"/>
      <c r="I103" s="46"/>
      <c r="J103" s="46"/>
      <c r="K103" s="46"/>
      <c r="L103" s="46"/>
      <c r="M103" s="46"/>
      <c r="N103" s="46"/>
      <c r="O103" s="69"/>
    </row>
    <row r="104" spans="1:15" s="18" customFormat="1" outlineLevel="1">
      <c r="A104" s="4"/>
      <c r="B104" s="536" t="s">
        <v>512</v>
      </c>
      <c r="C104" s="906"/>
      <c r="D104" s="46"/>
      <c r="E104" s="46"/>
      <c r="F104" s="46"/>
      <c r="G104" s="46"/>
      <c r="H104" s="46"/>
      <c r="I104" s="46"/>
      <c r="J104" s="46"/>
      <c r="K104" s="46"/>
      <c r="L104" s="46"/>
      <c r="M104" s="46"/>
      <c r="N104" s="46"/>
      <c r="O104" s="69"/>
    </row>
    <row r="105" spans="1:15" s="18" customFormat="1" outlineLevel="1">
      <c r="A105" s="4"/>
      <c r="B105" s="536" t="s">
        <v>490</v>
      </c>
      <c r="C105" s="906"/>
      <c r="D105" s="46"/>
      <c r="E105" s="46"/>
      <c r="F105" s="46"/>
      <c r="G105" s="46"/>
      <c r="H105" s="46"/>
      <c r="I105" s="46"/>
      <c r="J105" s="46"/>
      <c r="K105" s="46"/>
      <c r="L105" s="46"/>
      <c r="M105" s="46"/>
      <c r="N105" s="46"/>
      <c r="O105" s="69"/>
    </row>
    <row r="106" spans="1:15" s="18" customFormat="1">
      <c r="A106" s="4"/>
      <c r="B106" s="536" t="s">
        <v>513</v>
      </c>
      <c r="C106" s="909"/>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514</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ht="14">
      <c r="A109" s="62"/>
      <c r="B109" s="604">
        <f>'1.  LRAMVA Summary'!B42</f>
        <v>0</v>
      </c>
      <c r="C109" s="908">
        <f>'2. LRAMVA Threshold'!Q43</f>
        <v>0</v>
      </c>
      <c r="D109" s="46"/>
      <c r="E109" s="46"/>
      <c r="F109" s="46"/>
      <c r="G109" s="46"/>
      <c r="H109" s="46"/>
      <c r="I109" s="46"/>
      <c r="J109" s="46"/>
      <c r="K109" s="46"/>
      <c r="L109" s="46"/>
      <c r="M109" s="46"/>
      <c r="N109" s="46"/>
      <c r="O109" s="69"/>
    </row>
    <row r="110" spans="1:15" s="18" customFormat="1" outlineLevel="1">
      <c r="A110" s="4"/>
      <c r="B110" s="536" t="s">
        <v>511</v>
      </c>
      <c r="C110" s="906"/>
      <c r="D110" s="46"/>
      <c r="E110" s="46"/>
      <c r="F110" s="46"/>
      <c r="G110" s="46"/>
      <c r="H110" s="46"/>
      <c r="I110" s="46"/>
      <c r="J110" s="46"/>
      <c r="K110" s="46"/>
      <c r="L110" s="46"/>
      <c r="M110" s="46"/>
      <c r="N110" s="46"/>
      <c r="O110" s="69"/>
    </row>
    <row r="111" spans="1:15" s="18" customFormat="1" outlineLevel="1">
      <c r="A111" s="4"/>
      <c r="B111" s="536" t="s">
        <v>512</v>
      </c>
      <c r="C111" s="906"/>
      <c r="D111" s="46"/>
      <c r="E111" s="46"/>
      <c r="F111" s="46"/>
      <c r="G111" s="46"/>
      <c r="H111" s="46"/>
      <c r="I111" s="46"/>
      <c r="J111" s="46"/>
      <c r="K111" s="46"/>
      <c r="L111" s="46"/>
      <c r="M111" s="46"/>
      <c r="N111" s="46"/>
      <c r="O111" s="69"/>
    </row>
    <row r="112" spans="1:15" s="18" customFormat="1" outlineLevel="1">
      <c r="A112" s="4"/>
      <c r="B112" s="536" t="s">
        <v>490</v>
      </c>
      <c r="C112" s="906"/>
      <c r="D112" s="46"/>
      <c r="E112" s="46"/>
      <c r="F112" s="46"/>
      <c r="G112" s="46"/>
      <c r="H112" s="46"/>
      <c r="I112" s="46"/>
      <c r="J112" s="46"/>
      <c r="K112" s="46"/>
      <c r="L112" s="46"/>
      <c r="M112" s="46"/>
      <c r="N112" s="46"/>
      <c r="O112" s="69"/>
    </row>
    <row r="113" spans="1:17" s="18" customFormat="1">
      <c r="A113" s="4"/>
      <c r="B113" s="536" t="s">
        <v>513</v>
      </c>
      <c r="C113" s="909"/>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514</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
      <c r="A115" s="72"/>
      <c r="B115" s="74"/>
      <c r="C115" s="81"/>
      <c r="D115" s="75"/>
      <c r="E115" s="75"/>
      <c r="F115" s="75"/>
      <c r="G115" s="75"/>
      <c r="H115" s="75"/>
      <c r="I115" s="75"/>
      <c r="J115" s="75"/>
      <c r="K115" s="495"/>
      <c r="L115" s="496"/>
      <c r="M115" s="496"/>
      <c r="N115" s="496"/>
      <c r="O115" s="497"/>
    </row>
    <row r="116" spans="1:17" s="3" customFormat="1" ht="21" customHeight="1">
      <c r="A116" s="4"/>
      <c r="B116" s="498" t="s">
        <v>614</v>
      </c>
      <c r="C116" s="98"/>
      <c r="D116" s="499"/>
      <c r="E116" s="499"/>
      <c r="F116" s="499"/>
      <c r="G116" s="499"/>
      <c r="H116" s="499"/>
      <c r="I116" s="499"/>
      <c r="J116" s="499"/>
      <c r="K116" s="499"/>
      <c r="L116" s="499"/>
      <c r="M116" s="499"/>
      <c r="N116" s="499"/>
      <c r="O116" s="499"/>
    </row>
    <row r="119" spans="1:17" ht="15.5">
      <c r="B119" s="118" t="s">
        <v>484</v>
      </c>
      <c r="J119" s="18"/>
    </row>
    <row r="120" spans="1:17" s="14" customFormat="1" ht="75.650000000000006" customHeight="1">
      <c r="A120" s="72"/>
      <c r="B120" s="913" t="s">
        <v>675</v>
      </c>
      <c r="C120" s="913"/>
      <c r="D120" s="913"/>
      <c r="E120" s="913"/>
      <c r="F120" s="913"/>
      <c r="G120" s="913"/>
      <c r="H120" s="913"/>
      <c r="I120" s="913"/>
      <c r="J120" s="913"/>
      <c r="K120" s="913"/>
      <c r="L120" s="913"/>
      <c r="M120" s="913"/>
      <c r="N120" s="913"/>
      <c r="O120" s="913"/>
      <c r="P120" s="913"/>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 50 to 999 kW (I1 &amp; I4)</v>
      </c>
      <c r="F122" s="244" t="str">
        <f>'1.  LRAMVA Summary'!G52</f>
        <v>GS 1,000 to 4,999 kW (I2)</v>
      </c>
      <c r="G122" s="244" t="str">
        <f>'1.  LRAMVA Summary'!H52</f>
        <v>Large Use (I3)</v>
      </c>
      <c r="H122" s="244" t="str">
        <f>'1.  LRAMVA Summary'!I52</f>
        <v>Street Lighting</v>
      </c>
      <c r="I122" s="244" t="str">
        <f>'1.  LRAMVA Summary'!J52</f>
        <v>USL</v>
      </c>
      <c r="J122" s="244" t="str">
        <f>'1.  LRAMVA Summary'!K52</f>
        <v>Sentinel Lights</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v>
      </c>
      <c r="H123" s="586" t="str">
        <f>'1.  LRAMVA Summary'!I53</f>
        <v>kW</v>
      </c>
      <c r="I123" s="586" t="str">
        <f>'1.  LRAMVA Summary'!J53</f>
        <v>kWh</v>
      </c>
      <c r="J123" s="586" t="str">
        <f>'1.  LRAMVA Summary'!K53</f>
        <v>kW</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0">HLOOKUP(B124,$E$15:$O$114,9,FALSE)</f>
        <v>0</v>
      </c>
      <c r="D124" s="682">
        <f>HLOOKUP(B124,$E$15:$O$114,16,FALSE)</f>
        <v>0</v>
      </c>
      <c r="E124" s="683">
        <f>HLOOKUP(B124,$E$15:$O$114,23,FALSE)</f>
        <v>0</v>
      </c>
      <c r="F124" s="682">
        <f>HLOOKUP(B124,$E$15:$O$114,30,FALSE)</f>
        <v>0</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0</v>
      </c>
      <c r="D125" s="685">
        <f>HLOOKUP(B125,$E$15:$O$114,16,FALSE)</f>
        <v>0</v>
      </c>
      <c r="E125" s="686">
        <f>HLOOKUP(B125,$E$15:$O$114,23,FALSE)</f>
        <v>0</v>
      </c>
      <c r="F125" s="685">
        <f>HLOOKUP(B125,$E$15:$O$114,30,FALSE)</f>
        <v>0</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2" si="31">HLOOKUP(B125,$E$15:$O$114,100,FALSE)</f>
        <v>0</v>
      </c>
    </row>
    <row r="126" spans="1:17">
      <c r="B126" s="501">
        <v>2013</v>
      </c>
      <c r="C126" s="684">
        <f t="shared" si="30"/>
        <v>0</v>
      </c>
      <c r="D126" s="685">
        <f t="shared" ref="D126:D132" si="32">HLOOKUP(B126,$E$15:$O$114,16,FALSE)</f>
        <v>0</v>
      </c>
      <c r="E126" s="686">
        <f t="shared" ref="E126:E132" si="33">HLOOKUP(B126,$E$15:$O$114,23,FALSE)</f>
        <v>0</v>
      </c>
      <c r="F126" s="685">
        <f t="shared" ref="F126:F132" si="34">HLOOKUP(B126,$E$15:$O$114,30,FALSE)</f>
        <v>0</v>
      </c>
      <c r="G126" s="686">
        <f t="shared" ref="G126:G132" si="35">HLOOKUP(B126,$E$15:$O$114,37,FALSE)</f>
        <v>0</v>
      </c>
      <c r="H126" s="685">
        <f t="shared" ref="H126:H132" si="36">HLOOKUP(B126,$E$15:$O$114,44,FALSE)</f>
        <v>0</v>
      </c>
      <c r="I126" s="686">
        <f t="shared" ref="I126:I132" si="37">HLOOKUP(B126,$E$15:$O$114,51,FALSE)</f>
        <v>0</v>
      </c>
      <c r="J126" s="686">
        <f t="shared" ref="J126:J132" si="38">HLOOKUP(B126,$E$15:$O$114,58,FALSE)</f>
        <v>0</v>
      </c>
      <c r="K126" s="686">
        <f t="shared" ref="K126:K132" si="39">HLOOKUP(B126,$E$15:$O$114,65,FALSE)</f>
        <v>0</v>
      </c>
      <c r="L126" s="686">
        <f>HLOOKUP(B126,$E$15:$O$114,72,FALSE)</f>
        <v>0</v>
      </c>
      <c r="M126" s="686">
        <f t="shared" ref="M126:M132" si="40">HLOOKUP(B126,$E$15:$O$114,79,FALSE)</f>
        <v>0</v>
      </c>
      <c r="N126" s="686">
        <f t="shared" ref="N126:N132" si="41">HLOOKUP(B126,$E$15:$O$114,86,FALSE)</f>
        <v>0</v>
      </c>
      <c r="O126" s="686">
        <f t="shared" ref="O126:O132" si="42">HLOOKUP(B126,$E$15:$O$114,93,FALSE)</f>
        <v>0</v>
      </c>
      <c r="P126" s="686">
        <f t="shared" si="31"/>
        <v>0</v>
      </c>
    </row>
    <row r="127" spans="1:17">
      <c r="B127" s="501">
        <v>2014</v>
      </c>
      <c r="C127" s="684">
        <f t="shared" si="30"/>
        <v>0</v>
      </c>
      <c r="D127" s="685">
        <f>HLOOKUP(B127,$E$15:$O$114,16,FALSE)</f>
        <v>0</v>
      </c>
      <c r="E127" s="686">
        <f>HLOOKUP(B127,$E$15:$O$114,23,FALSE)</f>
        <v>0</v>
      </c>
      <c r="F127" s="685">
        <f>HLOOKUP(B127,$E$15:$O$114,30,FALSE)</f>
        <v>0</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1.2E-2</v>
      </c>
      <c r="D128" s="685">
        <f t="shared" si="32"/>
        <v>1.7000000000000001E-2</v>
      </c>
      <c r="E128" s="686">
        <f t="shared" si="33"/>
        <v>3.7097000000000002</v>
      </c>
      <c r="F128" s="685">
        <f t="shared" si="34"/>
        <v>2.5922999999999998</v>
      </c>
      <c r="G128" s="686">
        <f t="shared" si="35"/>
        <v>2.0531000000000001</v>
      </c>
      <c r="H128" s="685">
        <f t="shared" si="36"/>
        <v>18.104199999999999</v>
      </c>
      <c r="I128" s="686">
        <f t="shared" si="37"/>
        <v>1.3599999999999999E-2</v>
      </c>
      <c r="J128" s="686">
        <f t="shared" si="38"/>
        <v>6.2114000000000003</v>
      </c>
      <c r="K128" s="686">
        <f t="shared" si="39"/>
        <v>0</v>
      </c>
      <c r="L128" s="686">
        <f t="shared" ref="L128:L132" si="43">HLOOKUP(B128,$E$15:$O$114,72,FALSE)</f>
        <v>0</v>
      </c>
      <c r="M128" s="686">
        <f t="shared" si="40"/>
        <v>0</v>
      </c>
      <c r="N128" s="686">
        <f t="shared" si="41"/>
        <v>0</v>
      </c>
      <c r="O128" s="686">
        <f t="shared" si="42"/>
        <v>0</v>
      </c>
      <c r="P128" s="686">
        <f t="shared" si="31"/>
        <v>0</v>
      </c>
    </row>
    <row r="129" spans="2:16">
      <c r="B129" s="501">
        <v>2016</v>
      </c>
      <c r="C129" s="684">
        <f t="shared" si="30"/>
        <v>1.4200000000000001E-2</v>
      </c>
      <c r="D129" s="685">
        <f t="shared" si="32"/>
        <v>1.5699999999999999E-2</v>
      </c>
      <c r="E129" s="686">
        <f t="shared" si="33"/>
        <v>4.4740000000000002</v>
      </c>
      <c r="F129" s="685">
        <f t="shared" si="34"/>
        <v>2.3852000000000002</v>
      </c>
      <c r="G129" s="686">
        <f t="shared" si="35"/>
        <v>2.0666000000000002</v>
      </c>
      <c r="H129" s="685">
        <f t="shared" si="36"/>
        <v>28.259</v>
      </c>
      <c r="I129" s="686">
        <f t="shared" si="37"/>
        <v>1.78E-2</v>
      </c>
      <c r="J129" s="686">
        <f t="shared" si="38"/>
        <v>7.5087999999999999</v>
      </c>
      <c r="K129" s="686">
        <f t="shared" si="39"/>
        <v>0</v>
      </c>
      <c r="L129" s="686">
        <f t="shared" si="43"/>
        <v>0</v>
      </c>
      <c r="M129" s="686">
        <f t="shared" si="40"/>
        <v>0</v>
      </c>
      <c r="N129" s="686">
        <f t="shared" si="41"/>
        <v>0</v>
      </c>
      <c r="O129" s="686">
        <f t="shared" si="42"/>
        <v>0</v>
      </c>
      <c r="P129" s="686">
        <f t="shared" si="31"/>
        <v>0</v>
      </c>
    </row>
    <row r="130" spans="2:16">
      <c r="B130" s="501">
        <v>2017</v>
      </c>
      <c r="C130" s="684">
        <f>HLOOKUP(B130,$E$15:$O$114,9,FALSE)</f>
        <v>1.09E-2</v>
      </c>
      <c r="D130" s="685">
        <f t="shared" si="32"/>
        <v>1.61E-2</v>
      </c>
      <c r="E130" s="686">
        <f t="shared" si="33"/>
        <v>4.5690999999999997</v>
      </c>
      <c r="F130" s="685">
        <f t="shared" si="34"/>
        <v>2.4245999999999999</v>
      </c>
      <c r="G130" s="686">
        <f t="shared" si="35"/>
        <v>2.0983000000000001</v>
      </c>
      <c r="H130" s="685">
        <f t="shared" si="36"/>
        <v>29.666399999999999</v>
      </c>
      <c r="I130" s="686">
        <f t="shared" si="37"/>
        <v>1.8200000000000001E-2</v>
      </c>
      <c r="J130" s="686">
        <f t="shared" si="38"/>
        <v>7.6711999999999998</v>
      </c>
      <c r="K130" s="686">
        <f t="shared" si="39"/>
        <v>0</v>
      </c>
      <c r="L130" s="686">
        <f t="shared" si="43"/>
        <v>0</v>
      </c>
      <c r="M130" s="686">
        <f t="shared" si="40"/>
        <v>0</v>
      </c>
      <c r="N130" s="686">
        <f t="shared" si="41"/>
        <v>0</v>
      </c>
      <c r="O130" s="686">
        <f t="shared" si="42"/>
        <v>0</v>
      </c>
      <c r="P130" s="686">
        <f t="shared" si="31"/>
        <v>0</v>
      </c>
    </row>
    <row r="131" spans="2:16">
      <c r="B131" s="501">
        <v>2018</v>
      </c>
      <c r="C131" s="684">
        <f t="shared" ref="C131:C132" si="44">HLOOKUP(B131,$E$15:$O$114,9,FALSE)</f>
        <v>7.6E-3</v>
      </c>
      <c r="D131" s="685">
        <f t="shared" si="32"/>
        <v>1.67E-2</v>
      </c>
      <c r="E131" s="686">
        <f t="shared" si="33"/>
        <v>4.7229999999999999</v>
      </c>
      <c r="F131" s="685">
        <f t="shared" si="34"/>
        <v>2.4885000000000002</v>
      </c>
      <c r="G131" s="686">
        <f t="shared" si="35"/>
        <v>2.1497000000000002</v>
      </c>
      <c r="H131" s="685">
        <f t="shared" si="36"/>
        <v>30.683299999999999</v>
      </c>
      <c r="I131" s="686">
        <f t="shared" si="37"/>
        <v>1.8800000000000001E-2</v>
      </c>
      <c r="J131" s="686">
        <f t="shared" si="38"/>
        <v>7.9340999999999999</v>
      </c>
      <c r="K131" s="686">
        <f t="shared" si="39"/>
        <v>0</v>
      </c>
      <c r="L131" s="686">
        <f t="shared" si="43"/>
        <v>0</v>
      </c>
      <c r="M131" s="686">
        <f t="shared" si="40"/>
        <v>0</v>
      </c>
      <c r="N131" s="686">
        <f t="shared" si="41"/>
        <v>0</v>
      </c>
      <c r="O131" s="686">
        <f t="shared" si="42"/>
        <v>0</v>
      </c>
      <c r="P131" s="686">
        <f t="shared" si="31"/>
        <v>0</v>
      </c>
    </row>
    <row r="132" spans="2:16">
      <c r="B132" s="501">
        <v>2019</v>
      </c>
      <c r="C132" s="684">
        <f t="shared" si="44"/>
        <v>4.0000000000000001E-3</v>
      </c>
      <c r="D132" s="685">
        <f t="shared" si="32"/>
        <v>1.7399999999999999E-2</v>
      </c>
      <c r="E132" s="686">
        <f t="shared" si="33"/>
        <v>4.9089999999999998</v>
      </c>
      <c r="F132" s="685">
        <f t="shared" si="34"/>
        <v>2.5657000000000001</v>
      </c>
      <c r="G132" s="686">
        <f t="shared" si="35"/>
        <v>2.2117</v>
      </c>
      <c r="H132" s="685">
        <f t="shared" si="36"/>
        <v>31.911799999999999</v>
      </c>
      <c r="I132" s="686">
        <f t="shared" si="37"/>
        <v>1.9599999999999999E-2</v>
      </c>
      <c r="J132" s="686">
        <f t="shared" si="38"/>
        <v>8.2517999999999994</v>
      </c>
      <c r="K132" s="686">
        <f t="shared" si="39"/>
        <v>0</v>
      </c>
      <c r="L132" s="686">
        <f t="shared" si="43"/>
        <v>0</v>
      </c>
      <c r="M132" s="686">
        <f t="shared" si="40"/>
        <v>0</v>
      </c>
      <c r="N132" s="686">
        <f t="shared" si="41"/>
        <v>0</v>
      </c>
      <c r="O132" s="686">
        <f t="shared" si="42"/>
        <v>0</v>
      </c>
      <c r="P132" s="686">
        <f t="shared" si="31"/>
        <v>0</v>
      </c>
    </row>
    <row r="133" spans="2:16">
      <c r="B133" s="502">
        <v>2020</v>
      </c>
      <c r="C133" s="852"/>
      <c r="D133" s="853"/>
      <c r="E133" s="854"/>
      <c r="F133" s="853"/>
      <c r="G133" s="854"/>
      <c r="H133" s="853"/>
      <c r="I133" s="854"/>
      <c r="J133" s="854"/>
      <c r="K133" s="854"/>
      <c r="L133" s="854"/>
      <c r="M133" s="854"/>
      <c r="N133" s="854"/>
      <c r="O133" s="854"/>
      <c r="P133" s="854"/>
    </row>
    <row r="134" spans="2:16" ht="18.75" customHeight="1">
      <c r="B134" s="498" t="s">
        <v>631</v>
      </c>
      <c r="C134" s="598"/>
      <c r="D134" s="599"/>
      <c r="E134" s="600"/>
      <c r="F134" s="599"/>
      <c r="G134" s="599"/>
      <c r="H134" s="599"/>
      <c r="I134" s="599"/>
      <c r="J134" s="599"/>
      <c r="K134" s="599"/>
      <c r="L134" s="599"/>
      <c r="M134" s="599"/>
      <c r="N134" s="599"/>
      <c r="O134" s="599"/>
      <c r="P134" s="599"/>
    </row>
    <row r="136" spans="2:16">
      <c r="B136" s="592"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0866141732283472" right="0.70866141732283472" top="0.74803149606299213" bottom="0.74803149606299213" header="0.31496062992125984" footer="0.31496062992125984"/>
  <pageSetup paperSize="3" scale="67" orientation="portrait" r:id="rId1"/>
  <rowBreaks count="1" manualBreakCount="1">
    <brk id="116"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4:X58"/>
  <sheetViews>
    <sheetView topLeftCell="A24" zoomScale="70" zoomScaleNormal="70" workbookViewId="0">
      <selection activeCell="A49" sqref="A49:XFD49"/>
    </sheetView>
  </sheetViews>
  <sheetFormatPr defaultColWidth="9.08984375" defaultRowHeight="14.5"/>
  <cols>
    <col min="1" max="1" width="9.08984375" style="12"/>
    <col min="2" max="2" width="24.54296875" style="12" customWidth="1"/>
    <col min="3" max="3" width="21.81640625" style="12" customWidth="1"/>
    <col min="4" max="4" width="9.08984375" style="12"/>
    <col min="5" max="5" width="24.453125" style="12" customWidth="1"/>
    <col min="6" max="17" width="12.6328125" style="12" customWidth="1"/>
    <col min="18" max="18" width="13.1796875" style="12" customWidth="1"/>
    <col min="19" max="19" width="12.08984375" style="12" customWidth="1"/>
    <col min="20" max="20" width="9.08984375" style="12"/>
    <col min="21" max="22" width="12.6328125" style="12" customWidth="1"/>
    <col min="23" max="23" width="13.1796875" style="12" customWidth="1"/>
    <col min="24" max="16384" width="9.08984375" style="12"/>
  </cols>
  <sheetData>
    <row r="14" spans="2:24" ht="15.5">
      <c r="B14" s="588" t="s">
        <v>505</v>
      </c>
    </row>
    <row r="15" spans="2:24" ht="15.5">
      <c r="B15" s="588"/>
    </row>
    <row r="16" spans="2:24" s="668" customFormat="1" ht="28.5" customHeight="1">
      <c r="B16" s="914" t="s">
        <v>634</v>
      </c>
      <c r="C16" s="914"/>
      <c r="D16" s="914"/>
      <c r="E16" s="914"/>
      <c r="F16" s="914"/>
      <c r="G16" s="914"/>
      <c r="H16" s="914"/>
      <c r="I16" s="914"/>
      <c r="J16" s="914"/>
      <c r="K16" s="914"/>
      <c r="L16" s="914"/>
      <c r="M16" s="914"/>
      <c r="N16" s="914"/>
      <c r="O16" s="914"/>
      <c r="P16" s="914"/>
      <c r="Q16" s="914"/>
      <c r="R16" s="914"/>
      <c r="S16" s="914"/>
      <c r="T16" s="914"/>
      <c r="U16" s="914"/>
      <c r="V16" s="914"/>
      <c r="W16" s="914"/>
      <c r="X16" s="914"/>
    </row>
    <row r="19" spans="2:24">
      <c r="B19" s="8" t="s">
        <v>774</v>
      </c>
    </row>
    <row r="20" spans="2:24">
      <c r="B20" s="758" t="s">
        <v>775</v>
      </c>
    </row>
    <row r="21" spans="2:24">
      <c r="B21" s="758" t="s">
        <v>776</v>
      </c>
    </row>
    <row r="22" spans="2:24">
      <c r="B22" s="758" t="s">
        <v>777</v>
      </c>
    </row>
    <row r="23" spans="2:24">
      <c r="B23" s="759"/>
      <c r="C23" s="759"/>
      <c r="D23" s="759"/>
      <c r="E23" s="759"/>
      <c r="F23" s="915">
        <v>2015</v>
      </c>
      <c r="G23" s="916"/>
      <c r="H23" s="916"/>
      <c r="I23" s="916"/>
      <c r="J23" s="760"/>
      <c r="K23" s="916">
        <v>2016</v>
      </c>
      <c r="L23" s="916"/>
      <c r="M23" s="916"/>
      <c r="N23" s="917"/>
      <c r="O23" s="761"/>
      <c r="P23" s="915">
        <v>2017</v>
      </c>
      <c r="Q23" s="916"/>
      <c r="R23" s="916"/>
      <c r="S23" s="916"/>
      <c r="T23" s="762"/>
      <c r="U23" s="915" t="s">
        <v>788</v>
      </c>
      <c r="V23" s="916"/>
      <c r="W23" s="916"/>
      <c r="X23"/>
    </row>
    <row r="24" spans="2:24" ht="52">
      <c r="B24" s="763" t="s">
        <v>778</v>
      </c>
      <c r="C24" s="764"/>
      <c r="D24" s="764"/>
      <c r="E24" s="764"/>
      <c r="F24" s="765" t="s">
        <v>29</v>
      </c>
      <c r="G24" s="766" t="s">
        <v>779</v>
      </c>
      <c r="H24" s="766" t="s">
        <v>780</v>
      </c>
      <c r="I24" s="767" t="s">
        <v>781</v>
      </c>
      <c r="J24" s="768" t="s">
        <v>782</v>
      </c>
      <c r="K24" s="769" t="s">
        <v>29</v>
      </c>
      <c r="L24" s="766" t="s">
        <v>779</v>
      </c>
      <c r="M24" s="766" t="s">
        <v>780</v>
      </c>
      <c r="N24" s="767" t="s">
        <v>781</v>
      </c>
      <c r="O24" s="767" t="s">
        <v>782</v>
      </c>
      <c r="P24" s="765" t="s">
        <v>29</v>
      </c>
      <c r="Q24" s="766" t="s">
        <v>779</v>
      </c>
      <c r="R24" s="766" t="s">
        <v>780</v>
      </c>
      <c r="S24" s="767" t="s">
        <v>781</v>
      </c>
      <c r="T24" s="768" t="s">
        <v>782</v>
      </c>
      <c r="U24" s="770" t="s">
        <v>29</v>
      </c>
      <c r="V24" s="771" t="s">
        <v>779</v>
      </c>
      <c r="W24" s="771" t="s">
        <v>780</v>
      </c>
    </row>
    <row r="25" spans="2:24" ht="18.5">
      <c r="B25" s="772" t="s">
        <v>783</v>
      </c>
      <c r="C25" s="773"/>
      <c r="D25" s="773"/>
      <c r="E25" s="773"/>
      <c r="F25" s="774"/>
      <c r="G25" s="773"/>
      <c r="H25" s="773"/>
      <c r="I25" s="773"/>
      <c r="J25" s="775"/>
      <c r="K25" s="773"/>
      <c r="L25" s="773"/>
      <c r="M25" s="773"/>
      <c r="N25" s="773"/>
      <c r="O25" s="773"/>
      <c r="P25" s="774"/>
      <c r="Q25" s="773"/>
      <c r="R25" s="773"/>
      <c r="S25" s="773"/>
      <c r="T25" s="775"/>
      <c r="U25" s="774"/>
      <c r="V25" s="773"/>
      <c r="W25" s="775"/>
    </row>
    <row r="26" spans="2:24" ht="15.5">
      <c r="B26" s="776" t="s">
        <v>504</v>
      </c>
      <c r="F26" s="777"/>
      <c r="G26" s="778"/>
      <c r="H26" s="778"/>
      <c r="I26" s="778"/>
      <c r="J26" s="779"/>
      <c r="K26" s="780"/>
      <c r="L26" s="780"/>
      <c r="M26" s="780"/>
      <c r="N26" s="780"/>
      <c r="O26" s="780"/>
      <c r="P26" s="777"/>
      <c r="Q26" s="778"/>
      <c r="R26" s="778"/>
      <c r="S26" s="778"/>
      <c r="T26" s="779"/>
      <c r="U26" s="781"/>
      <c r="V26" s="782"/>
      <c r="W26" s="783"/>
    </row>
    <row r="27" spans="2:24">
      <c r="B27" s="784" t="s">
        <v>497</v>
      </c>
      <c r="F27" s="777"/>
      <c r="G27" s="778"/>
      <c r="H27" s="778"/>
      <c r="I27" s="778"/>
      <c r="J27" s="779"/>
      <c r="K27" s="780"/>
      <c r="L27" s="780"/>
      <c r="M27" s="780"/>
      <c r="N27" s="780"/>
      <c r="O27" s="780"/>
      <c r="P27" s="777"/>
      <c r="Q27" s="778"/>
      <c r="R27" s="778"/>
      <c r="S27" s="778"/>
      <c r="T27" s="779"/>
      <c r="U27" s="785"/>
      <c r="V27" s="16"/>
      <c r="W27" s="786"/>
    </row>
    <row r="28" spans="2:24">
      <c r="B28" s="12" t="s">
        <v>95</v>
      </c>
      <c r="F28" s="777">
        <v>1</v>
      </c>
      <c r="G28" s="778"/>
      <c r="H28" s="778"/>
      <c r="I28" s="778"/>
      <c r="J28" s="779"/>
      <c r="K28" s="780"/>
      <c r="L28" s="780"/>
      <c r="M28" s="780"/>
      <c r="N28" s="780"/>
      <c r="O28" s="780"/>
      <c r="P28" s="777"/>
      <c r="Q28" s="778"/>
      <c r="R28" s="778"/>
      <c r="S28" s="778"/>
      <c r="T28" s="779"/>
      <c r="U28" s="785"/>
      <c r="V28" s="16"/>
      <c r="W28" s="786"/>
    </row>
    <row r="29" spans="2:24">
      <c r="B29" s="12" t="s">
        <v>96</v>
      </c>
      <c r="C29" s="12" t="s">
        <v>784</v>
      </c>
      <c r="F29" s="777">
        <v>1</v>
      </c>
      <c r="G29" s="778"/>
      <c r="H29" s="778"/>
      <c r="I29" s="778"/>
      <c r="J29" s="779"/>
      <c r="K29" s="780"/>
      <c r="L29" s="780"/>
      <c r="M29" s="780"/>
      <c r="N29" s="780"/>
      <c r="O29" s="780"/>
      <c r="P29" s="777"/>
      <c r="Q29" s="778"/>
      <c r="R29" s="778"/>
      <c r="S29" s="778"/>
      <c r="T29" s="779"/>
      <c r="U29" s="785"/>
      <c r="V29" s="16"/>
      <c r="W29" s="786"/>
    </row>
    <row r="30" spans="2:24">
      <c r="B30" s="12" t="s">
        <v>97</v>
      </c>
      <c r="F30" s="777">
        <v>1</v>
      </c>
      <c r="G30" s="778"/>
      <c r="H30" s="778"/>
      <c r="I30" s="778"/>
      <c r="J30" s="779"/>
      <c r="K30" s="780"/>
      <c r="L30" s="780"/>
      <c r="M30" s="780"/>
      <c r="N30" s="780"/>
      <c r="O30" s="780"/>
      <c r="P30" s="777"/>
      <c r="Q30" s="778"/>
      <c r="R30" s="778"/>
      <c r="S30" s="778"/>
      <c r="T30" s="779"/>
      <c r="U30" s="785"/>
      <c r="V30" s="16"/>
      <c r="W30" s="786"/>
    </row>
    <row r="31" spans="2:24">
      <c r="B31" s="12" t="s">
        <v>678</v>
      </c>
      <c r="F31" s="777">
        <v>1</v>
      </c>
      <c r="G31" s="778"/>
      <c r="H31" s="778"/>
      <c r="I31" s="778"/>
      <c r="J31" s="779"/>
      <c r="K31" s="780"/>
      <c r="L31" s="780"/>
      <c r="M31" s="780"/>
      <c r="N31" s="780"/>
      <c r="O31" s="780"/>
      <c r="P31" s="777"/>
      <c r="Q31" s="778"/>
      <c r="R31" s="778"/>
      <c r="S31" s="778"/>
      <c r="T31" s="779"/>
      <c r="U31" s="785"/>
      <c r="V31" s="16"/>
      <c r="W31" s="786"/>
    </row>
    <row r="32" spans="2:24">
      <c r="B32" s="12" t="s">
        <v>98</v>
      </c>
      <c r="F32" s="777">
        <v>1</v>
      </c>
      <c r="G32" s="778"/>
      <c r="H32" s="778"/>
      <c r="I32" s="778"/>
      <c r="J32" s="779"/>
      <c r="K32" s="780"/>
      <c r="L32" s="780"/>
      <c r="M32" s="780"/>
      <c r="N32" s="780"/>
      <c r="O32" s="780"/>
      <c r="P32" s="777"/>
      <c r="Q32" s="778"/>
      <c r="R32" s="778"/>
      <c r="S32" s="778"/>
      <c r="T32" s="779"/>
      <c r="U32" s="787"/>
      <c r="V32" s="788"/>
      <c r="W32" s="789"/>
    </row>
    <row r="33" spans="2:23">
      <c r="B33" s="790" t="s">
        <v>498</v>
      </c>
      <c r="C33" s="782"/>
      <c r="D33" s="782"/>
      <c r="E33" s="782"/>
      <c r="F33" s="791"/>
      <c r="G33" s="792"/>
      <c r="H33" s="792"/>
      <c r="I33" s="792"/>
      <c r="J33" s="793"/>
      <c r="K33" s="792"/>
      <c r="L33" s="792"/>
      <c r="M33" s="792"/>
      <c r="N33" s="792"/>
      <c r="O33" s="792"/>
      <c r="P33" s="791"/>
      <c r="Q33" s="792"/>
      <c r="R33" s="792"/>
      <c r="S33" s="792"/>
      <c r="T33" s="793"/>
      <c r="U33" s="781"/>
      <c r="V33" s="782"/>
      <c r="W33" s="783"/>
    </row>
    <row r="34" spans="2:23">
      <c r="B34" s="12" t="s">
        <v>100</v>
      </c>
      <c r="F34" s="777"/>
      <c r="G34" s="794">
        <v>0.38</v>
      </c>
      <c r="H34" s="794">
        <v>0.53</v>
      </c>
      <c r="I34" s="794">
        <v>0.09</v>
      </c>
      <c r="J34" s="779"/>
      <c r="K34" s="780"/>
      <c r="L34" s="780"/>
      <c r="M34" s="780"/>
      <c r="N34" s="780"/>
      <c r="O34" s="780"/>
      <c r="P34" s="777"/>
      <c r="Q34" s="778"/>
      <c r="R34" s="778"/>
      <c r="S34" s="778"/>
      <c r="T34" s="779"/>
      <c r="U34" s="787"/>
      <c r="V34" s="788"/>
      <c r="W34" s="789"/>
    </row>
    <row r="35" spans="2:23">
      <c r="B35" s="790" t="s">
        <v>10</v>
      </c>
      <c r="C35" s="782"/>
      <c r="D35" s="782"/>
      <c r="E35" s="782"/>
      <c r="F35" s="791"/>
      <c r="G35" s="792"/>
      <c r="H35" s="792"/>
      <c r="I35" s="792"/>
      <c r="J35" s="793"/>
      <c r="K35" s="792"/>
      <c r="L35" s="792"/>
      <c r="M35" s="792"/>
      <c r="N35" s="792"/>
      <c r="O35" s="792"/>
      <c r="P35" s="791"/>
      <c r="Q35" s="792"/>
      <c r="R35" s="792"/>
      <c r="S35" s="792"/>
      <c r="T35" s="793"/>
      <c r="U35" s="781"/>
      <c r="V35" s="782"/>
      <c r="W35" s="783"/>
    </row>
    <row r="36" spans="2:23">
      <c r="B36" s="12" t="s">
        <v>104</v>
      </c>
      <c r="F36" s="777"/>
      <c r="G36" s="778"/>
      <c r="H36" s="778"/>
      <c r="I36" s="778">
        <v>1</v>
      </c>
      <c r="J36" s="779"/>
      <c r="K36" s="780"/>
      <c r="L36" s="780"/>
      <c r="M36" s="780"/>
      <c r="N36" s="780"/>
      <c r="O36" s="780"/>
      <c r="P36" s="777"/>
      <c r="Q36" s="778"/>
      <c r="R36" s="778"/>
      <c r="S36" s="778"/>
      <c r="T36" s="779"/>
      <c r="U36" s="785"/>
      <c r="V36" s="16"/>
      <c r="W36" s="786"/>
    </row>
    <row r="37" spans="2:23">
      <c r="B37" s="12" t="s">
        <v>106</v>
      </c>
      <c r="F37" s="777"/>
      <c r="G37" s="778"/>
      <c r="H37" s="778"/>
      <c r="I37" s="778">
        <v>1</v>
      </c>
      <c r="J37" s="779"/>
      <c r="K37" s="780"/>
      <c r="L37" s="780"/>
      <c r="M37" s="780"/>
      <c r="N37" s="780"/>
      <c r="O37" s="780"/>
      <c r="P37" s="777"/>
      <c r="Q37" s="778"/>
      <c r="R37" s="778"/>
      <c r="S37" s="778"/>
      <c r="T37" s="779"/>
      <c r="U37" s="787"/>
      <c r="V37" s="788"/>
      <c r="W37" s="789"/>
    </row>
    <row r="38" spans="2:23">
      <c r="B38" s="790" t="s">
        <v>107</v>
      </c>
      <c r="C38" s="782"/>
      <c r="D38" s="782"/>
      <c r="E38" s="782"/>
      <c r="F38" s="791"/>
      <c r="G38" s="792"/>
      <c r="H38" s="792"/>
      <c r="I38" s="792"/>
      <c r="J38" s="793"/>
      <c r="K38" s="792"/>
      <c r="L38" s="792"/>
      <c r="M38" s="792"/>
      <c r="N38" s="792"/>
      <c r="O38" s="792"/>
      <c r="P38" s="791"/>
      <c r="Q38" s="792"/>
      <c r="R38" s="792"/>
      <c r="S38" s="792"/>
      <c r="T38" s="793"/>
      <c r="U38" s="781"/>
      <c r="V38" s="782"/>
      <c r="W38" s="783"/>
    </row>
    <row r="39" spans="2:23">
      <c r="B39" s="788" t="s">
        <v>108</v>
      </c>
      <c r="C39" s="788"/>
      <c r="D39" s="788"/>
      <c r="E39" s="788"/>
      <c r="F39" s="795">
        <v>1</v>
      </c>
      <c r="G39" s="796"/>
      <c r="H39" s="796"/>
      <c r="I39" s="796"/>
      <c r="J39" s="797"/>
      <c r="K39" s="796"/>
      <c r="L39" s="796"/>
      <c r="M39" s="796"/>
      <c r="N39" s="796"/>
      <c r="O39" s="796"/>
      <c r="P39" s="795"/>
      <c r="Q39" s="796"/>
      <c r="R39" s="796"/>
      <c r="S39" s="796"/>
      <c r="T39" s="797"/>
      <c r="U39" s="787"/>
      <c r="V39" s="788"/>
      <c r="W39" s="789"/>
    </row>
    <row r="40" spans="2:23" ht="15.5">
      <c r="B40" s="776" t="s">
        <v>503</v>
      </c>
      <c r="F40" s="777"/>
      <c r="G40" s="778"/>
      <c r="H40" s="778"/>
      <c r="I40" s="778"/>
      <c r="J40" s="779"/>
      <c r="K40" s="780"/>
      <c r="L40" s="780"/>
      <c r="M40" s="780"/>
      <c r="N40" s="780"/>
      <c r="O40" s="780"/>
      <c r="P40" s="777"/>
      <c r="Q40" s="778"/>
      <c r="R40" s="778"/>
      <c r="S40" s="778"/>
      <c r="T40" s="779"/>
      <c r="U40" s="781"/>
      <c r="V40" s="782"/>
      <c r="W40" s="783"/>
    </row>
    <row r="41" spans="2:23">
      <c r="B41" s="784" t="s">
        <v>499</v>
      </c>
      <c r="F41" s="777"/>
      <c r="G41" s="778"/>
      <c r="H41" s="778"/>
      <c r="I41" s="778"/>
      <c r="J41" s="779"/>
      <c r="K41" s="780"/>
      <c r="L41" s="780"/>
      <c r="M41" s="780"/>
      <c r="N41" s="780"/>
      <c r="O41" s="780"/>
      <c r="P41" s="777"/>
      <c r="Q41" s="778"/>
      <c r="R41" s="778"/>
      <c r="S41" s="778"/>
      <c r="T41" s="779"/>
      <c r="U41" s="785"/>
      <c r="V41" s="16"/>
      <c r="W41" s="786"/>
    </row>
    <row r="42" spans="2:23">
      <c r="B42" s="12" t="s">
        <v>113</v>
      </c>
      <c r="F42" s="777">
        <v>1</v>
      </c>
      <c r="G42" s="778"/>
      <c r="H42" s="778"/>
      <c r="I42" s="778"/>
      <c r="J42" s="779"/>
      <c r="K42" s="780">
        <v>1</v>
      </c>
      <c r="L42" s="780"/>
      <c r="M42" s="780"/>
      <c r="N42" s="780"/>
      <c r="O42" s="780"/>
      <c r="P42" s="777">
        <v>1</v>
      </c>
      <c r="Q42" s="778"/>
      <c r="R42" s="778"/>
      <c r="S42" s="778"/>
      <c r="T42" s="779"/>
      <c r="U42" s="798">
        <v>1</v>
      </c>
      <c r="V42" s="16"/>
      <c r="W42" s="786"/>
    </row>
    <row r="43" spans="2:23">
      <c r="B43" s="12" t="s">
        <v>114</v>
      </c>
      <c r="F43" s="777">
        <v>1</v>
      </c>
      <c r="G43" s="778"/>
      <c r="H43" s="778"/>
      <c r="I43" s="778"/>
      <c r="J43" s="779"/>
      <c r="K43" s="780">
        <v>1</v>
      </c>
      <c r="L43" s="780"/>
      <c r="M43" s="780"/>
      <c r="N43" s="780"/>
      <c r="O43" s="780"/>
      <c r="P43" s="777">
        <v>1</v>
      </c>
      <c r="Q43" s="778"/>
      <c r="R43" s="778"/>
      <c r="S43" s="778"/>
      <c r="T43" s="779"/>
      <c r="U43" s="785"/>
      <c r="V43" s="16"/>
      <c r="W43" s="786"/>
    </row>
    <row r="44" spans="2:23">
      <c r="B44" s="12" t="s">
        <v>115</v>
      </c>
      <c r="F44" s="777"/>
      <c r="G44" s="778"/>
      <c r="H44" s="778"/>
      <c r="I44" s="778"/>
      <c r="J44" s="779"/>
      <c r="K44" s="780">
        <v>1</v>
      </c>
      <c r="L44" s="780"/>
      <c r="M44" s="780"/>
      <c r="N44" s="780"/>
      <c r="O44" s="780"/>
      <c r="P44" s="777"/>
      <c r="Q44" s="778"/>
      <c r="R44" s="778"/>
      <c r="S44" s="778"/>
      <c r="T44" s="779"/>
      <c r="U44" s="785"/>
      <c r="V44" s="16"/>
      <c r="W44" s="786"/>
    </row>
    <row r="45" spans="2:23">
      <c r="B45" s="12" t="s">
        <v>116</v>
      </c>
      <c r="F45" s="777">
        <v>1</v>
      </c>
      <c r="G45" s="778"/>
      <c r="H45" s="778"/>
      <c r="I45" s="778"/>
      <c r="J45" s="779"/>
      <c r="K45" s="780"/>
      <c r="L45" s="780"/>
      <c r="M45" s="780"/>
      <c r="N45" s="780"/>
      <c r="O45" s="780"/>
      <c r="P45" s="777">
        <v>1</v>
      </c>
      <c r="Q45" s="778"/>
      <c r="R45" s="778"/>
      <c r="S45" s="778"/>
      <c r="T45" s="779"/>
      <c r="U45" s="787"/>
      <c r="V45" s="788"/>
      <c r="W45" s="789"/>
    </row>
    <row r="46" spans="2:23">
      <c r="B46" s="790" t="s">
        <v>500</v>
      </c>
      <c r="C46" s="782"/>
      <c r="D46" s="782"/>
      <c r="E46" s="782"/>
      <c r="F46" s="791"/>
      <c r="G46" s="792"/>
      <c r="H46" s="792"/>
      <c r="I46" s="792"/>
      <c r="J46" s="793"/>
      <c r="K46" s="792"/>
      <c r="L46" s="792"/>
      <c r="M46" s="792"/>
      <c r="N46" s="792"/>
      <c r="O46" s="792"/>
      <c r="P46" s="791"/>
      <c r="Q46" s="792"/>
      <c r="R46" s="792"/>
      <c r="S46" s="792"/>
      <c r="T46" s="793"/>
      <c r="U46" s="781"/>
      <c r="V46" s="782"/>
      <c r="W46" s="783"/>
    </row>
    <row r="47" spans="2:23">
      <c r="B47" s="12" t="s">
        <v>117</v>
      </c>
      <c r="F47" s="777"/>
      <c r="G47" s="799"/>
      <c r="H47" s="799"/>
      <c r="I47" s="799"/>
      <c r="J47" s="800"/>
      <c r="K47" s="780"/>
      <c r="L47" s="780">
        <v>0.33</v>
      </c>
      <c r="M47" s="780">
        <v>0.67</v>
      </c>
      <c r="N47" s="780"/>
      <c r="O47" s="780"/>
      <c r="P47" s="777"/>
      <c r="Q47" s="778"/>
      <c r="R47" s="778"/>
      <c r="S47" s="778"/>
      <c r="T47" s="779"/>
      <c r="U47" s="785"/>
      <c r="V47" s="801"/>
      <c r="W47" s="802"/>
    </row>
    <row r="48" spans="2:23">
      <c r="B48" s="12" t="s">
        <v>118</v>
      </c>
      <c r="F48" s="777"/>
      <c r="G48" s="799">
        <v>0.38</v>
      </c>
      <c r="H48" s="799">
        <v>0.53</v>
      </c>
      <c r="I48" s="799">
        <v>0.09</v>
      </c>
      <c r="J48" s="800"/>
      <c r="K48" s="780"/>
      <c r="L48" s="803">
        <v>0.39</v>
      </c>
      <c r="M48" s="803">
        <v>0.42</v>
      </c>
      <c r="N48" s="803">
        <v>0.19</v>
      </c>
      <c r="O48" s="803"/>
      <c r="P48" s="777"/>
      <c r="Q48" s="799">
        <v>0.35</v>
      </c>
      <c r="R48" s="799">
        <v>0.6</v>
      </c>
      <c r="S48" s="799">
        <v>0</v>
      </c>
      <c r="T48" s="800">
        <v>0.05</v>
      </c>
      <c r="U48" s="785"/>
      <c r="V48" s="801">
        <v>0.35</v>
      </c>
      <c r="W48" s="802">
        <v>0.65</v>
      </c>
    </row>
    <row r="49" spans="2:23">
      <c r="B49" s="12" t="s">
        <v>119</v>
      </c>
      <c r="F49" s="777"/>
      <c r="G49" s="799"/>
      <c r="H49" s="799"/>
      <c r="I49" s="799"/>
      <c r="J49" s="800"/>
      <c r="K49" s="780"/>
      <c r="L49" s="803">
        <v>0.76</v>
      </c>
      <c r="M49" s="803">
        <v>0.24</v>
      </c>
      <c r="N49" s="803"/>
      <c r="O49" s="803"/>
      <c r="P49" s="777"/>
      <c r="Q49" s="803">
        <v>0.76</v>
      </c>
      <c r="R49" s="803">
        <v>0.24</v>
      </c>
      <c r="S49" s="799"/>
      <c r="T49" s="800"/>
      <c r="U49" s="785"/>
      <c r="V49" s="803">
        <v>0.76</v>
      </c>
      <c r="W49" s="803">
        <v>0.24</v>
      </c>
    </row>
    <row r="50" spans="2:23">
      <c r="B50" s="12" t="s">
        <v>120</v>
      </c>
      <c r="F50" s="777"/>
      <c r="G50" s="799"/>
      <c r="H50" s="799"/>
      <c r="I50" s="799"/>
      <c r="J50" s="800"/>
      <c r="K50" s="780"/>
      <c r="L50" s="803">
        <v>1</v>
      </c>
      <c r="M50" s="803"/>
      <c r="N50" s="803"/>
      <c r="O50" s="803"/>
      <c r="P50" s="777"/>
      <c r="Q50" s="799"/>
      <c r="R50" s="799"/>
      <c r="S50" s="799"/>
      <c r="T50" s="800"/>
      <c r="U50" s="785"/>
      <c r="V50" s="16"/>
      <c r="W50" s="786"/>
    </row>
    <row r="51" spans="2:23">
      <c r="F51" s="777"/>
      <c r="G51" s="799"/>
      <c r="H51" s="799"/>
      <c r="I51" s="799"/>
      <c r="J51" s="800"/>
      <c r="K51" s="780"/>
      <c r="L51" s="780"/>
      <c r="M51" s="780"/>
      <c r="N51" s="780"/>
      <c r="O51" s="780"/>
      <c r="P51" s="777"/>
      <c r="Q51" s="778"/>
      <c r="R51" s="778"/>
      <c r="S51" s="778"/>
      <c r="T51" s="779"/>
      <c r="U51" s="785"/>
      <c r="V51" s="16"/>
      <c r="W51" s="786"/>
    </row>
    <row r="52" spans="2:23">
      <c r="B52" s="12" t="s">
        <v>124</v>
      </c>
      <c r="F52" s="777"/>
      <c r="G52" s="799"/>
      <c r="H52" s="799"/>
      <c r="I52" s="799"/>
      <c r="J52" s="800"/>
      <c r="K52" s="780"/>
      <c r="L52" s="780"/>
      <c r="M52" s="780"/>
      <c r="N52" s="780">
        <v>1</v>
      </c>
      <c r="O52" s="780"/>
      <c r="P52" s="777"/>
      <c r="Q52" s="778"/>
      <c r="R52" s="778"/>
      <c r="S52" s="778"/>
      <c r="T52" s="779"/>
      <c r="U52" s="787"/>
      <c r="V52" s="788"/>
      <c r="W52" s="789"/>
    </row>
    <row r="53" spans="2:23">
      <c r="B53" s="790" t="s">
        <v>490</v>
      </c>
      <c r="C53" s="782"/>
      <c r="D53" s="782"/>
      <c r="E53" s="782"/>
      <c r="F53" s="791"/>
      <c r="G53" s="792"/>
      <c r="H53" s="792"/>
      <c r="I53" s="792"/>
      <c r="J53" s="793"/>
      <c r="K53" s="792"/>
      <c r="L53" s="792"/>
      <c r="M53" s="792"/>
      <c r="N53" s="792"/>
      <c r="O53" s="792"/>
      <c r="P53" s="791"/>
      <c r="Q53" s="792"/>
      <c r="R53" s="792"/>
      <c r="S53" s="792"/>
      <c r="T53" s="793"/>
      <c r="U53" s="781"/>
      <c r="V53" s="782"/>
      <c r="W53" s="783"/>
    </row>
    <row r="54" spans="2:23" ht="15.5">
      <c r="B54" s="776" t="s">
        <v>496</v>
      </c>
      <c r="F54" s="777"/>
      <c r="G54" s="778"/>
      <c r="H54" s="778"/>
      <c r="I54" s="778"/>
      <c r="J54" s="779"/>
      <c r="K54" s="780"/>
      <c r="L54" s="780"/>
      <c r="M54" s="780"/>
      <c r="N54" s="780"/>
      <c r="O54" s="780"/>
      <c r="P54" s="777"/>
      <c r="Q54" s="778"/>
      <c r="R54" s="778"/>
      <c r="S54" s="778"/>
      <c r="T54" s="779"/>
      <c r="U54" s="785"/>
      <c r="V54" s="16"/>
      <c r="W54" s="786"/>
    </row>
    <row r="55" spans="2:23">
      <c r="B55" s="16" t="s">
        <v>109</v>
      </c>
      <c r="C55" s="16"/>
      <c r="D55" s="16"/>
      <c r="E55" s="16"/>
      <c r="F55" s="777"/>
      <c r="G55" s="778"/>
      <c r="H55" s="778"/>
      <c r="I55" s="778">
        <v>1</v>
      </c>
      <c r="J55" s="779"/>
      <c r="K55" s="778"/>
      <c r="L55" s="778"/>
      <c r="M55" s="778"/>
      <c r="N55" s="778"/>
      <c r="O55" s="778"/>
      <c r="P55" s="777"/>
      <c r="Q55" s="778"/>
      <c r="R55" s="778"/>
      <c r="S55" s="778"/>
      <c r="T55" s="779"/>
      <c r="U55" s="785"/>
      <c r="V55" s="16"/>
      <c r="W55" s="786"/>
    </row>
    <row r="56" spans="2:23">
      <c r="B56" s="16" t="s">
        <v>785</v>
      </c>
      <c r="C56" s="16"/>
      <c r="D56" s="16"/>
      <c r="E56" s="16"/>
      <c r="F56" s="777"/>
      <c r="G56" s="778"/>
      <c r="H56" s="778"/>
      <c r="I56" s="778"/>
      <c r="J56" s="779"/>
      <c r="K56" s="778"/>
      <c r="L56" s="778"/>
      <c r="M56" s="778"/>
      <c r="N56" s="778"/>
      <c r="O56" s="778"/>
      <c r="P56" s="777">
        <v>1</v>
      </c>
      <c r="Q56" s="778"/>
      <c r="R56" s="778"/>
      <c r="S56" s="778"/>
      <c r="T56" s="779"/>
      <c r="U56" s="785"/>
      <c r="V56" s="16"/>
      <c r="W56" s="786"/>
    </row>
    <row r="57" spans="2:23">
      <c r="B57" s="16" t="s">
        <v>786</v>
      </c>
      <c r="C57" s="16"/>
      <c r="D57" s="16"/>
      <c r="E57" s="16"/>
      <c r="F57" s="777"/>
      <c r="G57" s="778"/>
      <c r="H57" s="778"/>
      <c r="I57" s="778"/>
      <c r="J57" s="779"/>
      <c r="K57" s="778"/>
      <c r="L57" s="778"/>
      <c r="M57" s="778"/>
      <c r="N57" s="778"/>
      <c r="O57" s="778"/>
      <c r="P57" s="777">
        <v>1</v>
      </c>
      <c r="Q57" s="778"/>
      <c r="R57" s="778"/>
      <c r="S57" s="778"/>
      <c r="T57" s="779"/>
      <c r="U57" s="785"/>
      <c r="V57" s="16"/>
      <c r="W57" s="786"/>
    </row>
    <row r="58" spans="2:23">
      <c r="B58" s="788" t="s">
        <v>787</v>
      </c>
      <c r="C58" s="788"/>
      <c r="D58" s="788"/>
      <c r="E58" s="788"/>
      <c r="F58" s="795"/>
      <c r="G58" s="796"/>
      <c r="H58" s="796"/>
      <c r="I58" s="796"/>
      <c r="J58" s="797"/>
      <c r="K58" s="796">
        <v>1</v>
      </c>
      <c r="L58" s="796"/>
      <c r="M58" s="796"/>
      <c r="N58" s="796"/>
      <c r="O58" s="796"/>
      <c r="P58" s="795"/>
      <c r="Q58" s="796"/>
      <c r="R58" s="796"/>
      <c r="S58" s="796"/>
      <c r="T58" s="797"/>
      <c r="U58" s="787"/>
      <c r="V58" s="788"/>
      <c r="W58" s="789"/>
    </row>
  </sheetData>
  <mergeCells count="5">
    <mergeCell ref="B16:X16"/>
    <mergeCell ref="F23:I23"/>
    <mergeCell ref="K23:N23"/>
    <mergeCell ref="P23:S23"/>
    <mergeCell ref="U23:W23"/>
  </mergeCells>
  <pageMargins left="0.70866141732283472" right="0.70866141732283472" top="0.74803149606299213" bottom="0.74803149606299213" header="0.31496062992125984" footer="0.31496062992125984"/>
  <pageSetup paperSize="3"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25</vt:i4>
      </vt:variant>
    </vt:vector>
  </HeadingPairs>
  <TitlesOfParts>
    <vt:vector size="39"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'7.  Persistence Report'!Print_Area</vt:lpstr>
      <vt:lpstr>Contents!Print_Area</vt:lpstr>
      <vt:lpstr>'LRAMVA Checklist Schematic'!Print_Area</vt:lpstr>
      <vt:lpstr>'4.  2011-2014 LRAM'!Print_Titles</vt:lpstr>
      <vt:lpstr>'5.  2015-2020 LRAM'!Print_Titles</vt:lpstr>
      <vt:lpstr>'6.  Carrying Charges'!Print_Titles</vt:lpstr>
      <vt:lpstr>'7.  Persistence Report'!Print_Titles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Author</cp:lastModifiedBy>
  <cp:lastPrinted>2020-07-22T14:30:53Z</cp:lastPrinted>
  <dcterms:created xsi:type="dcterms:W3CDTF">2012-03-05T18:56:04Z</dcterms:created>
  <dcterms:modified xsi:type="dcterms:W3CDTF">2020-07-22T14:43:31Z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