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codeName="ThisWorkbook" defaultThemeVersion="124226"/>
  <mc:AlternateContent xmlns:mc="http://schemas.openxmlformats.org/markup-compatibility/2006">
    <mc:Choice Requires="x15">
      <x15ac:absPath xmlns:x15ac="http://schemas.microsoft.com/office/spreadsheetml/2010/11/ac" url="V:\ACTIVE APPLICATIONS\CNPI_2021_IRM\Models\"/>
    </mc:Choice>
  </mc:AlternateContent>
  <xr:revisionPtr revIDLastSave="0" documentId="13_ncr:1_{E9FA86AC-CAB5-4589-A5A7-90D361E4069B}" xr6:coauthVersionLast="36" xr6:coauthVersionMax="3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0" yWindow="1800" windowWidth="28800" windowHeight="13125" tabRatio="886"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Report'!$A$1:$AG$15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F41" i="86" l="1"/>
  <c r="F40" i="86"/>
  <c r="F42" i="86" l="1"/>
  <c r="G40" i="86" s="1"/>
  <c r="L29" i="86"/>
  <c r="F32" i="86" l="1"/>
  <c r="L32" i="86"/>
  <c r="J32" i="86"/>
  <c r="H32" i="86"/>
  <c r="G42" i="86"/>
  <c r="G41" i="86"/>
  <c r="M25" i="85"/>
  <c r="E50" i="85" s="1"/>
  <c r="F49" i="85"/>
  <c r="F51" i="85" s="1"/>
  <c r="O854" i="79" s="1"/>
  <c r="P854" i="79" s="1"/>
  <c r="E49" i="85"/>
  <c r="E51" i="85" s="1"/>
  <c r="D854" i="79" s="1"/>
  <c r="E854" i="79" s="1"/>
  <c r="L31" i="86"/>
  <c r="J31" i="86"/>
  <c r="L33" i="86" l="1"/>
  <c r="L34" i="86" s="1"/>
  <c r="J33" i="86"/>
  <c r="J34" i="86" s="1"/>
  <c r="H33" i="86"/>
  <c r="F33" i="86"/>
  <c r="F31" i="86"/>
  <c r="H31" i="86"/>
  <c r="Q881" i="79"/>
  <c r="Q875" i="79"/>
  <c r="Q840" i="79"/>
  <c r="Q853" i="79"/>
  <c r="Q854" i="79"/>
  <c r="H34" i="86" l="1"/>
  <c r="F34" i="86"/>
  <c r="AB304" i="79"/>
  <c r="P881" i="79" l="1"/>
  <c r="P875" i="79"/>
  <c r="O881" i="79"/>
  <c r="O875" i="79"/>
  <c r="P853" i="79"/>
  <c r="O853" i="79"/>
  <c r="P840" i="79"/>
  <c r="O840" i="79"/>
  <c r="Q698" i="79"/>
  <c r="P698" i="79"/>
  <c r="O698" i="79"/>
  <c r="Q692" i="79"/>
  <c r="O692" i="79"/>
  <c r="Q673" i="79"/>
  <c r="O673" i="79"/>
  <c r="Q670" i="79"/>
  <c r="O670" i="79"/>
  <c r="Q663" i="79"/>
  <c r="O663" i="79"/>
  <c r="Q660" i="79"/>
  <c r="O660" i="79"/>
  <c r="Q657" i="79"/>
  <c r="O657" i="79"/>
  <c r="R488" i="79"/>
  <c r="O488" i="79"/>
  <c r="R475" i="79"/>
  <c r="O475" i="79"/>
  <c r="R472" i="79"/>
  <c r="O472" i="79"/>
  <c r="E472" i="79"/>
  <c r="F472" i="79" s="1"/>
  <c r="Q472" i="79" s="1"/>
  <c r="E488" i="79"/>
  <c r="F488" i="79" s="1"/>
  <c r="Q488" i="79" s="1"/>
  <c r="E475" i="79"/>
  <c r="P475" i="79" s="1"/>
  <c r="E692" i="79"/>
  <c r="P692" i="79" s="1"/>
  <c r="E657" i="79"/>
  <c r="P657" i="79" s="1"/>
  <c r="E673" i="79"/>
  <c r="P673" i="79" s="1"/>
  <c r="E670" i="79"/>
  <c r="P670" i="79" s="1"/>
  <c r="E663" i="79"/>
  <c r="P663" i="79" s="1"/>
  <c r="E660" i="79"/>
  <c r="P660" i="79" s="1"/>
  <c r="P472" i="79" l="1"/>
  <c r="P488" i="79"/>
  <c r="F475" i="79"/>
  <c r="Q475" i="79"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H53" i="44"/>
  <c r="H50" i="44"/>
  <c r="E53" i="44"/>
  <c r="E50" i="44"/>
  <c r="F53" i="44"/>
  <c r="F50" i="44"/>
  <c r="I53" i="44"/>
  <c r="I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J17" i="45" l="1"/>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9" i="79" l="1"/>
  <c r="AK567" i="79"/>
  <c r="AK566" i="79"/>
  <c r="AK568" i="79"/>
  <c r="AE205" i="79"/>
  <c r="J67" i="43" s="1"/>
  <c r="AE200" i="79"/>
  <c r="AK565" i="79"/>
  <c r="AK571" i="79"/>
  <c r="AE199" i="79"/>
  <c r="AK570"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AK572" i="79"/>
  <c r="P72" i="43" s="1"/>
  <c r="S56" i="47"/>
  <c r="R30" i="47"/>
  <c r="P39" i="47"/>
  <c r="R54" i="43"/>
  <c r="AM383" i="79"/>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217" i="47" l="1"/>
  <c r="V227" i="47"/>
  <c r="L165" i="47"/>
  <c r="J219" i="47"/>
  <c r="R213" i="47"/>
  <c r="N218" i="47"/>
  <c r="L199" i="47"/>
  <c r="T182" i="47"/>
  <c r="U236" i="47"/>
  <c r="K226" i="47"/>
  <c r="R175" i="47"/>
  <c r="P216" i="47"/>
  <c r="L230" i="47"/>
  <c r="V167" i="47"/>
  <c r="P225" i="47"/>
  <c r="L210" i="47"/>
  <c r="V175" i="47"/>
  <c r="K197" i="47"/>
  <c r="L226" i="47"/>
  <c r="L175" i="47"/>
  <c r="K184" i="47"/>
  <c r="V180" i="47"/>
  <c r="R215" i="47"/>
  <c r="U232" i="47"/>
  <c r="V170" i="47"/>
  <c r="R236" i="47"/>
  <c r="K215" i="47"/>
  <c r="M225" i="47"/>
  <c r="L167" i="47"/>
  <c r="V186" i="47"/>
  <c r="J165" i="47"/>
  <c r="O211" i="47"/>
  <c r="V202" i="47"/>
  <c r="U198" i="47"/>
  <c r="E42" i="43"/>
  <c r="J172" i="47"/>
  <c r="R191" i="47"/>
  <c r="N215" i="47"/>
  <c r="K232" i="47"/>
  <c r="U205" i="47"/>
  <c r="V210" i="47"/>
  <c r="V197" i="47"/>
  <c r="J229" i="47"/>
  <c r="M228" i="47"/>
  <c r="O195" i="47"/>
  <c r="S204" i="47"/>
  <c r="Q219" i="47"/>
  <c r="V218" i="47"/>
  <c r="V203" i="47"/>
  <c r="R211" i="47"/>
  <c r="J216" i="47"/>
  <c r="I211" i="47"/>
  <c r="I196" i="47"/>
  <c r="I199" i="47"/>
  <c r="I232" i="47"/>
  <c r="I215" i="47"/>
  <c r="I170" i="47"/>
  <c r="I172" i="47"/>
  <c r="I236" i="47"/>
  <c r="I167" i="47"/>
  <c r="I205" i="47"/>
  <c r="I218" i="47"/>
  <c r="O188" i="47"/>
  <c r="M188" i="47"/>
  <c r="N202" i="47"/>
  <c r="M199" i="47"/>
  <c r="N232" i="47"/>
  <c r="Q230" i="47"/>
  <c r="N206" i="47"/>
  <c r="U225" i="47"/>
  <c r="O229" i="47"/>
  <c r="Q215" i="47"/>
  <c r="P197" i="47"/>
  <c r="P226" i="47"/>
  <c r="P165" i="47"/>
  <c r="P188" i="47"/>
  <c r="P217" i="47"/>
  <c r="P195" i="47"/>
  <c r="P221" i="47"/>
  <c r="P203" i="47"/>
  <c r="P181" i="47"/>
  <c r="P183" i="47"/>
  <c r="P184" i="47"/>
  <c r="P233" i="47"/>
  <c r="P218" i="47"/>
  <c r="P168" i="47"/>
  <c r="P180" i="47"/>
  <c r="E36" i="43"/>
  <c r="P167" i="47"/>
  <c r="P175" i="47"/>
  <c r="P234" i="47"/>
  <c r="P204" i="47"/>
  <c r="P172" i="47"/>
  <c r="P229" i="47"/>
  <c r="P206" i="47"/>
  <c r="P214" i="47"/>
  <c r="P201" i="47"/>
  <c r="P173" i="47"/>
  <c r="P174" i="47"/>
  <c r="P190" i="47"/>
  <c r="P170" i="47"/>
  <c r="P189" i="47"/>
  <c r="P186" i="47"/>
  <c r="P191" i="47"/>
  <c r="P220" i="47"/>
  <c r="P232" i="47"/>
  <c r="P185" i="47"/>
  <c r="P171" i="47"/>
  <c r="M169" i="47"/>
  <c r="Q185" i="47"/>
  <c r="S201" i="47"/>
  <c r="S182" i="47"/>
  <c r="V219" i="47"/>
  <c r="K211" i="47"/>
  <c r="N220" i="47"/>
  <c r="Q229" i="47"/>
  <c r="U183" i="47"/>
  <c r="M204" i="47"/>
  <c r="R218" i="47"/>
  <c r="L204" i="47"/>
  <c r="U204" i="47"/>
  <c r="U189" i="47"/>
  <c r="U180" i="47"/>
  <c r="K205" i="47"/>
  <c r="N180" i="47"/>
  <c r="P169" i="47"/>
  <c r="U174" i="47"/>
  <c r="U181" i="47"/>
  <c r="O167" i="47"/>
  <c r="O196" i="47"/>
  <c r="O200" i="47"/>
  <c r="O182" i="47"/>
  <c r="O213" i="47"/>
  <c r="O227" i="47"/>
  <c r="I150" i="47"/>
  <c r="I201" i="47"/>
  <c r="I200" i="47"/>
  <c r="I203" i="47"/>
  <c r="I226" i="47"/>
  <c r="I216" i="47"/>
  <c r="V229" i="47"/>
  <c r="Q183" i="47"/>
  <c r="R182" i="47"/>
  <c r="U165" i="47"/>
  <c r="P212" i="47"/>
  <c r="L229" i="47"/>
  <c r="Q174" i="47"/>
  <c r="Q199" i="47"/>
  <c r="R233" i="47"/>
  <c r="N189" i="47"/>
  <c r="S200" i="47"/>
  <c r="L218" i="47"/>
  <c r="M182" i="47"/>
  <c r="T198" i="47"/>
  <c r="P211" i="47"/>
  <c r="S168" i="47"/>
  <c r="N227" i="47"/>
  <c r="J191" i="47"/>
  <c r="J218" i="47"/>
  <c r="Q169" i="47"/>
  <c r="E37" i="43"/>
  <c r="N190" i="47"/>
  <c r="O185" i="47"/>
  <c r="N185" i="47"/>
  <c r="K225" i="47"/>
  <c r="K186" i="47"/>
  <c r="K233" i="47"/>
  <c r="K230" i="47"/>
  <c r="K191" i="47"/>
  <c r="K221" i="47"/>
  <c r="K236" i="47"/>
  <c r="K181" i="47"/>
  <c r="K213" i="47"/>
  <c r="K200" i="47"/>
  <c r="K174" i="47"/>
  <c r="K173" i="47"/>
  <c r="K212" i="47"/>
  <c r="K169" i="47"/>
  <c r="K203" i="47"/>
  <c r="K175" i="47"/>
  <c r="K198" i="47"/>
  <c r="K219" i="47"/>
  <c r="K183" i="47"/>
  <c r="K170" i="47"/>
  <c r="K227" i="47"/>
  <c r="K201" i="47"/>
  <c r="K182" i="47"/>
  <c r="K229" i="47"/>
  <c r="K190" i="47"/>
  <c r="K187" i="47"/>
  <c r="K234" i="47"/>
  <c r="K195" i="47"/>
  <c r="K165" i="47"/>
  <c r="K216" i="47"/>
  <c r="K199" i="47"/>
  <c r="K171" i="47"/>
  <c r="K231" i="47"/>
  <c r="P210" i="47"/>
  <c r="E31" i="43"/>
  <c r="O205" i="47"/>
  <c r="Q190" i="47"/>
  <c r="T210" i="47"/>
  <c r="R229" i="47"/>
  <c r="M173" i="47"/>
  <c r="L234" i="47"/>
  <c r="Q204" i="47"/>
  <c r="Q189" i="47"/>
  <c r="S232" i="47"/>
  <c r="K188" i="47"/>
  <c r="N197" i="47"/>
  <c r="R234" i="47"/>
  <c r="T196" i="47"/>
  <c r="M191" i="47"/>
  <c r="U231" i="47"/>
  <c r="L205" i="47"/>
  <c r="T203" i="47"/>
  <c r="T213" i="47"/>
  <c r="T202" i="47"/>
  <c r="K167" i="47"/>
  <c r="N171" i="47"/>
  <c r="V189" i="47"/>
  <c r="E41" i="43"/>
  <c r="O176" i="47"/>
  <c r="O166" i="47"/>
  <c r="O199" i="47"/>
  <c r="O198" i="47"/>
  <c r="O190" i="47"/>
  <c r="O217" i="47"/>
  <c r="O231" i="47"/>
  <c r="I175" i="47"/>
  <c r="I166" i="47"/>
  <c r="I204" i="47"/>
  <c r="I180" i="47"/>
  <c r="I230" i="47"/>
  <c r="I220" i="47"/>
  <c r="S226" i="47"/>
  <c r="R212" i="47"/>
  <c r="K210" i="47"/>
  <c r="T174" i="47"/>
  <c r="L172" i="47"/>
  <c r="T185" i="47"/>
  <c r="M230" i="47"/>
  <c r="S214" i="47"/>
  <c r="R186" i="47"/>
  <c r="S205" i="47"/>
  <c r="L228" i="47"/>
  <c r="K185" i="47"/>
  <c r="M167" i="47"/>
  <c r="Q187" i="47"/>
  <c r="S212" i="47"/>
  <c r="R205" i="47"/>
  <c r="N187" i="47"/>
  <c r="J205" i="47"/>
  <c r="T232" i="47"/>
  <c r="N230" i="47"/>
  <c r="S216" i="47"/>
  <c r="O170" i="47"/>
  <c r="O230" i="47"/>
  <c r="S170" i="47"/>
  <c r="M203" i="47"/>
  <c r="H20" i="43"/>
  <c r="T220" i="47"/>
  <c r="R165" i="47"/>
  <c r="R188" i="47"/>
  <c r="T172" i="47"/>
  <c r="O189" i="47"/>
  <c r="O234" i="47"/>
  <c r="M170" i="47"/>
  <c r="S236" i="47"/>
  <c r="Q176" i="47"/>
  <c r="P199" i="47"/>
  <c r="K196" i="47"/>
  <c r="R57" i="43"/>
  <c r="J225" i="47"/>
  <c r="J211" i="47"/>
  <c r="J214" i="47"/>
  <c r="J206" i="47"/>
  <c r="J199" i="47"/>
  <c r="J187" i="47"/>
  <c r="J183" i="47"/>
  <c r="J167" i="47"/>
  <c r="J236" i="47"/>
  <c r="J210" i="47"/>
  <c r="J235" i="47"/>
  <c r="J202" i="47"/>
  <c r="J196" i="47"/>
  <c r="J197" i="47"/>
  <c r="J171" i="47"/>
  <c r="J175" i="47"/>
  <c r="J232" i="47"/>
  <c r="J234" i="47"/>
  <c r="J231" i="47"/>
  <c r="J198" i="47"/>
  <c r="J189" i="47"/>
  <c r="J190" i="47"/>
  <c r="J176" i="47"/>
  <c r="J168" i="47"/>
  <c r="J228" i="47"/>
  <c r="J230" i="47"/>
  <c r="J227" i="47"/>
  <c r="J195" i="47"/>
  <c r="J185" i="47"/>
  <c r="J186" i="47"/>
  <c r="J166" i="47"/>
  <c r="J170" i="47"/>
  <c r="J221" i="47"/>
  <c r="J226" i="47"/>
  <c r="J220" i="47"/>
  <c r="J188" i="47"/>
  <c r="J181" i="47"/>
  <c r="J182" i="47"/>
  <c r="J174" i="47"/>
  <c r="J173" i="47"/>
  <c r="J213" i="47"/>
  <c r="J215" i="47"/>
  <c r="J212" i="47"/>
  <c r="J180" i="47"/>
  <c r="J204" i="47"/>
  <c r="J201" i="47"/>
  <c r="J169" i="47"/>
  <c r="U47" i="47"/>
  <c r="U210" i="47"/>
  <c r="U169" i="47"/>
  <c r="U175" i="47"/>
  <c r="U197" i="47"/>
  <c r="U219" i="47"/>
  <c r="U235" i="47"/>
  <c r="U213" i="47"/>
  <c r="U184" i="47"/>
  <c r="U233" i="47"/>
  <c r="U200" i="47"/>
  <c r="U166" i="47"/>
  <c r="U216" i="47"/>
  <c r="U195" i="47"/>
  <c r="U227" i="47"/>
  <c r="U206" i="47"/>
  <c r="U212" i="47"/>
  <c r="U228" i="47"/>
  <c r="U202" i="47"/>
  <c r="U203" i="47"/>
  <c r="U170" i="47"/>
  <c r="U176" i="47"/>
  <c r="U196" i="47"/>
  <c r="U229" i="47"/>
  <c r="U214" i="47"/>
  <c r="U167" i="47"/>
  <c r="U199" i="47"/>
  <c r="U217" i="47"/>
  <c r="M218" i="47"/>
  <c r="V168" i="47"/>
  <c r="L213" i="47"/>
  <c r="R200" i="47"/>
  <c r="R185" i="47"/>
  <c r="R169" i="47"/>
  <c r="K189" i="47"/>
  <c r="N183" i="47"/>
  <c r="U230" i="47"/>
  <c r="P228" i="47"/>
  <c r="M195" i="47"/>
  <c r="T230" i="47"/>
  <c r="L206" i="47"/>
  <c r="P215" i="47"/>
  <c r="P230" i="47"/>
  <c r="P196" i="47"/>
  <c r="K176" i="47"/>
  <c r="N175" i="47"/>
  <c r="V232" i="47"/>
  <c r="U171" i="47"/>
  <c r="U185" i="47"/>
  <c r="O168" i="47"/>
  <c r="O172" i="47"/>
  <c r="O203" i="47"/>
  <c r="O206" i="47"/>
  <c r="O197" i="47"/>
  <c r="O221" i="47"/>
  <c r="O235" i="47"/>
  <c r="I173" i="47"/>
  <c r="I182" i="47"/>
  <c r="E29" i="43"/>
  <c r="I198" i="47"/>
  <c r="V182" i="47"/>
  <c r="Q228" i="47"/>
  <c r="K180" i="47"/>
  <c r="R199" i="47"/>
  <c r="U234" i="47"/>
  <c r="K217" i="47"/>
  <c r="M213" i="47"/>
  <c r="R228" i="47"/>
  <c r="S231" i="47"/>
  <c r="N210" i="47"/>
  <c r="U187" i="47"/>
  <c r="U226" i="47"/>
  <c r="S174" i="47"/>
  <c r="J200" i="47"/>
  <c r="J233" i="47"/>
  <c r="T75" i="47"/>
  <c r="T234" i="47"/>
  <c r="T221" i="47"/>
  <c r="T204" i="47"/>
  <c r="T200" i="47"/>
  <c r="T166" i="47"/>
  <c r="T216" i="47"/>
  <c r="T201" i="47"/>
  <c r="T180" i="47"/>
  <c r="T205" i="47"/>
  <c r="T225" i="47"/>
  <c r="T206" i="47"/>
  <c r="T229" i="47"/>
  <c r="T199" i="47"/>
  <c r="T183" i="47"/>
  <c r="T231" i="47"/>
  <c r="T187" i="47"/>
  <c r="T195" i="47"/>
  <c r="T227" i="47"/>
  <c r="T236" i="47"/>
  <c r="T184" i="47"/>
  <c r="T191" i="47"/>
  <c r="T167" i="47"/>
  <c r="T173" i="47"/>
  <c r="T217" i="47"/>
  <c r="T233" i="47"/>
  <c r="T176" i="47"/>
  <c r="T168" i="47"/>
  <c r="T235" i="47"/>
  <c r="T188" i="47"/>
  <c r="T226" i="47"/>
  <c r="T219" i="47"/>
  <c r="T189" i="47"/>
  <c r="T186" i="47"/>
  <c r="T214" i="47"/>
  <c r="T190" i="47"/>
  <c r="T169" i="47"/>
  <c r="T175" i="47"/>
  <c r="Q226" i="47"/>
  <c r="Q214" i="47"/>
  <c r="Q197" i="47"/>
  <c r="Q191" i="47"/>
  <c r="Q220" i="47"/>
  <c r="Q201" i="47"/>
  <c r="Q225" i="47"/>
  <c r="Q200" i="47"/>
  <c r="Q167" i="47"/>
  <c r="Q184" i="47"/>
  <c r="Q210" i="47"/>
  <c r="Q172" i="47"/>
  <c r="Q171" i="47"/>
  <c r="Q202" i="47"/>
  <c r="Q181" i="47"/>
  <c r="Q196" i="47"/>
  <c r="Q218" i="47"/>
  <c r="Q234" i="47"/>
  <c r="Q206" i="47"/>
  <c r="Q198" i="47"/>
  <c r="Q213" i="47"/>
  <c r="Q233" i="47"/>
  <c r="Q165" i="47"/>
  <c r="Q168" i="47"/>
  <c r="Q186" i="47"/>
  <c r="Q175" i="47"/>
  <c r="Q231" i="47"/>
  <c r="Q195" i="47"/>
  <c r="Q232" i="47"/>
  <c r="Q217" i="47"/>
  <c r="Q166" i="47"/>
  <c r="Q180" i="47"/>
  <c r="M201" i="47"/>
  <c r="T215" i="47"/>
  <c r="M235" i="47"/>
  <c r="Q170" i="47"/>
  <c r="O225" i="47"/>
  <c r="S215" i="47"/>
  <c r="E38" i="43"/>
  <c r="P236" i="47"/>
  <c r="O175" i="47"/>
  <c r="O220" i="47"/>
  <c r="S230" i="47"/>
  <c r="I235" i="47"/>
  <c r="I228" i="47"/>
  <c r="I214" i="47"/>
  <c r="I191" i="47"/>
  <c r="I184" i="47"/>
  <c r="I168" i="47"/>
  <c r="I190" i="47"/>
  <c r="I176" i="47"/>
  <c r="I231" i="47"/>
  <c r="I221" i="47"/>
  <c r="I210" i="47"/>
  <c r="I187" i="47"/>
  <c r="I195" i="47"/>
  <c r="I227" i="47"/>
  <c r="I217" i="47"/>
  <c r="I234" i="47"/>
  <c r="I212" i="47"/>
  <c r="I229" i="47"/>
  <c r="I219" i="47"/>
  <c r="I188" i="47"/>
  <c r="V172" i="47"/>
  <c r="V181" i="47"/>
  <c r="V198" i="47"/>
  <c r="V230" i="47"/>
  <c r="V205" i="47"/>
  <c r="V217" i="47"/>
  <c r="V233" i="47"/>
  <c r="V226" i="47"/>
  <c r="V213" i="47"/>
  <c r="V169" i="47"/>
  <c r="V166" i="47"/>
  <c r="V220" i="47"/>
  <c r="V212" i="47"/>
  <c r="V176" i="47"/>
  <c r="V173" i="47"/>
  <c r="V184" i="47"/>
  <c r="V191" i="47"/>
  <c r="V185" i="47"/>
  <c r="V236" i="47"/>
  <c r="V235" i="47"/>
  <c r="V214" i="47"/>
  <c r="V211" i="47"/>
  <c r="V195" i="47"/>
  <c r="V216" i="47"/>
  <c r="V188" i="47"/>
  <c r="V206" i="47"/>
  <c r="V165" i="47"/>
  <c r="V199" i="47"/>
  <c r="V174" i="47"/>
  <c r="M166" i="47"/>
  <c r="M189" i="47"/>
  <c r="M202" i="47"/>
  <c r="M217" i="47"/>
  <c r="M165" i="47"/>
  <c r="M212" i="47"/>
  <c r="M190" i="47"/>
  <c r="M174" i="47"/>
  <c r="M227" i="47"/>
  <c r="M187" i="47"/>
  <c r="E33" i="43"/>
  <c r="M219" i="47"/>
  <c r="M196" i="47"/>
  <c r="M180" i="47"/>
  <c r="M234" i="47"/>
  <c r="M200" i="47"/>
  <c r="M205" i="47"/>
  <c r="M229" i="47"/>
  <c r="M216" i="47"/>
  <c r="M206" i="47"/>
  <c r="M221" i="47"/>
  <c r="M185" i="47"/>
  <c r="M171" i="47"/>
  <c r="M226" i="47"/>
  <c r="M197" i="47"/>
  <c r="M215" i="47"/>
  <c r="M198" i="47"/>
  <c r="M176" i="47"/>
  <c r="M220" i="47"/>
  <c r="M183" i="47"/>
  <c r="L81" i="47"/>
  <c r="L189" i="47"/>
  <c r="L168" i="47"/>
  <c r="L225" i="47"/>
  <c r="L197" i="47"/>
  <c r="L170" i="47"/>
  <c r="L221" i="47"/>
  <c r="L174" i="47"/>
  <c r="L166" i="47"/>
  <c r="L203" i="47"/>
  <c r="L202" i="47"/>
  <c r="L187" i="47"/>
  <c r="L220" i="47"/>
  <c r="L184" i="47"/>
  <c r="L169" i="47"/>
  <c r="L236" i="47"/>
  <c r="L201" i="47"/>
  <c r="L188" i="47"/>
  <c r="L214" i="47"/>
  <c r="L186" i="47"/>
  <c r="L195" i="47"/>
  <c r="L235" i="47"/>
  <c r="L200" i="47"/>
  <c r="L185" i="47"/>
  <c r="L176" i="47"/>
  <c r="L196" i="47"/>
  <c r="L190" i="47"/>
  <c r="L219" i="47"/>
  <c r="L212" i="47"/>
  <c r="L191" i="47"/>
  <c r="L227" i="47"/>
  <c r="L232" i="47"/>
  <c r="L198" i="47"/>
  <c r="L216" i="47"/>
  <c r="M211" i="47"/>
  <c r="S199" i="47"/>
  <c r="L181" i="47"/>
  <c r="U191" i="47"/>
  <c r="U190" i="47"/>
  <c r="U168" i="47"/>
  <c r="K202" i="47"/>
  <c r="N184" i="47"/>
  <c r="T218" i="47"/>
  <c r="Q216" i="47"/>
  <c r="M168" i="47"/>
  <c r="P213" i="47"/>
  <c r="L173" i="47"/>
  <c r="Q182" i="47"/>
  <c r="V196" i="47"/>
  <c r="K228" i="47"/>
  <c r="N226" i="47"/>
  <c r="V228" i="47"/>
  <c r="Q173" i="47"/>
  <c r="U215" i="47"/>
  <c r="U173" i="47"/>
  <c r="O174" i="47"/>
  <c r="O171" i="47"/>
  <c r="O204" i="47"/>
  <c r="O187" i="47"/>
  <c r="O210" i="47"/>
  <c r="O228" i="47"/>
  <c r="I171" i="47"/>
  <c r="I186" i="47"/>
  <c r="I181" i="47"/>
  <c r="I202" i="47"/>
  <c r="I225" i="47"/>
  <c r="P235" i="47"/>
  <c r="L233" i="47"/>
  <c r="V190" i="47"/>
  <c r="K204" i="47"/>
  <c r="T212" i="47"/>
  <c r="M186" i="47"/>
  <c r="V204" i="47"/>
  <c r="K166" i="47"/>
  <c r="V234" i="47"/>
  <c r="S196" i="47"/>
  <c r="P200" i="47"/>
  <c r="Q227" i="47"/>
  <c r="N201" i="47"/>
  <c r="P198" i="47"/>
  <c r="P227" i="47"/>
  <c r="M236" i="47"/>
  <c r="U220" i="47"/>
  <c r="E30" i="43"/>
  <c r="J217" i="47"/>
  <c r="S195" i="47"/>
  <c r="S190" i="47"/>
  <c r="S176" i="47"/>
  <c r="S206" i="47"/>
  <c r="S219" i="47"/>
  <c r="S189" i="47"/>
  <c r="S234" i="47"/>
  <c r="S217" i="47"/>
  <c r="S183" i="47"/>
  <c r="S233" i="47"/>
  <c r="S175" i="47"/>
  <c r="S211" i="47"/>
  <c r="S191" i="47"/>
  <c r="S180" i="47"/>
  <c r="S172" i="47"/>
  <c r="S173" i="47"/>
  <c r="S227" i="47"/>
  <c r="S221" i="47"/>
  <c r="S197" i="47"/>
  <c r="S186" i="47"/>
  <c r="S235" i="47"/>
  <c r="S220" i="47"/>
  <c r="S181" i="47"/>
  <c r="S229" i="47"/>
  <c r="S171" i="47"/>
  <c r="S169" i="47"/>
  <c r="S218" i="47"/>
  <c r="S198" i="47"/>
  <c r="S188" i="47"/>
  <c r="S228" i="47"/>
  <c r="S213" i="47"/>
  <c r="E39" i="43"/>
  <c r="S210" i="47"/>
  <c r="S187" i="47"/>
  <c r="S166" i="47"/>
  <c r="S184" i="47"/>
  <c r="S203" i="47"/>
  <c r="Q188" i="47"/>
  <c r="T228" i="47"/>
  <c r="O212" i="47"/>
  <c r="T165" i="47"/>
  <c r="E40" i="43"/>
  <c r="K218" i="47"/>
  <c r="R68" i="47"/>
  <c r="R174" i="47"/>
  <c r="R230" i="47"/>
  <c r="R197" i="47"/>
  <c r="R220" i="47"/>
  <c r="R168" i="47"/>
  <c r="R171" i="47"/>
  <c r="R216" i="47"/>
  <c r="R187" i="47"/>
  <c r="R214" i="47"/>
  <c r="R189" i="47"/>
  <c r="R226" i="47"/>
  <c r="R225" i="47"/>
  <c r="R201" i="47"/>
  <c r="R198" i="47"/>
  <c r="R176" i="47"/>
  <c r="R180" i="47"/>
  <c r="R210" i="47"/>
  <c r="R217" i="47"/>
  <c r="R219" i="47"/>
  <c r="R173" i="47"/>
  <c r="R232" i="47"/>
  <c r="R203" i="47"/>
  <c r="R231" i="47"/>
  <c r="R184" i="47"/>
  <c r="R183" i="47"/>
  <c r="R202" i="47"/>
  <c r="R235" i="47"/>
  <c r="R196" i="47"/>
  <c r="R167" i="47"/>
  <c r="R204" i="47"/>
  <c r="R170" i="47"/>
  <c r="O98" i="47"/>
  <c r="O226" i="47"/>
  <c r="O216" i="47"/>
  <c r="O233" i="47"/>
  <c r="O186" i="47"/>
  <c r="O202" i="47"/>
  <c r="E35" i="43"/>
  <c r="M232" i="47"/>
  <c r="R206" i="47"/>
  <c r="L180" i="47"/>
  <c r="T197" i="47"/>
  <c r="T181" i="47"/>
  <c r="T170" i="47"/>
  <c r="K172" i="47"/>
  <c r="N176" i="47"/>
  <c r="P231" i="47"/>
  <c r="V231" i="47"/>
  <c r="M175" i="47"/>
  <c r="Q235" i="47"/>
  <c r="V187" i="47"/>
  <c r="V201" i="47"/>
  <c r="V171" i="47"/>
  <c r="K214" i="47"/>
  <c r="N228" i="47"/>
  <c r="S225" i="47"/>
  <c r="R190" i="47"/>
  <c r="U201" i="47"/>
  <c r="U211" i="47"/>
  <c r="O173" i="47"/>
  <c r="O169" i="47"/>
  <c r="O180" i="47"/>
  <c r="O191" i="47"/>
  <c r="O214" i="47"/>
  <c r="O232" i="47"/>
  <c r="O215" i="47"/>
  <c r="I169" i="47"/>
  <c r="I197" i="47"/>
  <c r="I185" i="47"/>
  <c r="I206" i="47"/>
  <c r="I233" i="47"/>
  <c r="M210" i="47"/>
  <c r="L211" i="47"/>
  <c r="Q211" i="47"/>
  <c r="N221" i="47"/>
  <c r="P182" i="47"/>
  <c r="M184" i="47"/>
  <c r="T211" i="47"/>
  <c r="R166" i="47"/>
  <c r="R195" i="47"/>
  <c r="R181" i="47"/>
  <c r="V215" i="47"/>
  <c r="Q205" i="47"/>
  <c r="L182" i="47"/>
  <c r="K206" i="47"/>
  <c r="V183" i="47"/>
  <c r="V221" i="47"/>
  <c r="U188" i="47"/>
  <c r="J203" i="47"/>
  <c r="P176" i="47"/>
  <c r="O201" i="47"/>
  <c r="Q221" i="47"/>
  <c r="N236" i="47"/>
  <c r="N195" i="47"/>
  <c r="N231" i="47"/>
  <c r="N212" i="47"/>
  <c r="N203" i="47"/>
  <c r="N219" i="47"/>
  <c r="N234" i="47"/>
  <c r="N191" i="47"/>
  <c r="N213" i="47"/>
  <c r="N198" i="47"/>
  <c r="N165" i="47"/>
  <c r="N170" i="47"/>
  <c r="N204" i="47"/>
  <c r="N169" i="47"/>
  <c r="N182" i="47"/>
  <c r="N173" i="47"/>
  <c r="N168" i="47"/>
  <c r="N211" i="47"/>
  <c r="N196" i="47"/>
  <c r="N174" i="47"/>
  <c r="N225" i="47"/>
  <c r="E34" i="43"/>
  <c r="N188" i="47"/>
  <c r="N216" i="47"/>
  <c r="N181" i="47"/>
  <c r="N199" i="47"/>
  <c r="N217" i="47"/>
  <c r="N200" i="47"/>
  <c r="N172" i="47"/>
  <c r="N214" i="47"/>
  <c r="N205" i="47"/>
  <c r="N229" i="47"/>
  <c r="M181" i="47"/>
  <c r="U221" i="47"/>
  <c r="L183" i="47"/>
  <c r="P202" i="47"/>
  <c r="P187" i="47"/>
  <c r="P166" i="47"/>
  <c r="K168" i="47"/>
  <c r="N167" i="47"/>
  <c r="V225" i="47"/>
  <c r="M214" i="47"/>
  <c r="V200" i="47"/>
  <c r="L215" i="47"/>
  <c r="S202" i="47"/>
  <c r="S185" i="47"/>
  <c r="S165" i="47"/>
  <c r="K235" i="47"/>
  <c r="N233" i="47"/>
  <c r="Q212" i="47"/>
  <c r="U186" i="47"/>
  <c r="U218" i="47"/>
  <c r="U172" i="47"/>
  <c r="O165" i="47"/>
  <c r="O181" i="47"/>
  <c r="O184" i="47"/>
  <c r="O183" i="47"/>
  <c r="O218" i="47"/>
  <c r="O236" i="47"/>
  <c r="O219" i="47"/>
  <c r="I174" i="47"/>
  <c r="I165" i="47"/>
  <c r="I189" i="47"/>
  <c r="I183" i="47"/>
  <c r="I213" i="47"/>
  <c r="M231" i="47"/>
  <c r="E32" i="43"/>
  <c r="R227" i="47"/>
  <c r="N186" i="47"/>
  <c r="P219" i="47"/>
  <c r="M172" i="47"/>
  <c r="T171" i="47"/>
  <c r="N166" i="47"/>
  <c r="L231" i="47"/>
  <c r="K220" i="47"/>
  <c r="R221" i="47"/>
  <c r="M233" i="47"/>
  <c r="R172" i="47"/>
  <c r="U182" i="47"/>
  <c r="L171" i="47"/>
  <c r="N235" i="47"/>
  <c r="Q203" i="47"/>
  <c r="Q236" i="47"/>
  <c r="P205" i="47"/>
  <c r="J184" i="47"/>
  <c r="S16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4" i="47" l="1"/>
  <c r="W236" i="47"/>
  <c r="W232" i="47"/>
  <c r="W184" i="47"/>
  <c r="H19" i="43"/>
  <c r="W180" i="47"/>
  <c r="W183" i="47"/>
  <c r="W197" i="47"/>
  <c r="W187" i="47"/>
  <c r="W189" i="47"/>
  <c r="W173" i="47"/>
  <c r="W169" i="47"/>
  <c r="W219" i="47"/>
  <c r="W210" i="47"/>
  <c r="W214" i="47"/>
  <c r="W204" i="47"/>
  <c r="W201" i="47"/>
  <c r="W172" i="47"/>
  <c r="W188" i="47"/>
  <c r="W200" i="47"/>
  <c r="W165" i="47"/>
  <c r="W229" i="47"/>
  <c r="W166" i="47"/>
  <c r="W170" i="47"/>
  <c r="W225" i="47"/>
  <c r="W228" i="47"/>
  <c r="W212" i="47"/>
  <c r="W231" i="47"/>
  <c r="W235" i="47"/>
  <c r="W175" i="47"/>
  <c r="W215" i="47"/>
  <c r="W202" i="47"/>
  <c r="W234" i="47"/>
  <c r="W176" i="47"/>
  <c r="W195" i="47"/>
  <c r="W213" i="47"/>
  <c r="W191" i="47"/>
  <c r="W233" i="47"/>
  <c r="W181" i="47"/>
  <c r="W190" i="47"/>
  <c r="W198" i="47"/>
  <c r="W216" i="47"/>
  <c r="W218" i="47"/>
  <c r="W199" i="47"/>
  <c r="W206" i="47"/>
  <c r="W186" i="47"/>
  <c r="W227" i="47"/>
  <c r="W168" i="47"/>
  <c r="W217" i="47"/>
  <c r="E43" i="43"/>
  <c r="W220" i="47"/>
  <c r="W226" i="47"/>
  <c r="W205" i="47"/>
  <c r="W196" i="47"/>
  <c r="W185" i="47"/>
  <c r="W171" i="47"/>
  <c r="W182" i="47"/>
  <c r="W230" i="47"/>
  <c r="W221" i="47"/>
  <c r="W203" i="47"/>
  <c r="W167"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S164" i="47" l="1"/>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P85"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8" i="43" l="1"/>
  <c r="G38" i="43" s="1"/>
  <c r="F37" i="43"/>
  <c r="G37" i="43" s="1"/>
  <c r="F41" i="43"/>
  <c r="G41" i="43" s="1"/>
  <c r="F36" i="43"/>
  <c r="G36" i="43" s="1"/>
  <c r="F40" i="43"/>
  <c r="G40" i="43" s="1"/>
  <c r="J164" i="47"/>
  <c r="J177" i="47" s="1"/>
  <c r="J179" i="47" s="1"/>
  <c r="J192" i="47" s="1"/>
  <c r="J194" i="47" s="1"/>
  <c r="J207" i="47" s="1"/>
  <c r="J209" i="47" s="1"/>
  <c r="J222" i="47" s="1"/>
  <c r="J224" i="47" s="1"/>
  <c r="J237" i="47" s="1"/>
  <c r="E84" i="43" s="1"/>
  <c r="E85" i="43" s="1"/>
  <c r="Q85" i="43"/>
  <c r="M164" i="47"/>
  <c r="M177" i="47" s="1"/>
  <c r="M179" i="47" s="1"/>
  <c r="M192" i="47" s="1"/>
  <c r="M194" i="47" s="1"/>
  <c r="M207" i="47" s="1"/>
  <c r="M209" i="47" s="1"/>
  <c r="M222" i="47" s="1"/>
  <c r="M224" i="47" s="1"/>
  <c r="M237" i="47" s="1"/>
  <c r="H84" i="43" s="1"/>
  <c r="F33" i="43" s="1"/>
  <c r="G33" i="43" s="1"/>
  <c r="O164" i="47"/>
  <c r="O177" i="47" s="1"/>
  <c r="O179" i="47" s="1"/>
  <c r="O192" i="47" s="1"/>
  <c r="O194" i="47" s="1"/>
  <c r="O207" i="47" s="1"/>
  <c r="O209" i="47" s="1"/>
  <c r="O222" i="47" s="1"/>
  <c r="O224" i="47" s="1"/>
  <c r="O237" i="47" s="1"/>
  <c r="J84" i="43" s="1"/>
  <c r="J85" i="43" s="1"/>
  <c r="F39" i="43"/>
  <c r="G39"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l="1"/>
  <c r="F34" i="43"/>
  <c r="G34" i="43" s="1"/>
  <c r="F35" i="43"/>
  <c r="G35" i="43" s="1"/>
  <c r="F30" i="43"/>
  <c r="G30" i="43" s="1"/>
  <c r="H85" i="43"/>
  <c r="L164" i="47"/>
  <c r="L177" i="47" s="1"/>
  <c r="L179" i="47" s="1"/>
  <c r="L192" i="47" s="1"/>
  <c r="L194" i="47" s="1"/>
  <c r="L207" i="47" s="1"/>
  <c r="L209" i="47" s="1"/>
  <c r="L222" i="47" s="1"/>
  <c r="L224" i="47" s="1"/>
  <c r="L237" i="47" s="1"/>
  <c r="G84" i="43" s="1"/>
  <c r="F32" i="43" s="1"/>
  <c r="G32"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Beharriell, Greg</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 ref="H150" authorId="1" shapeId="0" xr:uid="{EC06628E-885C-4145-9DD9-83BE9BE4BBF0}">
      <text>
        <r>
          <rPr>
            <b/>
            <sz val="9"/>
            <color indexed="81"/>
            <rFont val="Tahoma"/>
            <family val="2"/>
          </rPr>
          <t>Beharriell, Greg:</t>
        </r>
        <r>
          <rPr>
            <sz val="9"/>
            <color indexed="81"/>
            <rFont val="Tahoma"/>
            <family val="2"/>
          </rPr>
          <t xml:space="preserve">
2020 Interest Calculations Included in IRM Rate Generator Model</t>
        </r>
      </text>
    </comment>
  </commentList>
</comments>
</file>

<file path=xl/sharedStrings.xml><?xml version="1.0" encoding="utf-8"?>
<sst xmlns="http://schemas.openxmlformats.org/spreadsheetml/2006/main" count="3176" uniqueCount="792">
  <si>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</si>
  <si>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</si>
  <si>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</si>
  <si>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</si>
  <si>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</si>
  <si>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</si>
  <si>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</si>
  <si>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</si>
  <si>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</si>
  <si>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</si>
  <si>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</si>
  <si>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</si>
  <si>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</si>
  <si>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</si>
  <si>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</si>
  <si>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</si>
  <si>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</si>
  <si>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</si>
  <si>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</si>
  <si>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</si>
  <si>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</si>
  <si>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</si>
  <si>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</si>
  <si>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</si>
  <si>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</si>
  <si>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</si>
  <si>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</si>
  <si>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</si>
  <si>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</si>
  <si>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</si>
  <si>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</si>
  <si>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</si>
  <si>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</si>
  <si>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</si>
  <si>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</si>
  <si>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</si>
  <si>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</si>
  <si>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</si>
  <si>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</si>
  <si>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</si>
  <si>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</si>
  <si>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</si>
  <si>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</si>
  <si>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</si>
  <si>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</si>
  <si>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</si>
  <si>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</si>
  <si>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</si>
  <si>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</si>
  <si>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</si>
  <si>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</si>
  <si>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</si>
  <si>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</si>
  <si>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</si>
  <si>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</si>
  <si>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</si>
  <si>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</si>
  <si>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</si>
  <si>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</si>
  <si>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</si>
  <si>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</si>
  <si>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</si>
  <si>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</si>
  <si>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</si>
  <si>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</si>
  <si>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</si>
  <si>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</si>
  <si>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</si>
  <si>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</si>
  <si>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</si>
  <si>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</si>
  <si>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</si>
  <si>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</si>
  <si>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</si>
  <si>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</si>
  <si>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</si>
  <si>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</si>
  <si>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</si>
  <si>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</si>
  <si>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</si>
  <si>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</si>
  <si>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</si>
  <si>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</si>
  <si>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</si>
  <si>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</si>
  <si>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</si>
  <si>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</si>
  <si>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</si>
  <si>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</si>
  <si>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</si>
  <si>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</si>
  <si>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</si>
  <si>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</si>
  <si>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</si>
  <si>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</si>
  <si>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</si>
  <si>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</si>
  <si>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</si>
  <si>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</si>
  <si>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</si>
  <si>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</si>
  <si>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</si>
  <si>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</si>
  <si>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</si>
  <si>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</si>
  <si>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</si>
  <si>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</si>
  <si>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</si>
  <si>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</si>
  <si>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</si>
  <si>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</si>
  <si>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</si>
  <si>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</si>
  <si>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</si>
  <si>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</si>
  <si>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</si>
  <si>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</si>
  <si>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</si>
  <si>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</si>
  <si>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</si>
  <si>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</si>
  <si>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</si>
  <si>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</si>
  <si>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</si>
  <si>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</si>
  <si>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</si>
  <si>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</si>
  <si>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</si>
  <si>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</si>
  <si>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</si>
  <si>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</si>
  <si>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</si>
  <si>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</si>
  <si>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</si>
  <si>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</si>
  <si>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</si>
  <si>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</si>
  <si>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</si>
  <si>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</si>
  <si>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</si>
  <si>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</si>
  <si>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</si>
  <si>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</si>
  <si>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</si>
  <si>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</si>
  <si>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</si>
  <si>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</si>
  <si>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</si>
  <si>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</si>
  <si>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</si>
  <si>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</si>
  <si>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</si>
  <si>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</si>
  <si>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</si>
  <si>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</si>
  <si>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</si>
  <si>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</si>
  <si>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</si>
  <si>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</si>
  <si>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</si>
  <si>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</si>
  <si>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</si>
  <si>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</si>
  <si>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</si>
  <si>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</si>
  <si>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</si>
  <si>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</si>
  <si>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</si>
  <si>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</si>
  <si>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</si>
  <si>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</si>
  <si>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</si>
  <si>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</si>
  <si>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</si>
  <si>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</si>
  <si>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</si>
  <si>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</si>
  <si>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</si>
  <si>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</si>
  <si>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</si>
  <si>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</si>
  <si>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</si>
  <si>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</si>
  <si>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</si>
  <si>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</si>
  <si>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</si>
  <si>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</si>
  <si>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</si>
  <si>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</si>
  <si>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</si>
  <si>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</si>
  <si>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</si>
  <si>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</si>
  <si>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</si>
  <si>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</si>
  <si>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</si>
  <si>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</si>
  <si>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</si>
  <si>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</si>
  <si>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</si>
  <si>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</si>
  <si>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</si>
  <si>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</si>
  <si>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</si>
  <si>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</si>
  <si>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</si>
  <si>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</si>
  <si>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</si>
  <si>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</si>
  <si>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</si>
  <si>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</si>
  <si>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</si>
  <si>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</si>
  <si>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</si>
  <si>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</si>
  <si>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</si>
  <si>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</si>
  <si>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</si>
  <si>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</si>
  <si>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</si>
  <si>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</si>
  <si>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</si>
  <si>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</si>
  <si>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</si>
  <si>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</si>
  <si>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</si>
  <si>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</si>
  <si>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</si>
  <si>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</si>
  <si>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</si>
  <si>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</si>
  <si>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</si>
  <si>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</si>
  <si>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</si>
  <si>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</si>
  <si>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</si>
  <si>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</si>
  <si>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</si>
  <si>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</si>
  <si>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</si>
  <si>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</si>
  <si>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</si>
  <si>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</si>
  <si>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</si>
  <si>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</si>
  <si>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</si>
  <si>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</si>
  <si>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</si>
  <si>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</si>
  <si>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</si>
  <si>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</si>
  <si>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</si>
  <si>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</si>
  <si>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</si>
  <si>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</si>
  <si>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</si>
  <si>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</si>
  <si>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</si>
  <si>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</si>
  <si>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</si>
  <si>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</si>
  <si>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</si>
  <si>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</si>
  <si>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</si>
  <si>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</si>
  <si>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</si>
  <si>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</si>
  <si>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</si>
  <si>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</si>
  <si>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</si>
  <si>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</si>
  <si>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</si>
  <si>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</si>
  <si>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</si>
  <si>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</si>
  <si>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</si>
  <si>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</si>
  <si>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</si>
  <si>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</si>
  <si>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</si>
  <si>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</si>
  <si>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</si>
  <si>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</si>
  <si>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</si>
  <si>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</si>
  <si>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</si>
  <si>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</si>
  <si>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</si>
  <si>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</si>
  <si>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</si>
  <si>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</si>
  <si>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</si>
  <si>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</si>
  <si>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</si>
  <si>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</si>
  <si>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</si>
  <si>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</si>
  <si>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</si>
  <si>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</si>
  <si>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</si>
  <si>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</si>
  <si>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</si>
  <si>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</si>
  <si>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</si>
  <si>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</si>
  <si>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</si>
  <si>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</si>
  <si>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</si>
  <si>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</si>
  <si>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</si>
  <si>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</si>
  <si>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</si>
  <si>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</si>
  <si>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</si>
  <si>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</si>
  <si>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</si>
  <si>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</si>
  <si>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</si>
  <si>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</si>
  <si>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</si>
  <si>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</si>
  <si>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</si>
  <si>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</si>
  <si>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</si>
  <si>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</si>
  <si>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</si>
  <si>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</si>
  <si>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</si>
  <si>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</si>
  <si>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</si>
  <si>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</si>
  <si>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</si>
  <si>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</si>
  <si>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</si>
  <si>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</si>
  <si>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</si>
  <si>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</si>
  <si>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</si>
  <si>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</si>
  <si>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</si>
  <si>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</si>
  <si>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</si>
  <si>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</si>
  <si>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</si>
  <si>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</si>
  <si>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</si>
  <si>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</si>
  <si>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</si>
  <si>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</si>
  <si>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</si>
  <si>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</si>
  <si>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</si>
  <si>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</si>
  <si>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</si>
  <si>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</si>
  <si>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</si>
  <si>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</si>
  <si>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</si>
  <si>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</si>
  <si>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</si>
  <si>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</si>
  <si>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</si>
  <si>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</si>
  <si>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</si>
  <si>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</si>
  <si>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</si>
  <si>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</si>
  <si>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</si>
  <si>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</si>
  <si>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</si>
  <si>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</si>
  <si>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</si>
  <si>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</si>
  <si>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</si>
  <si>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</si>
  <si>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</si>
  <si>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</si>
  <si>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</si>
  <si>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</si>
  <si>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</si>
  <si>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</si>
  <si>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</si>
  <si>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</si>
  <si>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</si>
  <si>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</si>
  <si>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</si>
  <si>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</si>
  <si>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</si>
  <si>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</si>
  <si>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</si>
  <si>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</si>
  <si>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</si>
  <si>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</si>
  <si>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</si>
  <si>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</si>
  <si>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</si>
  <si>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</si>
  <si>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</si>
  <si>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</si>
  <si>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</si>
  <si>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</si>
  <si>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</si>
  <si>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</si>
  <si>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</si>
  <si>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</si>
  <si>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</si>
  <si>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</si>
  <si>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</si>
  <si>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</si>
  <si>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</si>
  <si>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</si>
  <si>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</si>
  <si>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</si>
  <si>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</si>
  <si>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</si>
  <si>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</si>
  <si>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</si>
  <si>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</si>
  <si>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</si>
  <si>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</si>
  <si>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</si>
  <si>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</si>
  <si>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</si>
  <si>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</si>
  <si>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</si>
  <si>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</si>
  <si>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</si>
  <si>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</si>
  <si>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</si>
  <si>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</si>
  <si>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</si>
  <si>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</si>
  <si>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</si>
  <si>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</si>
  <si>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</si>
  <si>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</si>
  <si>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</si>
  <si>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</si>
  <si>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</si>
  <si>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</si>
  <si>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</si>
  <si>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</si>
  <si>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</si>
  <si>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</si>
  <si>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</si>
  <si>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</si>
  <si>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</si>
  <si>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</si>
  <si>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</si>
  <si>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</si>
  <si>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</si>
  <si>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</si>
  <si>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</si>
  <si>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</si>
  <si>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</si>
  <si>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</si>
  <si>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</si>
  <si>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</si>
  <si>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</si>
  <si>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</si>
  <si>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</si>
  <si>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</si>
  <si>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</si>
  <si>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</si>
  <si>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</si>
  <si>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</si>
  <si>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</si>
  <si>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</si>
  <si>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</si>
  <si>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</si>
  <si>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</si>
  <si>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</si>
  <si>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</si>
  <si>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</si>
  <si>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</si>
  <si>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</si>
  <si>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</si>
  <si>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</si>
  <si>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</si>
  <si>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</si>
  <si>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</si>
  <si>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</si>
  <si>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</si>
  <si>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</si>
  <si>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</si>
  <si>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</si>
  <si>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</si>
  <si>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</si>
  <si>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</si>
  <si>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</si>
  <si>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</si>
  <si>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</si>
  <si>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</si>
  <si>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</si>
  <si>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</si>
  <si>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</si>
  <si>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</si>
  <si>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</si>
  <si>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</si>
  <si>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</si>
  <si>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</si>
  <si>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</si>
  <si>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</si>
  <si>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</si>
  <si>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</si>
  <si>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</si>
  <si>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</si>
  <si>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</si>
  <si>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</si>
  <si>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</si>
  <si>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</si>
  <si>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</si>
  <si>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</si>
  <si>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</si>
  <si>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</si>
  <si>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</si>
  <si>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</si>
  <si>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</si>
  <si>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</si>
  <si>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</si>
  <si>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</si>
  <si>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</si>
  <si>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</si>
  <si>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</si>
  <si>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</si>
  <si>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</si>
  <si>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</si>
  <si>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</si>
  <si>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</si>
  <si>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</si>
  <si>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</si>
  <si>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</si>
  <si>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</si>
  <si>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</si>
  <si>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</si>
  <si>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</si>
  <si>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</si>
  <si>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</si>
  <si>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</si>
  <si>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</si>
  <si>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</si>
  <si>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</si>
  <si>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</si>
  <si>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</si>
  <si>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</si>
  <si>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</si>
  <si>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</si>
  <si>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</si>
  <si>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</si>
  <si>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</si>
  <si>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</si>
  <si>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</si>
  <si>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</si>
  <si>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</si>
  <si>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</si>
  <si>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</si>
  <si>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</si>
  <si>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</si>
  <si>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</si>
  <si>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</si>
  <si>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</si>
  <si>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</si>
  <si>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</si>
  <si>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</si>
  <si>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</si>
  <si>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</si>
  <si>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</si>
  <si>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</si>
  <si>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</si>
  <si>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</si>
  <si>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</si>
  <si>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</si>
  <si>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</si>
  <si>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</si>
  <si>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</si>
  <si>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</si>
  <si>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</si>
  <si>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</si>
  <si>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</si>
  <si>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</si>
  <si>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</si>
  <si>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</si>
  <si>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</si>
  <si>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</si>
  <si>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</si>
  <si>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</si>
  <si>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</si>
  <si>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</si>
  <si>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</si>
  <si>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</si>
  <si>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</si>
  <si>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</si>
  <si>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</si>
  <si>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</si>
  <si>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</si>
  <si>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</si>
  <si>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</si>
  <si>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</si>
  <si>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</si>
  <si>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</si>
  <si>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</si>
  <si>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</si>
  <si>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</si>
  <si>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</si>
  <si>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</si>
  <si>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</si>
  <si>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</si>
  <si>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</si>
  <si>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</si>
  <si>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</si>
  <si>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</si>
  <si>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</si>
  <si>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</si>
  <si>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</si>
  <si>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</si>
  <si>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</si>
  <si>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</si>
  <si>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</si>
  <si>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</si>
  <si>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</si>
  <si>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</si>
  <si>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</si>
  <si>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</si>
  <si>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</si>
  <si>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</si>
  <si>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</si>
  <si>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</si>
  <si>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</si>
  <si>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</si>
  <si>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</si>
  <si>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</si>
  <si>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</si>
  <si>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</si>
  <si>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</si>
  <si>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</si>
  <si>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</si>
  <si>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</si>
  <si>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</si>
  <si>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</si>
  <si>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</si>
  <si>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</si>
  <si>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</si>
  <si>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</si>
  <si>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</si>
  <si>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</si>
  <si>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</si>
  <si>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</si>
  <si>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</si>
  <si>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</si>
  <si>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</si>
  <si>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</si>
  <si>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</si>
  <si>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</si>
  <si>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</si>
  <si>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</si>
  <si>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</si>
  <si>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</si>
  <si>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</si>
  <si>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</si>
  <si>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</si>
  <si>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</si>
  <si>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</si>
  <si>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</si>
  <si>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</si>
  <si>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</si>
  <si>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</si>
  <si>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</si>
  <si>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</si>
  <si>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</si>
  <si>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</si>
  <si>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</si>
  <si>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</si>
  <si>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</si>
  <si>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</si>
  <si>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</si>
  <si>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</si>
  <si>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</si>
  <si>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</si>
  <si>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</si>
  <si>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</si>
  <si>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</si>
  <si>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</si>
  <si>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</si>
  <si>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</si>
  <si>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</si>
  <si>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</si>
  <si>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</si>
  <si>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</si>
  <si>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</si>
  <si>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</si>
  <si>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</si>
  <si>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</si>
  <si>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</si>
  <si>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</si>
  <si>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</si>
  <si>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</si>
  <si>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</si>
  <si>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</si>
  <si>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</si>
  <si>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</si>
  <si>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</si>
  <si>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</si>
  <si>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</si>
  <si>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</si>
  <si>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</si>
  <si>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</si>
  <si>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</si>
  <si>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</si>
  <si>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</si>
  <si>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</si>
  <si>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</si>
  <si>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</si>
  <si>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</si>
  <si>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</si>
  <si>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</si>
  <si>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</si>
  <si>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</si>
  <si>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</si>
  <si>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</si>
  <si>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</si>
  <si>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</si>
  <si>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</si>
  <si>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Canadian Niagara Power Inc.</t>
  </si>
  <si>
    <t>EB-2016-0061</t>
  </si>
  <si>
    <t>2017 COS Application</t>
  </si>
  <si>
    <t>2013-2015</t>
  </si>
  <si>
    <t>Street Light</t>
  </si>
  <si>
    <t>2017-2021</t>
  </si>
  <si>
    <t>2017 Settlement Agreement, p. 33</t>
  </si>
  <si>
    <t>EB-2017-0031</t>
  </si>
  <si>
    <t>EB-2019-0024</t>
  </si>
  <si>
    <t>EB-2018-0022</t>
  </si>
  <si>
    <t>EB-2015-0058</t>
  </si>
  <si>
    <t>2013-2016</t>
  </si>
  <si>
    <t>2013 Settlement Agreement, p. 21-22</t>
  </si>
  <si>
    <t>2016-2019</t>
  </si>
  <si>
    <t>Instant Savings Local Program</t>
  </si>
  <si>
    <t>Save on Energy Instant Discount Program</t>
  </si>
  <si>
    <t>Whole Home Program</t>
  </si>
  <si>
    <t>Residential Direct Install</t>
  </si>
  <si>
    <t>EB-2020-0008</t>
  </si>
  <si>
    <t>2021 IRM Application</t>
  </si>
  <si>
    <t>Many CFF “Save on Energy” programs, such as the Coupon Program, the Heating and Cooling Program, the Energy Home Assistance Program, were designed solely for residential customers. As such, 100% of CNPI’s verified energy and demand savings associated with these programs are allocated to the residential rate class.</t>
  </si>
  <si>
    <t>Similarly, other “Save on Energy” programs, such as Small Business Lighting and Business Refrigeration, were designed specifically for small businesses.  CNPI’s verified energy and demand savings associated with these programs are allocated 98% to the GS&lt;50 rate class, and 2% to the GS&gt;50 rate class, based on analysis of account eligibility (a small number of GS&gt;50 accounts were eligible to participate in "Small Business" CFF programs.</t>
  </si>
  <si>
    <t>Only large businesses (GS&gt;50) participated in the Audit Funding program, so 100% of the savings from that program were allocated to GS&gt;50.</t>
  </si>
  <si>
    <t>Net Retrofit kWh Savings</t>
  </si>
  <si>
    <t>Street Light Project Net kWh Savings</t>
  </si>
  <si>
    <t>Street Light % of Annual kWh Savings</t>
  </si>
  <si>
    <t>Net Savings Ratios - Save on Energy Retrofit Program</t>
  </si>
  <si>
    <t>Notes</t>
  </si>
  <si>
    <t>From 2017 verified results, Apr 2019 P&amp;C report, 2019 May-Dec Calculation (see below)</t>
  </si>
  <si>
    <t>Table 8-a:  Retrofit Projects Completed May to December 2019</t>
  </si>
  <si>
    <t>Savings from these projects not captured in IESO verified results</t>
  </si>
  <si>
    <t>Completed</t>
  </si>
  <si>
    <t>Application #</t>
  </si>
  <si>
    <t>2019</t>
  </si>
  <si>
    <t>Aug</t>
  </si>
  <si>
    <t>Dec</t>
  </si>
  <si>
    <t>Jul</t>
  </si>
  <si>
    <t>Jun</t>
  </si>
  <si>
    <t>May</t>
  </si>
  <si>
    <t>Nov</t>
  </si>
  <si>
    <t>Oct</t>
  </si>
  <si>
    <t>Gross Savings</t>
  </si>
  <si>
    <t>2017 Retrofit Net-to-Gross Ratio:</t>
  </si>
  <si>
    <t>Table 8-b:  Net-to-Gross Assumption</t>
  </si>
  <si>
    <t>2017 Retrofit Gross kWh Savings:</t>
  </si>
  <si>
    <t>2017 Retrofit Net kWh Savings:</t>
  </si>
  <si>
    <t>IESO 2017 Final Verified Results</t>
  </si>
  <si>
    <t>IESO 2017 Final Verified Results (Includes Realization and Net-to-Gross Adjustments)</t>
  </si>
  <si>
    <t xml:space="preserve">TOTAL May - Dec 2019:  </t>
  </si>
  <si>
    <t xml:space="preserve">Net-to-Gross Adj (Using 2017 Ratio):  </t>
  </si>
  <si>
    <t xml:space="preserve">May - Dec 2019 Net Savings:  </t>
  </si>
  <si>
    <t>Note:  Adjustments to 2017 demand savings are based on ratio of energy/demand savings from verified results, times the adjusted energy savings</t>
  </si>
  <si>
    <t>Note:  Assumed demand savings assoctiated with any energy savings identified in P&amp;C reports are based on the 2017 ratio of energy/demand savings from verified results, times the energy savings from P&amp;C report</t>
  </si>
  <si>
    <t>Calculated - use this ratio to estimate May-Dec 2019 Net-to-Gross adjustment</t>
  </si>
  <si>
    <t>GS&lt;50 (see below)</t>
  </si>
  <si>
    <t>GS&gt;50 (see below)</t>
  </si>
  <si>
    <t>GS&lt;50; GS&gt;50 Retrofit Split (2016-2019 Total)</t>
  </si>
  <si>
    <t>Energy Savings from GS &lt; 50kW:</t>
  </si>
  <si>
    <t>Energy Savings from GS &gt; 50kW:</t>
  </si>
  <si>
    <t>Energy and demand savings achieved through the Save on Energy Retrofit Program resulted from specific projects undertaken by customers in the GS&lt;50, GS&gt;50 and Street Lighting rate classes. Due to the custom nature of each project, energy savings were required to be calculated with the application submission and verified/updated as each project was completed. Only three of these projects involved Street Lighting customers, and CNPI was therefore able to determine the exact net savings per year to be allocated to the Street Lighting rate class, and entered the resulting percentage allocation in Tab 5 of the LRAMVA workform.  The balance of Save on Energy Retrofit Program savings were allocated between the GS&lt;50 and GS&gt;50 rate classes, based on an analysis of all other projects completed in the 2016-2019 period, using information from CNPI's third-party application management interface.  The calculations supporting these allocations are as follows:</t>
  </si>
  <si>
    <t>%</t>
  </si>
  <si>
    <t>Total:</t>
  </si>
  <si>
    <t>**IESO 2017 Verified Results, April 2019 Participation and Cost Report File Separately**</t>
  </si>
  <si>
    <t>All</t>
  </si>
  <si>
    <t>Supporting Reports filed separately</t>
  </si>
  <si>
    <t>Repurposed Tab 8 to list May-December 2019 projects</t>
  </si>
  <si>
    <t>Tab 8 - All</t>
  </si>
  <si>
    <t>H150:H161</t>
  </si>
  <si>
    <t>2020 Interest calculations zeroed out</t>
  </si>
  <si>
    <t>Avoid double-counting interest in IRM Rate Generator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</si>
</sst>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theme="1"/>
      <name val="Calibri"/>
      <family val="2"/>
      <scheme val="minor"/>
    </font>
    <font>
      <i/>
      <sz val="11"/>
      <color theme="1"/>
      <name val="Calibri"/>
      <family val="2"/>
      <scheme val="minor"/>
    </font>
    <font>
      <b/>
      <i/>
      <sz val="12"/>
      <color rgb="FFFF0000"/>
      <name val="Calibri"/>
      <family val="2"/>
      <scheme val="minor"/>
    </font>
    <font>
      <b/>
      <i/>
      <sz val="18"/>
      <color rgb="FFFF0000"/>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theme="0"/>
      </left>
      <right style="thin">
        <color theme="0"/>
      </right>
      <top style="thin">
        <color theme="0"/>
      </top>
      <bottom style="thin">
        <color theme="0"/>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10" fontId="58" fillId="28" borderId="8" xfId="0" applyNumberFormat="1" applyFont="1" applyFill="1" applyBorder="1" applyAlignment="1">
      <alignment horizontal="center"/>
    </xf>
    <xf numFmtId="0" fontId="242" fillId="2" borderId="0" xfId="0" applyFont="1" applyFill="1"/>
    <xf numFmtId="10" fontId="0" fillId="2" borderId="0" xfId="72" applyNumberFormat="1" applyFont="1" applyFill="1" applyAlignment="1">
      <alignment horizontal="center"/>
    </xf>
    <xf numFmtId="4" fontId="0" fillId="2" borderId="110" xfId="0" applyNumberFormat="1" applyFill="1" applyBorder="1" applyAlignment="1">
      <alignment horizontal="center"/>
    </xf>
    <xf numFmtId="0" fontId="0" fillId="2" borderId="9" xfId="0" applyFill="1" applyBorder="1" applyAlignment="1">
      <alignment horizontal="center"/>
    </xf>
    <xf numFmtId="4" fontId="0" fillId="2" borderId="9" xfId="0" applyNumberFormat="1" applyFill="1" applyBorder="1" applyAlignment="1">
      <alignment horizontal="center"/>
    </xf>
    <xf numFmtId="0" fontId="72" fillId="26" borderId="143" xfId="0" applyFont="1" applyFill="1" applyBorder="1" applyAlignment="1">
      <alignment horizontal="center"/>
    </xf>
    <xf numFmtId="4" fontId="3" fillId="2" borderId="110" xfId="0" applyNumberFormat="1" applyFont="1" applyFill="1" applyBorder="1" applyAlignment="1">
      <alignment horizontal="center"/>
    </xf>
    <xf numFmtId="0" fontId="243" fillId="2" borderId="110" xfId="0" applyFont="1" applyFill="1" applyBorder="1" applyAlignment="1">
      <alignment horizontal="right"/>
    </xf>
    <xf numFmtId="3" fontId="0" fillId="2" borderId="0" xfId="0" applyNumberFormat="1" applyFill="1" applyAlignment="1">
      <alignment horizontal="center"/>
    </xf>
    <xf numFmtId="3" fontId="3" fillId="2" borderId="0" xfId="0" applyNumberFormat="1" applyFont="1" applyFill="1" applyAlignment="1">
      <alignment horizontal="center"/>
    </xf>
    <xf numFmtId="9" fontId="3" fillId="2" borderId="0" xfId="72" applyFont="1" applyFill="1" applyAlignment="1">
      <alignment horizontal="center"/>
    </xf>
    <xf numFmtId="0" fontId="244" fillId="2" borderId="0" xfId="0" applyFont="1" applyFill="1" applyAlignment="1">
      <alignment horizontal="center"/>
    </xf>
    <xf numFmtId="0" fontId="245" fillId="2" borderId="0" xfId="0" applyFont="1" applyFill="1" applyAlignment="1">
      <alignment horizontal="center"/>
    </xf>
    <xf numFmtId="3" fontId="0" fillId="2" borderId="110" xfId="0" applyNumberFormat="1" applyFill="1" applyBorder="1" applyAlignment="1">
      <alignment horizontal="center"/>
    </xf>
    <xf numFmtId="2" fontId="0" fillId="2" borderId="110" xfId="0" applyNumberForma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wrapText="1"/>
    </xf>
    <xf numFmtId="10" fontId="0" fillId="2" borderId="0" xfId="72" applyNumberFormat="1" applyFont="1" applyFill="1" applyAlignment="1">
      <alignment horizontal="center"/>
    </xf>
    <xf numFmtId="10" fontId="3" fillId="2" borderId="0" xfId="0" applyNumberFormat="1" applyFont="1" applyFill="1" applyAlignment="1">
      <alignment horizontal="center"/>
    </xf>
    <xf numFmtId="0" fontId="3" fillId="2" borderId="0" xfId="0" applyFont="1" applyFill="1" applyAlignment="1">
      <alignment horizontal="center"/>
    </xf>
    <xf numFmtId="3" fontId="0" fillId="2" borderId="0" xfId="0" applyNumberFormat="1" applyFont="1" applyFill="1" applyAlignment="1">
      <alignment horizontal="center"/>
    </xf>
    <xf numFmtId="0" fontId="0" fillId="2" borderId="0" xfId="0" applyFont="1" applyFill="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2" fontId="243" fillId="2" borderId="110" xfId="0" applyNumberFormat="1" applyFont="1" applyFill="1" applyBorder="1" applyAlignment="1">
      <alignment horizontal="center"/>
    </xf>
    <xf numFmtId="0" fontId="243" fillId="2" borderId="110" xfId="0" applyFont="1" applyFill="1" applyBorder="1" applyAlignment="1">
      <alignment horizontal="center"/>
    </xf>
    <xf numFmtId="0" fontId="3" fillId="2" borderId="110" xfId="0" applyFont="1" applyFill="1" applyBorder="1" applyAlignment="1">
      <alignment horizontal="right"/>
    </xf>
    <xf numFmtId="0" fontId="91" fillId="92" borderId="0" xfId="0" applyFont="1" applyFill="1" applyAlignment="1">
      <alignment horizontal="left" vertical="center" wrapText="1"/>
    </xf>
    <xf numFmtId="0" fontId="72" fillId="26" borderId="143" xfId="0" applyFont="1" applyFill="1" applyBorder="1" applyAlignment="1">
      <alignment horizontal="center"/>
    </xf>
    <xf numFmtId="0" fontId="72" fillId="26" borderId="46" xfId="0" applyFont="1" applyFill="1" applyBorder="1" applyAlignment="1">
      <alignment horizontal="center"/>
    </xf>
    <xf numFmtId="0" fontId="72" fillId="26" borderId="47" xfId="0" applyFont="1" applyFill="1" applyBorder="1" applyAlignment="1">
      <alignment horizontal="center"/>
    </xf>
    <xf numFmtId="0" fontId="0" fillId="2" borderId="110" xfId="0"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75166"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850" y="134471"/>
          <a:ext cx="18731734" cy="214861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521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0458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May 2019 to December 2019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161925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6563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LRAMVA\Temagami%20CNP%20CDM%20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RAMVA"/>
      <sheetName val="Project Summary"/>
      <sheetName val="Measure Summary"/>
      <sheetName val="Project-Measure Deltas"/>
      <sheetName val="Applications"/>
      <sheetName val="Projects"/>
      <sheetName val="Measures"/>
      <sheetName val="Complete"/>
    </sheetNames>
    <sheetDataSet>
      <sheetData sheetId="0">
        <row r="351">
          <cell r="D351">
            <v>3586434.2580000008</v>
          </cell>
        </row>
        <row r="354">
          <cell r="D354">
            <v>10361863.468000002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8" sqref="G8"/>
    </sheetView>
  </sheetViews>
  <sheetFormatPr defaultColWidth="9.140625" defaultRowHeight="15"/>
  <cols>
    <col min="1" max="1" width="9.140625" style="9"/>
    <col min="2" max="2" width="32.140625" style="27" customWidth="1"/>
    <col min="3" max="3" width="114.42578125" style="9" customWidth="1"/>
    <col min="4" max="4" width="8.140625" style="9" customWidth="1"/>
    <col min="5" max="16384" width="9.140625" style="9"/>
  </cols>
  <sheetData>
    <row r="1" spans="1:3" ht="174" customHeight="1"/>
    <row r="3" spans="1:3" ht="20.25">
      <c r="B3" s="760" t="s">
        <v>174</v>
      </c>
      <c r="C3" s="760"/>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551</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599</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E28" sqref="E28"/>
    </sheetView>
  </sheetViews>
  <sheetFormatPr defaultColWidth="9.140625" defaultRowHeight="14.25" outlineLevelRow="1" outlineLevelCol="1"/>
  <cols>
    <col min="1" max="1" width="4.5703125" style="509" customWidth="1"/>
    <col min="2" max="2" width="43.570312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42578125" style="256" customWidth="1"/>
    <col min="40" max="40" width="14.5703125" style="253" customWidth="1"/>
    <col min="41" max="41" width="14.85546875" style="253" customWidth="1"/>
    <col min="42" max="42" width="14" style="253" customWidth="1"/>
    <col min="43" max="43" width="9.570312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550</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9" t="s">
        <v>504</v>
      </c>
      <c r="C7" s="828" t="s">
        <v>632</v>
      </c>
      <c r="D7" s="828"/>
      <c r="E7" s="828"/>
      <c r="F7" s="828"/>
      <c r="G7" s="828"/>
      <c r="H7" s="828"/>
      <c r="I7" s="828"/>
      <c r="J7" s="828"/>
      <c r="K7" s="828"/>
      <c r="L7" s="828"/>
      <c r="M7" s="828"/>
      <c r="N7" s="828"/>
      <c r="O7" s="828"/>
      <c r="P7" s="828"/>
      <c r="Q7" s="828"/>
      <c r="R7" s="828"/>
      <c r="S7" s="828"/>
      <c r="T7" s="828"/>
      <c r="U7" s="828"/>
      <c r="V7" s="828"/>
      <c r="W7" s="828"/>
      <c r="X7" s="828"/>
      <c r="Y7" s="606"/>
      <c r="Z7" s="606"/>
      <c r="AA7" s="606"/>
      <c r="AB7" s="606"/>
      <c r="AC7" s="606"/>
      <c r="AD7" s="606"/>
      <c r="AE7" s="270"/>
      <c r="AF7" s="270"/>
      <c r="AG7" s="270"/>
      <c r="AH7" s="270"/>
      <c r="AI7" s="270"/>
      <c r="AJ7" s="270"/>
      <c r="AK7" s="270"/>
      <c r="AL7" s="270"/>
    </row>
    <row r="8" spans="1:39" s="271" customFormat="1" ht="58.5" customHeight="1">
      <c r="A8" s="509"/>
      <c r="B8" s="829"/>
      <c r="C8" s="828" t="s">
        <v>570</v>
      </c>
      <c r="D8" s="828"/>
      <c r="E8" s="828"/>
      <c r="F8" s="828"/>
      <c r="G8" s="828"/>
      <c r="H8" s="828"/>
      <c r="I8" s="828"/>
      <c r="J8" s="828"/>
      <c r="K8" s="828"/>
      <c r="L8" s="828"/>
      <c r="M8" s="828"/>
      <c r="N8" s="828"/>
      <c r="O8" s="828"/>
      <c r="P8" s="828"/>
      <c r="Q8" s="828"/>
      <c r="R8" s="828"/>
      <c r="S8" s="828"/>
      <c r="T8" s="828"/>
      <c r="U8" s="828"/>
      <c r="V8" s="828"/>
      <c r="W8" s="828"/>
      <c r="X8" s="828"/>
      <c r="Y8" s="606"/>
      <c r="Z8" s="606"/>
      <c r="AA8" s="606"/>
      <c r="AB8" s="606"/>
      <c r="AC8" s="606"/>
      <c r="AD8" s="606"/>
      <c r="AE8" s="272"/>
      <c r="AF8" s="255"/>
      <c r="AG8" s="255"/>
      <c r="AH8" s="255"/>
      <c r="AI8" s="255"/>
      <c r="AJ8" s="255"/>
      <c r="AK8" s="255"/>
      <c r="AL8" s="255"/>
      <c r="AM8" s="256"/>
    </row>
    <row r="9" spans="1:39" s="271" customFormat="1" ht="57.75" customHeight="1">
      <c r="A9" s="509"/>
      <c r="B9" s="273"/>
      <c r="C9" s="828" t="s">
        <v>569</v>
      </c>
      <c r="D9" s="828"/>
      <c r="E9" s="828"/>
      <c r="F9" s="828"/>
      <c r="G9" s="828"/>
      <c r="H9" s="828"/>
      <c r="I9" s="828"/>
      <c r="J9" s="828"/>
      <c r="K9" s="828"/>
      <c r="L9" s="828"/>
      <c r="M9" s="828"/>
      <c r="N9" s="828"/>
      <c r="O9" s="828"/>
      <c r="P9" s="828"/>
      <c r="Q9" s="828"/>
      <c r="R9" s="828"/>
      <c r="S9" s="828"/>
      <c r="T9" s="828"/>
      <c r="U9" s="828"/>
      <c r="V9" s="828"/>
      <c r="W9" s="828"/>
      <c r="X9" s="828"/>
      <c r="Y9" s="606"/>
      <c r="Z9" s="606"/>
      <c r="AA9" s="606"/>
      <c r="AB9" s="606"/>
      <c r="AC9" s="606"/>
      <c r="AD9" s="606"/>
      <c r="AE9" s="272"/>
      <c r="AF9" s="255"/>
      <c r="AG9" s="255"/>
      <c r="AH9" s="255"/>
      <c r="AI9" s="255"/>
      <c r="AJ9" s="255"/>
      <c r="AK9" s="255"/>
      <c r="AL9" s="255"/>
      <c r="AM9" s="256"/>
    </row>
    <row r="10" spans="1:39" ht="41.25" customHeight="1">
      <c r="B10" s="275"/>
      <c r="C10" s="828" t="s">
        <v>635</v>
      </c>
      <c r="D10" s="828"/>
      <c r="E10" s="828"/>
      <c r="F10" s="828"/>
      <c r="G10" s="828"/>
      <c r="H10" s="828"/>
      <c r="I10" s="828"/>
      <c r="J10" s="828"/>
      <c r="K10" s="828"/>
      <c r="L10" s="828"/>
      <c r="M10" s="828"/>
      <c r="N10" s="828"/>
      <c r="O10" s="828"/>
      <c r="P10" s="828"/>
      <c r="Q10" s="828"/>
      <c r="R10" s="828"/>
      <c r="S10" s="828"/>
      <c r="T10" s="828"/>
      <c r="U10" s="828"/>
      <c r="V10" s="828"/>
      <c r="W10" s="828"/>
      <c r="X10" s="828"/>
      <c r="Y10" s="606"/>
      <c r="Z10" s="606"/>
      <c r="AA10" s="606"/>
      <c r="AB10" s="606"/>
      <c r="AC10" s="606"/>
      <c r="AD10" s="606"/>
      <c r="AE10" s="272"/>
      <c r="AF10" s="276"/>
      <c r="AG10" s="276"/>
      <c r="AH10" s="276"/>
      <c r="AI10" s="276"/>
      <c r="AJ10" s="276"/>
      <c r="AK10" s="276"/>
      <c r="AL10" s="276"/>
    </row>
    <row r="11" spans="1:39" ht="53.25" customHeight="1">
      <c r="C11" s="828" t="s">
        <v>620</v>
      </c>
      <c r="D11" s="828"/>
      <c r="E11" s="828"/>
      <c r="F11" s="828"/>
      <c r="G11" s="828"/>
      <c r="H11" s="828"/>
      <c r="I11" s="828"/>
      <c r="J11" s="828"/>
      <c r="K11" s="828"/>
      <c r="L11" s="828"/>
      <c r="M11" s="828"/>
      <c r="N11" s="828"/>
      <c r="O11" s="828"/>
      <c r="P11" s="828"/>
      <c r="Q11" s="828"/>
      <c r="R11" s="828"/>
      <c r="S11" s="828"/>
      <c r="T11" s="828"/>
      <c r="U11" s="828"/>
      <c r="V11" s="828"/>
      <c r="W11" s="828"/>
      <c r="X11" s="82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9"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9"/>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9" t="s">
        <v>211</v>
      </c>
      <c r="C19" s="821" t="s">
        <v>33</v>
      </c>
      <c r="D19" s="284" t="s">
        <v>421</v>
      </c>
      <c r="E19" s="823" t="s">
        <v>209</v>
      </c>
      <c r="F19" s="824"/>
      <c r="G19" s="824"/>
      <c r="H19" s="824"/>
      <c r="I19" s="824"/>
      <c r="J19" s="824"/>
      <c r="K19" s="824"/>
      <c r="L19" s="824"/>
      <c r="M19" s="825"/>
      <c r="N19" s="826" t="s">
        <v>213</v>
      </c>
      <c r="O19" s="284" t="s">
        <v>422</v>
      </c>
      <c r="P19" s="823" t="s">
        <v>212</v>
      </c>
      <c r="Q19" s="824"/>
      <c r="R19" s="824"/>
      <c r="S19" s="824"/>
      <c r="T19" s="824"/>
      <c r="U19" s="824"/>
      <c r="V19" s="824"/>
      <c r="W19" s="824"/>
      <c r="X19" s="825"/>
      <c r="Y19" s="816" t="s">
        <v>243</v>
      </c>
      <c r="Z19" s="817"/>
      <c r="AA19" s="817"/>
      <c r="AB19" s="817"/>
      <c r="AC19" s="817"/>
      <c r="AD19" s="817"/>
      <c r="AE19" s="817"/>
      <c r="AF19" s="817"/>
      <c r="AG19" s="817"/>
      <c r="AH19" s="817"/>
      <c r="AI19" s="817"/>
      <c r="AJ19" s="817"/>
      <c r="AK19" s="817"/>
      <c r="AL19" s="817"/>
      <c r="AM19" s="818"/>
    </row>
    <row r="20" spans="1:39" s="283" customFormat="1" ht="59.25" customHeight="1">
      <c r="A20" s="509"/>
      <c r="B20" s="820"/>
      <c r="C20" s="822"/>
      <c r="D20" s="285">
        <v>2011</v>
      </c>
      <c r="E20" s="285">
        <v>2012</v>
      </c>
      <c r="F20" s="285">
        <v>2013</v>
      </c>
      <c r="G20" s="285">
        <v>2014</v>
      </c>
      <c r="H20" s="285">
        <v>2015</v>
      </c>
      <c r="I20" s="285">
        <v>2016</v>
      </c>
      <c r="J20" s="285">
        <v>2017</v>
      </c>
      <c r="K20" s="285">
        <v>2018</v>
      </c>
      <c r="L20" s="285">
        <v>2019</v>
      </c>
      <c r="M20" s="285">
        <v>2020</v>
      </c>
      <c r="N20" s="8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 Light</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9" t="s">
        <v>211</v>
      </c>
      <c r="C147" s="821" t="s">
        <v>33</v>
      </c>
      <c r="D147" s="284" t="s">
        <v>421</v>
      </c>
      <c r="E147" s="823" t="s">
        <v>209</v>
      </c>
      <c r="F147" s="824"/>
      <c r="G147" s="824"/>
      <c r="H147" s="824"/>
      <c r="I147" s="824"/>
      <c r="J147" s="824"/>
      <c r="K147" s="824"/>
      <c r="L147" s="824"/>
      <c r="M147" s="825"/>
      <c r="N147" s="826" t="s">
        <v>213</v>
      </c>
      <c r="O147" s="284" t="s">
        <v>422</v>
      </c>
      <c r="P147" s="823" t="s">
        <v>212</v>
      </c>
      <c r="Q147" s="824"/>
      <c r="R147" s="824"/>
      <c r="S147" s="824"/>
      <c r="T147" s="824"/>
      <c r="U147" s="824"/>
      <c r="V147" s="824"/>
      <c r="W147" s="824"/>
      <c r="X147" s="825"/>
      <c r="Y147" s="816" t="s">
        <v>243</v>
      </c>
      <c r="Z147" s="817"/>
      <c r="AA147" s="817"/>
      <c r="AB147" s="817"/>
      <c r="AC147" s="817"/>
      <c r="AD147" s="817"/>
      <c r="AE147" s="817"/>
      <c r="AF147" s="817"/>
      <c r="AG147" s="817"/>
      <c r="AH147" s="817"/>
      <c r="AI147" s="817"/>
      <c r="AJ147" s="817"/>
      <c r="AK147" s="817"/>
      <c r="AL147" s="817"/>
      <c r="AM147" s="818"/>
    </row>
    <row r="148" spans="1:39" ht="60.75" customHeight="1">
      <c r="B148" s="820"/>
      <c r="C148" s="822"/>
      <c r="D148" s="285">
        <v>2012</v>
      </c>
      <c r="E148" s="285">
        <v>2013</v>
      </c>
      <c r="F148" s="285">
        <v>2014</v>
      </c>
      <c r="G148" s="285">
        <v>2015</v>
      </c>
      <c r="H148" s="285">
        <v>2016</v>
      </c>
      <c r="I148" s="285">
        <v>2017</v>
      </c>
      <c r="J148" s="285">
        <v>2018</v>
      </c>
      <c r="K148" s="285">
        <v>2019</v>
      </c>
      <c r="L148" s="285">
        <v>2020</v>
      </c>
      <c r="M148" s="285">
        <v>2021</v>
      </c>
      <c r="N148" s="8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 Light</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9" t="s">
        <v>211</v>
      </c>
      <c r="C276" s="821" t="s">
        <v>33</v>
      </c>
      <c r="D276" s="284" t="s">
        <v>421</v>
      </c>
      <c r="E276" s="823" t="s">
        <v>209</v>
      </c>
      <c r="F276" s="824"/>
      <c r="G276" s="824"/>
      <c r="H276" s="824"/>
      <c r="I276" s="824"/>
      <c r="J276" s="824"/>
      <c r="K276" s="824"/>
      <c r="L276" s="824"/>
      <c r="M276" s="825"/>
      <c r="N276" s="826" t="s">
        <v>213</v>
      </c>
      <c r="O276" s="284" t="s">
        <v>422</v>
      </c>
      <c r="P276" s="823" t="s">
        <v>212</v>
      </c>
      <c r="Q276" s="824"/>
      <c r="R276" s="824"/>
      <c r="S276" s="824"/>
      <c r="T276" s="824"/>
      <c r="U276" s="824"/>
      <c r="V276" s="824"/>
      <c r="W276" s="824"/>
      <c r="X276" s="825"/>
      <c r="Y276" s="816" t="s">
        <v>243</v>
      </c>
      <c r="Z276" s="817"/>
      <c r="AA276" s="817"/>
      <c r="AB276" s="817"/>
      <c r="AC276" s="817"/>
      <c r="AD276" s="817"/>
      <c r="AE276" s="817"/>
      <c r="AF276" s="817"/>
      <c r="AG276" s="817"/>
      <c r="AH276" s="817"/>
      <c r="AI276" s="817"/>
      <c r="AJ276" s="817"/>
      <c r="AK276" s="817"/>
      <c r="AL276" s="817"/>
      <c r="AM276" s="818"/>
    </row>
    <row r="277" spans="1:39" ht="60.75" customHeight="1">
      <c r="B277" s="820"/>
      <c r="C277" s="822"/>
      <c r="D277" s="285">
        <v>2013</v>
      </c>
      <c r="E277" s="285">
        <v>2014</v>
      </c>
      <c r="F277" s="285">
        <v>2015</v>
      </c>
      <c r="G277" s="285">
        <v>2016</v>
      </c>
      <c r="H277" s="285">
        <v>2017</v>
      </c>
      <c r="I277" s="285">
        <v>2018</v>
      </c>
      <c r="J277" s="285">
        <v>2019</v>
      </c>
      <c r="K277" s="285">
        <v>2020</v>
      </c>
      <c r="L277" s="285">
        <v>2021</v>
      </c>
      <c r="M277" s="285">
        <v>2022</v>
      </c>
      <c r="N277" s="8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 Light</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9" t="s">
        <v>211</v>
      </c>
      <c r="C405" s="821" t="s">
        <v>33</v>
      </c>
      <c r="D405" s="284" t="s">
        <v>421</v>
      </c>
      <c r="E405" s="823" t="s">
        <v>209</v>
      </c>
      <c r="F405" s="824"/>
      <c r="G405" s="824"/>
      <c r="H405" s="824"/>
      <c r="I405" s="824"/>
      <c r="J405" s="824"/>
      <c r="K405" s="824"/>
      <c r="L405" s="824"/>
      <c r="M405" s="825"/>
      <c r="N405" s="826" t="s">
        <v>213</v>
      </c>
      <c r="O405" s="284" t="s">
        <v>422</v>
      </c>
      <c r="P405" s="823" t="s">
        <v>212</v>
      </c>
      <c r="Q405" s="824"/>
      <c r="R405" s="824"/>
      <c r="S405" s="824"/>
      <c r="T405" s="824"/>
      <c r="U405" s="824"/>
      <c r="V405" s="824"/>
      <c r="W405" s="824"/>
      <c r="X405" s="825"/>
      <c r="Y405" s="816" t="s">
        <v>243</v>
      </c>
      <c r="Z405" s="817"/>
      <c r="AA405" s="817"/>
      <c r="AB405" s="817"/>
      <c r="AC405" s="817"/>
      <c r="AD405" s="817"/>
      <c r="AE405" s="817"/>
      <c r="AF405" s="817"/>
      <c r="AG405" s="817"/>
      <c r="AH405" s="817"/>
      <c r="AI405" s="817"/>
      <c r="AJ405" s="817"/>
      <c r="AK405" s="817"/>
      <c r="AL405" s="817"/>
      <c r="AM405" s="818"/>
    </row>
    <row r="406" spans="1:40" ht="45.75" customHeight="1">
      <c r="B406" s="820"/>
      <c r="C406" s="822"/>
      <c r="D406" s="285">
        <v>2014</v>
      </c>
      <c r="E406" s="285">
        <v>2015</v>
      </c>
      <c r="F406" s="285">
        <v>2016</v>
      </c>
      <c r="G406" s="285">
        <v>2017</v>
      </c>
      <c r="H406" s="285">
        <v>2018</v>
      </c>
      <c r="I406" s="285">
        <v>2019</v>
      </c>
      <c r="J406" s="285">
        <v>2020</v>
      </c>
      <c r="K406" s="285">
        <v>2021</v>
      </c>
      <c r="L406" s="285">
        <v>2022</v>
      </c>
      <c r="M406" s="285">
        <v>2023</v>
      </c>
      <c r="N406" s="8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 Light</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C845" zoomScale="83" zoomScaleNormal="83" workbookViewId="0">
      <selection activeCell="AA853" sqref="AA853"/>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8" width="10.5703125" style="427" customWidth="1" outlineLevel="1"/>
    <col min="9" max="13" width="9.140625" style="427" customWidth="1" outlineLevel="1"/>
    <col min="14" max="14" width="13.5703125" style="427" customWidth="1" outlineLevel="1"/>
    <col min="15" max="15" width="15.5703125" style="427" customWidth="1"/>
    <col min="16" max="24" width="9.1406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4.85546875" style="427" customWidth="1"/>
    <col min="36" max="38" width="17.42578125" style="427" customWidth="1"/>
    <col min="39" max="39" width="14.5703125" style="427" customWidth="1"/>
    <col min="40" max="40" width="11.5703125" style="427" customWidth="1"/>
    <col min="41" max="16384" width="9.140625" style="427"/>
  </cols>
  <sheetData>
    <row r="13" spans="2:39" ht="15.75" thickBot="1"/>
    <row r="14" spans="2:39" ht="26.25" customHeight="1" thickBot="1">
      <c r="B14" s="82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9"/>
      <c r="C16" s="805" t="s">
        <v>550</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9" t="s">
        <v>504</v>
      </c>
      <c r="C18" s="828" t="s">
        <v>682</v>
      </c>
      <c r="D18" s="828"/>
      <c r="E18" s="828"/>
      <c r="F18" s="828"/>
      <c r="G18" s="828"/>
      <c r="H18" s="828"/>
      <c r="I18" s="828"/>
      <c r="J18" s="828"/>
      <c r="K18" s="828"/>
      <c r="L18" s="828"/>
      <c r="M18" s="828"/>
      <c r="N18" s="828"/>
      <c r="O18" s="828"/>
      <c r="P18" s="828"/>
      <c r="Q18" s="828"/>
      <c r="R18" s="828"/>
      <c r="S18" s="828"/>
      <c r="T18" s="828"/>
      <c r="U18" s="828"/>
      <c r="V18" s="828"/>
      <c r="W18" s="828"/>
      <c r="X18" s="828"/>
      <c r="Y18" s="606"/>
      <c r="Z18" s="606"/>
      <c r="AA18" s="606"/>
      <c r="AB18" s="606"/>
      <c r="AC18" s="606"/>
      <c r="AD18" s="606"/>
      <c r="AE18" s="270"/>
      <c r="AF18" s="265"/>
      <c r="AG18" s="265"/>
      <c r="AH18" s="265"/>
      <c r="AI18" s="265"/>
      <c r="AJ18" s="265"/>
      <c r="AK18" s="265"/>
      <c r="AL18" s="265"/>
      <c r="AM18" s="265"/>
    </row>
    <row r="19" spans="2:39" ht="45.75" customHeight="1">
      <c r="B19" s="829"/>
      <c r="C19" s="828" t="s">
        <v>571</v>
      </c>
      <c r="D19" s="828"/>
      <c r="E19" s="828"/>
      <c r="F19" s="828"/>
      <c r="G19" s="828"/>
      <c r="H19" s="828"/>
      <c r="I19" s="828"/>
      <c r="J19" s="828"/>
      <c r="K19" s="828"/>
      <c r="L19" s="828"/>
      <c r="M19" s="828"/>
      <c r="N19" s="828"/>
      <c r="O19" s="828"/>
      <c r="P19" s="828"/>
      <c r="Q19" s="828"/>
      <c r="R19" s="828"/>
      <c r="S19" s="828"/>
      <c r="T19" s="828"/>
      <c r="U19" s="828"/>
      <c r="V19" s="828"/>
      <c r="W19" s="828"/>
      <c r="X19" s="828"/>
      <c r="Y19" s="606"/>
      <c r="Z19" s="606"/>
      <c r="AA19" s="606"/>
      <c r="AB19" s="606"/>
      <c r="AC19" s="606"/>
      <c r="AD19" s="606"/>
      <c r="AE19" s="270"/>
      <c r="AF19" s="265"/>
      <c r="AG19" s="265"/>
      <c r="AH19" s="265"/>
      <c r="AI19" s="265"/>
      <c r="AJ19" s="265"/>
      <c r="AK19" s="265"/>
      <c r="AL19" s="265"/>
      <c r="AM19" s="265"/>
    </row>
    <row r="20" spans="2:39" ht="62.25" customHeight="1">
      <c r="B20" s="273"/>
      <c r="C20" s="828" t="s">
        <v>569</v>
      </c>
      <c r="D20" s="828"/>
      <c r="E20" s="828"/>
      <c r="F20" s="828"/>
      <c r="G20" s="828"/>
      <c r="H20" s="828"/>
      <c r="I20" s="828"/>
      <c r="J20" s="828"/>
      <c r="K20" s="828"/>
      <c r="L20" s="828"/>
      <c r="M20" s="828"/>
      <c r="N20" s="828"/>
      <c r="O20" s="828"/>
      <c r="P20" s="828"/>
      <c r="Q20" s="828"/>
      <c r="R20" s="828"/>
      <c r="S20" s="828"/>
      <c r="T20" s="828"/>
      <c r="U20" s="828"/>
      <c r="V20" s="828"/>
      <c r="W20" s="828"/>
      <c r="X20" s="828"/>
      <c r="Y20" s="606"/>
      <c r="Z20" s="606"/>
      <c r="AA20" s="606"/>
      <c r="AB20" s="606"/>
      <c r="AC20" s="606"/>
      <c r="AD20" s="606"/>
      <c r="AE20" s="428"/>
      <c r="AF20" s="265"/>
      <c r="AG20" s="265"/>
      <c r="AH20" s="265"/>
      <c r="AI20" s="265"/>
      <c r="AJ20" s="265"/>
      <c r="AK20" s="265"/>
      <c r="AL20" s="265"/>
      <c r="AM20" s="265"/>
    </row>
    <row r="21" spans="2:39" ht="37.5" customHeight="1">
      <c r="B21" s="273"/>
      <c r="C21" s="828" t="s">
        <v>635</v>
      </c>
      <c r="D21" s="828"/>
      <c r="E21" s="828"/>
      <c r="F21" s="828"/>
      <c r="G21" s="828"/>
      <c r="H21" s="828"/>
      <c r="I21" s="828"/>
      <c r="J21" s="828"/>
      <c r="K21" s="828"/>
      <c r="L21" s="828"/>
      <c r="M21" s="828"/>
      <c r="N21" s="828"/>
      <c r="O21" s="828"/>
      <c r="P21" s="828"/>
      <c r="Q21" s="828"/>
      <c r="R21" s="828"/>
      <c r="S21" s="828"/>
      <c r="T21" s="828"/>
      <c r="U21" s="828"/>
      <c r="V21" s="828"/>
      <c r="W21" s="828"/>
      <c r="X21" s="828"/>
      <c r="Y21" s="606"/>
      <c r="Z21" s="606"/>
      <c r="AA21" s="606"/>
      <c r="AB21" s="606"/>
      <c r="AC21" s="606"/>
      <c r="AD21" s="606"/>
      <c r="AE21" s="276"/>
      <c r="AF21" s="265"/>
      <c r="AG21" s="265"/>
      <c r="AH21" s="265"/>
      <c r="AI21" s="265"/>
      <c r="AJ21" s="265"/>
      <c r="AK21" s="265"/>
      <c r="AL21" s="265"/>
      <c r="AM21" s="265"/>
    </row>
    <row r="22" spans="2:39" ht="54.75" customHeight="1">
      <c r="B22" s="273"/>
      <c r="C22" s="828" t="s">
        <v>619</v>
      </c>
      <c r="D22" s="828"/>
      <c r="E22" s="828"/>
      <c r="F22" s="828"/>
      <c r="G22" s="828"/>
      <c r="H22" s="828"/>
      <c r="I22" s="828"/>
      <c r="J22" s="828"/>
      <c r="K22" s="828"/>
      <c r="L22" s="828"/>
      <c r="M22" s="828"/>
      <c r="N22" s="828"/>
      <c r="O22" s="828"/>
      <c r="P22" s="828"/>
      <c r="Q22" s="828"/>
      <c r="R22" s="828"/>
      <c r="S22" s="828"/>
      <c r="T22" s="828"/>
      <c r="U22" s="828"/>
      <c r="V22" s="828"/>
      <c r="W22" s="828"/>
      <c r="X22" s="82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9"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9"/>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9" t="s">
        <v>211</v>
      </c>
      <c r="C34" s="821" t="s">
        <v>33</v>
      </c>
      <c r="D34" s="284" t="s">
        <v>421</v>
      </c>
      <c r="E34" s="823" t="s">
        <v>209</v>
      </c>
      <c r="F34" s="824"/>
      <c r="G34" s="824"/>
      <c r="H34" s="824"/>
      <c r="I34" s="824"/>
      <c r="J34" s="824"/>
      <c r="K34" s="824"/>
      <c r="L34" s="824"/>
      <c r="M34" s="825"/>
      <c r="N34" s="826" t="s">
        <v>213</v>
      </c>
      <c r="O34" s="284" t="s">
        <v>422</v>
      </c>
      <c r="P34" s="823" t="s">
        <v>212</v>
      </c>
      <c r="Q34" s="824"/>
      <c r="R34" s="824"/>
      <c r="S34" s="824"/>
      <c r="T34" s="824"/>
      <c r="U34" s="824"/>
      <c r="V34" s="824"/>
      <c r="W34" s="824"/>
      <c r="X34" s="825"/>
      <c r="Y34" s="816" t="s">
        <v>243</v>
      </c>
      <c r="Z34" s="817"/>
      <c r="AA34" s="817"/>
      <c r="AB34" s="817"/>
      <c r="AC34" s="817"/>
      <c r="AD34" s="817"/>
      <c r="AE34" s="817"/>
      <c r="AF34" s="817"/>
      <c r="AG34" s="817"/>
      <c r="AH34" s="817"/>
      <c r="AI34" s="817"/>
      <c r="AJ34" s="817"/>
      <c r="AK34" s="817"/>
      <c r="AL34" s="817"/>
      <c r="AM34" s="818"/>
    </row>
    <row r="35" spans="1:39" ht="65.25" customHeight="1">
      <c r="B35" s="820"/>
      <c r="C35" s="822"/>
      <c r="D35" s="285">
        <v>2015</v>
      </c>
      <c r="E35" s="285">
        <v>2016</v>
      </c>
      <c r="F35" s="285">
        <v>2017</v>
      </c>
      <c r="G35" s="285">
        <v>2018</v>
      </c>
      <c r="H35" s="285">
        <v>2019</v>
      </c>
      <c r="I35" s="285">
        <v>2020</v>
      </c>
      <c r="J35" s="285">
        <v>2021</v>
      </c>
      <c r="K35" s="285">
        <v>2022</v>
      </c>
      <c r="L35" s="285">
        <v>2023</v>
      </c>
      <c r="M35" s="429">
        <v>2024</v>
      </c>
      <c r="N35" s="82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 Light</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678</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9" t="s">
        <v>211</v>
      </c>
      <c r="C217" s="821" t="s">
        <v>33</v>
      </c>
      <c r="D217" s="284" t="s">
        <v>421</v>
      </c>
      <c r="E217" s="823" t="s">
        <v>209</v>
      </c>
      <c r="F217" s="824"/>
      <c r="G217" s="824"/>
      <c r="H217" s="824"/>
      <c r="I217" s="824"/>
      <c r="J217" s="824"/>
      <c r="K217" s="824"/>
      <c r="L217" s="824"/>
      <c r="M217" s="825"/>
      <c r="N217" s="826" t="s">
        <v>213</v>
      </c>
      <c r="O217" s="284" t="s">
        <v>422</v>
      </c>
      <c r="P217" s="823" t="s">
        <v>212</v>
      </c>
      <c r="Q217" s="824"/>
      <c r="R217" s="824"/>
      <c r="S217" s="824"/>
      <c r="T217" s="824"/>
      <c r="U217" s="824"/>
      <c r="V217" s="824"/>
      <c r="W217" s="824"/>
      <c r="X217" s="825"/>
      <c r="Y217" s="816" t="s">
        <v>243</v>
      </c>
      <c r="Z217" s="817"/>
      <c r="AA217" s="817"/>
      <c r="AB217" s="817"/>
      <c r="AC217" s="817"/>
      <c r="AD217" s="817"/>
      <c r="AE217" s="817"/>
      <c r="AF217" s="817"/>
      <c r="AG217" s="817"/>
      <c r="AH217" s="817"/>
      <c r="AI217" s="817"/>
      <c r="AJ217" s="817"/>
      <c r="AK217" s="817"/>
      <c r="AL217" s="817"/>
      <c r="AM217" s="818"/>
    </row>
    <row r="218" spans="1:39" ht="60.75" customHeight="1">
      <c r="B218" s="820"/>
      <c r="C218" s="822"/>
      <c r="D218" s="285">
        <v>2016</v>
      </c>
      <c r="E218" s="285">
        <v>2017</v>
      </c>
      <c r="F218" s="285">
        <v>2018</v>
      </c>
      <c r="G218" s="285">
        <v>2019</v>
      </c>
      <c r="H218" s="285">
        <v>2020</v>
      </c>
      <c r="I218" s="285">
        <v>2021</v>
      </c>
      <c r="J218" s="285">
        <v>2022</v>
      </c>
      <c r="K218" s="285">
        <v>2023</v>
      </c>
      <c r="L218" s="285">
        <v>2024</v>
      </c>
      <c r="M218" s="285">
        <v>2025</v>
      </c>
      <c r="N218" s="82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 Light</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1497693</v>
      </c>
      <c r="E288" s="295">
        <v>1497693</v>
      </c>
      <c r="F288" s="295">
        <v>1497693</v>
      </c>
      <c r="G288" s="295">
        <v>1497693</v>
      </c>
      <c r="H288" s="295">
        <v>1497693</v>
      </c>
      <c r="I288" s="295"/>
      <c r="J288" s="295"/>
      <c r="K288" s="295"/>
      <c r="L288" s="295"/>
      <c r="M288" s="295"/>
      <c r="N288" s="291"/>
      <c r="O288" s="295">
        <v>98</v>
      </c>
      <c r="P288" s="295">
        <v>98</v>
      </c>
      <c r="Q288" s="295">
        <v>98</v>
      </c>
      <c r="R288" s="295">
        <v>98</v>
      </c>
      <c r="S288" s="295">
        <v>98</v>
      </c>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174425</v>
      </c>
      <c r="E289" s="295">
        <v>174425</v>
      </c>
      <c r="F289" s="295">
        <v>174425</v>
      </c>
      <c r="G289" s="295">
        <v>174425</v>
      </c>
      <c r="H289" s="295">
        <v>174425</v>
      </c>
      <c r="I289" s="295"/>
      <c r="J289" s="295"/>
      <c r="K289" s="295"/>
      <c r="L289" s="295"/>
      <c r="M289" s="295"/>
      <c r="N289" s="291"/>
      <c r="O289" s="295">
        <v>11</v>
      </c>
      <c r="P289" s="295">
        <v>11</v>
      </c>
      <c r="Q289" s="295">
        <v>11</v>
      </c>
      <c r="R289" s="295">
        <v>11</v>
      </c>
      <c r="S289" s="295">
        <v>11</v>
      </c>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282465</v>
      </c>
      <c r="E291" s="295">
        <v>282465</v>
      </c>
      <c r="F291" s="295">
        <v>282465</v>
      </c>
      <c r="G291" s="295">
        <v>282465</v>
      </c>
      <c r="H291" s="295">
        <v>282465</v>
      </c>
      <c r="I291" s="295"/>
      <c r="J291" s="295"/>
      <c r="K291" s="295"/>
      <c r="L291" s="295"/>
      <c r="M291" s="295"/>
      <c r="N291" s="291"/>
      <c r="O291" s="295">
        <v>82</v>
      </c>
      <c r="P291" s="295">
        <v>82</v>
      </c>
      <c r="Q291" s="295">
        <v>82</v>
      </c>
      <c r="R291" s="295">
        <v>82</v>
      </c>
      <c r="S291" s="295">
        <v>82</v>
      </c>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3986</v>
      </c>
      <c r="E292" s="295">
        <v>3986</v>
      </c>
      <c r="F292" s="295">
        <v>3986</v>
      </c>
      <c r="G292" s="295">
        <v>3986</v>
      </c>
      <c r="H292" s="295">
        <v>3986</v>
      </c>
      <c r="I292" s="295"/>
      <c r="J292" s="295"/>
      <c r="K292" s="295"/>
      <c r="L292" s="295"/>
      <c r="M292" s="295"/>
      <c r="N292" s="291"/>
      <c r="O292" s="295">
        <v>1</v>
      </c>
      <c r="P292" s="295">
        <v>1</v>
      </c>
      <c r="Q292" s="295">
        <v>1</v>
      </c>
      <c r="R292" s="295">
        <v>1</v>
      </c>
      <c r="S292" s="295">
        <v>1</v>
      </c>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17277</v>
      </c>
      <c r="E297" s="295">
        <v>17277</v>
      </c>
      <c r="F297" s="295">
        <v>17277</v>
      </c>
      <c r="G297" s="295">
        <v>17277</v>
      </c>
      <c r="H297" s="295">
        <v>17277</v>
      </c>
      <c r="I297" s="295"/>
      <c r="J297" s="295"/>
      <c r="K297" s="295"/>
      <c r="L297" s="295"/>
      <c r="M297" s="295"/>
      <c r="N297" s="291"/>
      <c r="O297" s="295">
        <v>3</v>
      </c>
      <c r="P297" s="295">
        <v>3</v>
      </c>
      <c r="Q297" s="295">
        <v>3</v>
      </c>
      <c r="R297" s="295">
        <v>3</v>
      </c>
      <c r="S297" s="295">
        <v>3</v>
      </c>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2551962</v>
      </c>
      <c r="E304" s="295">
        <v>2492476</v>
      </c>
      <c r="F304" s="295">
        <v>2492476</v>
      </c>
      <c r="G304" s="295">
        <v>2492476</v>
      </c>
      <c r="H304" s="295">
        <v>2492476</v>
      </c>
      <c r="I304" s="295"/>
      <c r="J304" s="295"/>
      <c r="K304" s="295"/>
      <c r="L304" s="295"/>
      <c r="M304" s="295"/>
      <c r="N304" s="295">
        <v>12</v>
      </c>
      <c r="O304" s="295">
        <v>353</v>
      </c>
      <c r="P304" s="295">
        <v>343</v>
      </c>
      <c r="Q304" s="295">
        <v>343</v>
      </c>
      <c r="R304" s="295">
        <v>343</v>
      </c>
      <c r="S304" s="295">
        <v>343</v>
      </c>
      <c r="T304" s="295"/>
      <c r="U304" s="295"/>
      <c r="V304" s="295"/>
      <c r="W304" s="295"/>
      <c r="X304" s="295"/>
      <c r="Y304" s="426"/>
      <c r="Z304" s="410">
        <v>0.25259999999999999</v>
      </c>
      <c r="AA304" s="410">
        <v>0.7298</v>
      </c>
      <c r="AB304" s="410">
        <f>77264.92/SUM(D304:D305)</f>
        <v>1.7622287604059754E-2</v>
      </c>
      <c r="AC304" s="410"/>
      <c r="AD304" s="410"/>
      <c r="AE304" s="410"/>
      <c r="AF304" s="410"/>
      <c r="AG304" s="415"/>
      <c r="AH304" s="415"/>
      <c r="AI304" s="415"/>
      <c r="AJ304" s="415"/>
      <c r="AK304" s="415"/>
      <c r="AL304" s="415"/>
      <c r="AM304" s="296">
        <f>SUM(Y304:AL304)</f>
        <v>1.0000222876040596</v>
      </c>
    </row>
    <row r="305" spans="1:39" outlineLevel="1">
      <c r="B305" s="294" t="s">
        <v>289</v>
      </c>
      <c r="C305" s="291" t="s">
        <v>163</v>
      </c>
      <c r="D305" s="295">
        <v>1832538</v>
      </c>
      <c r="E305" s="295">
        <v>1892023</v>
      </c>
      <c r="F305" s="295">
        <v>1908451</v>
      </c>
      <c r="G305" s="295">
        <v>1908451</v>
      </c>
      <c r="H305" s="295">
        <v>1908451</v>
      </c>
      <c r="I305" s="295"/>
      <c r="J305" s="295"/>
      <c r="K305" s="295"/>
      <c r="L305" s="295"/>
      <c r="M305" s="295"/>
      <c r="N305" s="295">
        <f>N304</f>
        <v>12</v>
      </c>
      <c r="O305" s="295">
        <v>38</v>
      </c>
      <c r="P305" s="295">
        <v>49</v>
      </c>
      <c r="Q305" s="295">
        <v>50</v>
      </c>
      <c r="R305" s="295">
        <v>50</v>
      </c>
      <c r="S305" s="295">
        <v>50</v>
      </c>
      <c r="T305" s="295"/>
      <c r="U305" s="295"/>
      <c r="V305" s="295"/>
      <c r="W305" s="295"/>
      <c r="X305" s="295"/>
      <c r="Y305" s="411">
        <f>Y304</f>
        <v>0</v>
      </c>
      <c r="Z305" s="411">
        <f t="shared" ref="Z305" si="811">Z304</f>
        <v>0.25259999999999999</v>
      </c>
      <c r="AA305" s="411">
        <f t="shared" ref="AA305" si="812">AA304</f>
        <v>0.7298</v>
      </c>
      <c r="AB305" s="411">
        <f t="shared" ref="AB305" si="813">AB304</f>
        <v>1.7622287604059754E-2</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1202894</v>
      </c>
      <c r="E307" s="295">
        <v>1202894</v>
      </c>
      <c r="F307" s="295">
        <v>1193244</v>
      </c>
      <c r="G307" s="295">
        <v>1120987</v>
      </c>
      <c r="H307" s="295">
        <v>1024057</v>
      </c>
      <c r="I307" s="295"/>
      <c r="J307" s="295"/>
      <c r="K307" s="295"/>
      <c r="L307" s="295"/>
      <c r="M307" s="295"/>
      <c r="N307" s="295">
        <v>12</v>
      </c>
      <c r="O307" s="295">
        <v>220</v>
      </c>
      <c r="P307" s="295">
        <v>220</v>
      </c>
      <c r="Q307" s="295">
        <v>219</v>
      </c>
      <c r="R307" s="295">
        <v>214</v>
      </c>
      <c r="S307" s="295">
        <v>202</v>
      </c>
      <c r="T307" s="295"/>
      <c r="U307" s="295"/>
      <c r="V307" s="295"/>
      <c r="W307" s="295"/>
      <c r="X307" s="295"/>
      <c r="Y307" s="426"/>
      <c r="Z307" s="410">
        <v>0.98</v>
      </c>
      <c r="AA307" s="410">
        <v>0.02</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345249</v>
      </c>
      <c r="E308" s="295">
        <v>345249</v>
      </c>
      <c r="F308" s="295">
        <v>341754</v>
      </c>
      <c r="G308" s="295">
        <v>317741</v>
      </c>
      <c r="H308" s="295">
        <v>281284</v>
      </c>
      <c r="I308" s="295"/>
      <c r="J308" s="295"/>
      <c r="K308" s="295"/>
      <c r="L308" s="295"/>
      <c r="M308" s="295"/>
      <c r="N308" s="295">
        <f>N307</f>
        <v>12</v>
      </c>
      <c r="O308" s="295">
        <v>70</v>
      </c>
      <c r="P308" s="295">
        <v>70</v>
      </c>
      <c r="Q308" s="295">
        <v>69</v>
      </c>
      <c r="R308" s="295">
        <v>67</v>
      </c>
      <c r="S308" s="295">
        <v>63</v>
      </c>
      <c r="T308" s="295"/>
      <c r="U308" s="295"/>
      <c r="V308" s="295"/>
      <c r="W308" s="295"/>
      <c r="X308" s="295"/>
      <c r="Y308" s="411">
        <f>Y307</f>
        <v>0</v>
      </c>
      <c r="Z308" s="411">
        <f t="shared" ref="Z308" si="824">Z307</f>
        <v>0.98</v>
      </c>
      <c r="AA308" s="411">
        <f t="shared" ref="AA308" si="825">AA307</f>
        <v>0.02</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739</v>
      </c>
      <c r="C332" s="291" t="s">
        <v>25</v>
      </c>
      <c r="D332" s="295">
        <v>239312</v>
      </c>
      <c r="E332" s="295">
        <v>239312</v>
      </c>
      <c r="F332" s="295">
        <v>239312</v>
      </c>
      <c r="G332" s="295">
        <v>239312</v>
      </c>
      <c r="H332" s="295">
        <v>239312</v>
      </c>
      <c r="I332" s="295"/>
      <c r="J332" s="295"/>
      <c r="K332" s="295"/>
      <c r="L332" s="295"/>
      <c r="M332" s="295"/>
      <c r="N332" s="295">
        <v>0</v>
      </c>
      <c r="O332" s="295">
        <v>15</v>
      </c>
      <c r="P332" s="295">
        <v>15</v>
      </c>
      <c r="Q332" s="295">
        <v>15</v>
      </c>
      <c r="R332" s="295">
        <v>15</v>
      </c>
      <c r="S332" s="295">
        <v>15</v>
      </c>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1</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8147801</v>
      </c>
      <c r="E378" s="329"/>
      <c r="F378" s="329"/>
      <c r="G378" s="329"/>
      <c r="H378" s="329"/>
      <c r="I378" s="329"/>
      <c r="J378" s="329"/>
      <c r="K378" s="329"/>
      <c r="L378" s="329"/>
      <c r="M378" s="329"/>
      <c r="N378" s="329"/>
      <c r="O378" s="329">
        <f>SUM(O221:O376)</f>
        <v>891</v>
      </c>
      <c r="P378" s="329"/>
      <c r="Q378" s="329"/>
      <c r="R378" s="329"/>
      <c r="S378" s="329"/>
      <c r="T378" s="329"/>
      <c r="U378" s="329"/>
      <c r="V378" s="329"/>
      <c r="W378" s="329"/>
      <c r="X378" s="329"/>
      <c r="Y378" s="329">
        <f>IF(Y219="kWh",SUMPRODUCT(D221:D376,Y221:Y376))</f>
        <v>2215158</v>
      </c>
      <c r="Z378" s="329">
        <f>IF(Z219="kWh",SUMPRODUCT(D221:D376,Z221:Z376))</f>
        <v>2624704.84</v>
      </c>
      <c r="AA378" s="329">
        <f>IF(AA219="kw",SUMPRODUCT(N221:N376,O221:O376,AA221:AA376),SUMPRODUCT(D221:D376,AA221:AA376))</f>
        <v>3493.8216000000002</v>
      </c>
      <c r="AB378" s="329">
        <f>IF(AB219="kw",SUMPRODUCT(N221:N376,O221:O376,AB221:AB376),SUMPRODUCT(D221:D376,AB221:AB376))</f>
        <v>82.683773438248366</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1.52E-2</v>
      </c>
      <c r="Z381" s="341">
        <f>HLOOKUP(Z$35,'3.  Distribution Rates'!$C$122:$P$133,8,FALSE)</f>
        <v>2.3E-2</v>
      </c>
      <c r="AA381" s="341">
        <f>HLOOKUP(AA$35,'3.  Distribution Rates'!$C$122:$P$133,8,FALSE)</f>
        <v>6.6886999999999999</v>
      </c>
      <c r="AB381" s="341">
        <f>HLOOKUP(AB$35,'3.  Distribution Rates'!$C$122:$P$133,8,FALSE)</f>
        <v>10.7965</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33670.401599999997</v>
      </c>
      <c r="Z387" s="378">
        <f t="shared" ref="Z387:AL387" si="1125">Z378*Z381</f>
        <v>60368.211319999995</v>
      </c>
      <c r="AA387" s="378">
        <f t="shared" si="1125"/>
        <v>23369.12453592</v>
      </c>
      <c r="AB387" s="378">
        <f t="shared" si="1125"/>
        <v>892.69535992604847</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118300.43281584603</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33670.401599999997</v>
      </c>
      <c r="Z388" s="346">
        <f t="shared" ref="Z388:AE388" si="1126">SUM(Z382:Z387)</f>
        <v>60368.211319999995</v>
      </c>
      <c r="AA388" s="346">
        <f t="shared" si="1126"/>
        <v>23369.12453592</v>
      </c>
      <c r="AB388" s="346">
        <f t="shared" si="1126"/>
        <v>892.69535992604847</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118300.43281584603</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118300.43281584603</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2215158</v>
      </c>
      <c r="Z392" s="291">
        <f>SUMPRODUCT(E221:E376,Z221:Z376)</f>
        <v>2624704.5874000001</v>
      </c>
      <c r="AA392" s="291">
        <f t="shared" ref="AA392:AL392" si="1130">IF(AA219="kw",SUMPRODUCT($N$221:$N$376,$P$221:$P$376,AA221:AA376),SUMPRODUCT($E$221:$E$376,AA221:AA376))</f>
        <v>3502.5792000000006</v>
      </c>
      <c r="AB392" s="291">
        <f t="shared" si="1130"/>
        <v>82.895240889497089</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2215158</v>
      </c>
      <c r="Z393" s="291">
        <f>SUMPRODUCT(F221:F376,Z221:Z376)</f>
        <v>2615972.2001999998</v>
      </c>
      <c r="AA393" s="291">
        <f t="shared" ref="AA393:AL393" si="1131">IF(AA219="kw",SUMPRODUCT($N$221:$N$376,$Q$221:$Q$376,AA221:AA376),SUMPRODUCT($F$221:$F$376,AA221:AA376))</f>
        <v>3510.8568</v>
      </c>
      <c r="AB393" s="291">
        <f t="shared" si="1131"/>
        <v>83.106708340745797</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2215158</v>
      </c>
      <c r="Z394" s="291">
        <f>SUMPRODUCT(G221:G376,Z221:Z376)</f>
        <v>2521627.6001999998</v>
      </c>
      <c r="AA394" s="291">
        <f t="shared" ref="AA394:AL394" si="1132">IF(AA219="kw",SUMPRODUCT($N$221:$N$376,$R$221:$R$376,AA221:AA376),SUMPRODUCT($G$221:$G$376,AA221:AA376))</f>
        <v>3509.1768000000002</v>
      </c>
      <c r="AB394" s="291">
        <f t="shared" si="1132"/>
        <v>83.106708340745797</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2215158</v>
      </c>
      <c r="Z395" s="326">
        <f>SUMPRODUCT(H221:H376,Z221:Z376)</f>
        <v>2390908.3401999995</v>
      </c>
      <c r="AA395" s="326">
        <f t="shared" ref="AA395:AL395" si="1133">IF(AA219="kw",SUMPRODUCT($N$221:$N$376,$S$221:$S$376,AA221:AA376),SUMPRODUCT($H$221:$H$376,AA221:AA376))</f>
        <v>3505.3368</v>
      </c>
      <c r="AB395" s="326">
        <f t="shared" si="1133"/>
        <v>83.106708340745797</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9" t="s">
        <v>211</v>
      </c>
      <c r="C400" s="821" t="s">
        <v>33</v>
      </c>
      <c r="D400" s="284" t="s">
        <v>421</v>
      </c>
      <c r="E400" s="823" t="s">
        <v>209</v>
      </c>
      <c r="F400" s="824"/>
      <c r="G400" s="824"/>
      <c r="H400" s="824"/>
      <c r="I400" s="824"/>
      <c r="J400" s="824"/>
      <c r="K400" s="824"/>
      <c r="L400" s="824"/>
      <c r="M400" s="825"/>
      <c r="N400" s="826" t="s">
        <v>213</v>
      </c>
      <c r="O400" s="284" t="s">
        <v>422</v>
      </c>
      <c r="P400" s="823" t="s">
        <v>212</v>
      </c>
      <c r="Q400" s="824"/>
      <c r="R400" s="824"/>
      <c r="S400" s="824"/>
      <c r="T400" s="824"/>
      <c r="U400" s="824"/>
      <c r="V400" s="824"/>
      <c r="W400" s="824"/>
      <c r="X400" s="825"/>
      <c r="Y400" s="816" t="s">
        <v>243</v>
      </c>
      <c r="Z400" s="817"/>
      <c r="AA400" s="817"/>
      <c r="AB400" s="817"/>
      <c r="AC400" s="817"/>
      <c r="AD400" s="817"/>
      <c r="AE400" s="817"/>
      <c r="AF400" s="817"/>
      <c r="AG400" s="817"/>
      <c r="AH400" s="817"/>
      <c r="AI400" s="817"/>
      <c r="AJ400" s="817"/>
      <c r="AK400" s="817"/>
      <c r="AL400" s="817"/>
      <c r="AM400" s="818"/>
    </row>
    <row r="401" spans="1:39" ht="61.5" customHeight="1">
      <c r="B401" s="820"/>
      <c r="C401" s="822"/>
      <c r="D401" s="285">
        <v>2017</v>
      </c>
      <c r="E401" s="285">
        <v>2018</v>
      </c>
      <c r="F401" s="285">
        <v>2019</v>
      </c>
      <c r="G401" s="285">
        <v>2020</v>
      </c>
      <c r="H401" s="285">
        <v>2021</v>
      </c>
      <c r="I401" s="285">
        <v>2022</v>
      </c>
      <c r="J401" s="285">
        <v>2023</v>
      </c>
      <c r="K401" s="285">
        <v>2024</v>
      </c>
      <c r="L401" s="285">
        <v>2025</v>
      </c>
      <c r="M401" s="285">
        <v>2026</v>
      </c>
      <c r="N401" s="82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 Light</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1638227</v>
      </c>
      <c r="E471" s="295">
        <v>1318579</v>
      </c>
      <c r="F471" s="295">
        <v>1318579</v>
      </c>
      <c r="G471" s="295">
        <v>1318579</v>
      </c>
      <c r="H471" s="295"/>
      <c r="I471" s="295"/>
      <c r="J471" s="295"/>
      <c r="K471" s="295"/>
      <c r="L471" s="295"/>
      <c r="M471" s="295"/>
      <c r="N471" s="291"/>
      <c r="O471" s="295">
        <v>114</v>
      </c>
      <c r="P471" s="295">
        <v>92</v>
      </c>
      <c r="Q471" s="295">
        <v>92</v>
      </c>
      <c r="R471" s="295">
        <v>92</v>
      </c>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2289.5164326187537</v>
      </c>
      <c r="E472" s="295">
        <f>AVERAGE(D472,G472)</f>
        <v>2280.1057871983976</v>
      </c>
      <c r="F472" s="295">
        <f>E472</f>
        <v>2280.1057871983976</v>
      </c>
      <c r="G472" s="295">
        <v>2270.695141778041</v>
      </c>
      <c r="H472" s="295"/>
      <c r="I472" s="295"/>
      <c r="J472" s="295"/>
      <c r="K472" s="295"/>
      <c r="L472" s="295"/>
      <c r="M472" s="295"/>
      <c r="N472" s="291"/>
      <c r="O472" s="295">
        <f>O471/D471*D472</f>
        <v>0.15932155514378527</v>
      </c>
      <c r="P472" s="295">
        <f>P471/E471*E472</f>
        <v>0.159087724301883</v>
      </c>
      <c r="Q472" s="295">
        <f>Q471/F471*F472</f>
        <v>0.159087724301883</v>
      </c>
      <c r="R472" s="295">
        <f>R471/G471*G472</f>
        <v>0.15843112399301049</v>
      </c>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171189</v>
      </c>
      <c r="E474" s="295">
        <v>171189</v>
      </c>
      <c r="F474" s="295">
        <v>171189</v>
      </c>
      <c r="G474" s="295">
        <v>171189</v>
      </c>
      <c r="H474" s="295"/>
      <c r="I474" s="295"/>
      <c r="J474" s="295"/>
      <c r="K474" s="295"/>
      <c r="L474" s="295"/>
      <c r="M474" s="295"/>
      <c r="N474" s="291"/>
      <c r="O474" s="295">
        <v>47</v>
      </c>
      <c r="P474" s="295">
        <v>47</v>
      </c>
      <c r="Q474" s="295">
        <v>47</v>
      </c>
      <c r="R474" s="295">
        <v>47</v>
      </c>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14490</v>
      </c>
      <c r="E475" s="295">
        <f>AVERAGE(D475,G475)</f>
        <v>14490</v>
      </c>
      <c r="F475" s="295">
        <f>E475</f>
        <v>14490</v>
      </c>
      <c r="G475" s="295">
        <v>14490</v>
      </c>
      <c r="H475" s="295"/>
      <c r="I475" s="295"/>
      <c r="J475" s="295"/>
      <c r="K475" s="295"/>
      <c r="L475" s="295"/>
      <c r="M475" s="295"/>
      <c r="N475" s="291"/>
      <c r="O475" s="295">
        <f>O474/D474*D475</f>
        <v>3.9782345828295043</v>
      </c>
      <c r="P475" s="295">
        <f>P474/E474*E475</f>
        <v>3.9782345828295043</v>
      </c>
      <c r="Q475" s="295">
        <f>Q474/F474*F475</f>
        <v>3.9782345828295043</v>
      </c>
      <c r="R475" s="295">
        <f>R474/G474*G475</f>
        <v>3.9782345828295043</v>
      </c>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428" t="s">
        <v>737</v>
      </c>
      <c r="C477" s="291" t="s">
        <v>25</v>
      </c>
      <c r="D477" s="295">
        <v>1537396</v>
      </c>
      <c r="E477" s="295">
        <v>1113365</v>
      </c>
      <c r="F477" s="295">
        <v>1113365</v>
      </c>
      <c r="G477" s="295">
        <v>1113365</v>
      </c>
      <c r="H477" s="295"/>
      <c r="I477" s="295"/>
      <c r="J477" s="295"/>
      <c r="K477" s="295"/>
      <c r="L477" s="295"/>
      <c r="M477" s="295"/>
      <c r="N477" s="291"/>
      <c r="O477" s="295">
        <v>105</v>
      </c>
      <c r="P477" s="295">
        <v>77</v>
      </c>
      <c r="Q477" s="295">
        <v>77</v>
      </c>
      <c r="R477" s="295">
        <v>77</v>
      </c>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163466</v>
      </c>
      <c r="E480" s="295">
        <v>163466</v>
      </c>
      <c r="F480" s="295">
        <v>163466</v>
      </c>
      <c r="G480" s="295">
        <v>163466</v>
      </c>
      <c r="H480" s="295"/>
      <c r="I480" s="295"/>
      <c r="J480" s="295"/>
      <c r="K480" s="295"/>
      <c r="L480" s="295"/>
      <c r="M480" s="295"/>
      <c r="N480" s="291"/>
      <c r="O480" s="295">
        <v>14</v>
      </c>
      <c r="P480" s="295">
        <v>14</v>
      </c>
      <c r="Q480" s="295">
        <v>14</v>
      </c>
      <c r="R480" s="295">
        <v>14</v>
      </c>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v>65334</v>
      </c>
      <c r="E484" s="295">
        <v>65334</v>
      </c>
      <c r="F484" s="295">
        <v>65334</v>
      </c>
      <c r="G484" s="295">
        <v>65334</v>
      </c>
      <c r="H484" s="295"/>
      <c r="I484" s="295"/>
      <c r="J484" s="295"/>
      <c r="K484" s="295"/>
      <c r="L484" s="295"/>
      <c r="M484" s="295"/>
      <c r="N484" s="295">
        <v>12</v>
      </c>
      <c r="O484" s="295">
        <v>3</v>
      </c>
      <c r="P484" s="295">
        <v>3</v>
      </c>
      <c r="Q484" s="295">
        <v>3</v>
      </c>
      <c r="R484" s="295">
        <v>3</v>
      </c>
      <c r="S484" s="295"/>
      <c r="T484" s="295"/>
      <c r="U484" s="295"/>
      <c r="V484" s="295"/>
      <c r="W484" s="295"/>
      <c r="X484" s="295"/>
      <c r="Y484" s="426"/>
      <c r="Z484" s="410">
        <v>0</v>
      </c>
      <c r="AA484" s="410">
        <v>1</v>
      </c>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1</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3373467</v>
      </c>
      <c r="E487" s="295">
        <v>3399033</v>
      </c>
      <c r="F487" s="295">
        <v>3399033</v>
      </c>
      <c r="G487" s="295">
        <v>3399033</v>
      </c>
      <c r="H487" s="295"/>
      <c r="I487" s="295"/>
      <c r="J487" s="295"/>
      <c r="K487" s="295"/>
      <c r="L487" s="295"/>
      <c r="M487" s="295"/>
      <c r="N487" s="295">
        <v>12</v>
      </c>
      <c r="O487" s="295">
        <v>682</v>
      </c>
      <c r="P487" s="295">
        <v>687</v>
      </c>
      <c r="Q487" s="295">
        <v>687</v>
      </c>
      <c r="R487" s="295">
        <v>687</v>
      </c>
      <c r="S487" s="295"/>
      <c r="T487" s="295"/>
      <c r="U487" s="295"/>
      <c r="V487" s="295"/>
      <c r="W487" s="295"/>
      <c r="X487" s="295"/>
      <c r="Y487" s="426"/>
      <c r="Z487" s="410">
        <v>0.1216</v>
      </c>
      <c r="AA487" s="410">
        <v>0.3513</v>
      </c>
      <c r="AB487" s="410">
        <v>0.52710000000000001</v>
      </c>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v>127357.60421760887</v>
      </c>
      <c r="E488" s="295">
        <f>AVERAGE(D488,G488)</f>
        <v>127042.70590978868</v>
      </c>
      <c r="F488" s="295">
        <f>E488</f>
        <v>127042.70590978868</v>
      </c>
      <c r="G488" s="295">
        <v>126727.8076019685</v>
      </c>
      <c r="H488" s="295"/>
      <c r="I488" s="295"/>
      <c r="J488" s="295"/>
      <c r="K488" s="295"/>
      <c r="L488" s="295"/>
      <c r="M488" s="295"/>
      <c r="N488" s="295">
        <f>N487</f>
        <v>12</v>
      </c>
      <c r="O488" s="295">
        <f>O487/D487*D488</f>
        <v>25.747364973900513</v>
      </c>
      <c r="P488" s="295">
        <f>P487/E487*E488</f>
        <v>25.677402649525561</v>
      </c>
      <c r="Q488" s="295">
        <f>Q487/F487*F488</f>
        <v>25.677402649525561</v>
      </c>
      <c r="R488" s="295">
        <f>R487/G487*G488</f>
        <v>25.613756566221145</v>
      </c>
      <c r="S488" s="295"/>
      <c r="T488" s="295"/>
      <c r="U488" s="295"/>
      <c r="V488" s="295"/>
      <c r="W488" s="295"/>
      <c r="X488" s="295"/>
      <c r="Y488" s="411">
        <f>Y487</f>
        <v>0</v>
      </c>
      <c r="Z488" s="411">
        <f t="shared" ref="Z488" si="1387">Z487</f>
        <v>0.1216</v>
      </c>
      <c r="AA488" s="411">
        <f t="shared" ref="AA488" si="1388">AA487</f>
        <v>0.3513</v>
      </c>
      <c r="AB488" s="411">
        <f t="shared" ref="AB488" si="1389">AB487</f>
        <v>0.52710000000000001</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368189</v>
      </c>
      <c r="E490" s="295">
        <v>368189</v>
      </c>
      <c r="F490" s="295">
        <v>364304</v>
      </c>
      <c r="G490" s="295">
        <v>341239</v>
      </c>
      <c r="H490" s="295"/>
      <c r="I490" s="295"/>
      <c r="J490" s="295"/>
      <c r="K490" s="295"/>
      <c r="L490" s="295"/>
      <c r="M490" s="295"/>
      <c r="N490" s="295">
        <v>12</v>
      </c>
      <c r="O490" s="295">
        <v>72</v>
      </c>
      <c r="P490" s="295">
        <v>72</v>
      </c>
      <c r="Q490" s="295">
        <v>71</v>
      </c>
      <c r="R490" s="295">
        <v>69</v>
      </c>
      <c r="S490" s="295"/>
      <c r="T490" s="295"/>
      <c r="U490" s="295"/>
      <c r="V490" s="295"/>
      <c r="W490" s="295"/>
      <c r="X490" s="295"/>
      <c r="Y490" s="426"/>
      <c r="Z490" s="410">
        <v>0.98</v>
      </c>
      <c r="AA490" s="410">
        <v>0.02</v>
      </c>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0.98</v>
      </c>
      <c r="AA491" s="411">
        <f t="shared" ref="AA491" si="1401">AA490</f>
        <v>0.02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v>11412</v>
      </c>
      <c r="E509" s="295">
        <v>11457</v>
      </c>
      <c r="F509" s="295">
        <v>11457</v>
      </c>
      <c r="G509" s="295">
        <v>8863</v>
      </c>
      <c r="H509" s="295"/>
      <c r="I509" s="295"/>
      <c r="J509" s="295"/>
      <c r="K509" s="295"/>
      <c r="L509" s="295"/>
      <c r="M509" s="295"/>
      <c r="N509" s="295">
        <v>0</v>
      </c>
      <c r="O509" s="295">
        <v>0</v>
      </c>
      <c r="P509" s="295">
        <v>0</v>
      </c>
      <c r="Q509" s="295">
        <v>0</v>
      </c>
      <c r="R509" s="295">
        <v>0</v>
      </c>
      <c r="S509" s="295"/>
      <c r="T509" s="295"/>
      <c r="U509" s="295"/>
      <c r="V509" s="295"/>
      <c r="W509" s="295"/>
      <c r="X509" s="295"/>
      <c r="Y509" s="426"/>
      <c r="Z509" s="410">
        <v>0.98</v>
      </c>
      <c r="AA509" s="410">
        <v>0.02</v>
      </c>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0.98</v>
      </c>
      <c r="AA510" s="411">
        <f t="shared" ref="AA510" si="1479">AA509</f>
        <v>0.02</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738</v>
      </c>
      <c r="C512" s="291" t="s">
        <v>25</v>
      </c>
      <c r="D512" s="295">
        <v>9309</v>
      </c>
      <c r="E512" s="295">
        <v>9309</v>
      </c>
      <c r="F512" s="295">
        <v>9309</v>
      </c>
      <c r="G512" s="295">
        <v>9309</v>
      </c>
      <c r="H512" s="295"/>
      <c r="I512" s="295"/>
      <c r="J512" s="295"/>
      <c r="K512" s="295"/>
      <c r="L512" s="295"/>
      <c r="M512" s="295"/>
      <c r="N512" s="295">
        <v>0</v>
      </c>
      <c r="O512" s="295">
        <v>2</v>
      </c>
      <c r="P512" s="295">
        <v>2</v>
      </c>
      <c r="Q512" s="295">
        <v>2</v>
      </c>
      <c r="R512" s="295">
        <v>2</v>
      </c>
      <c r="S512" s="295"/>
      <c r="T512" s="295"/>
      <c r="U512" s="295"/>
      <c r="V512" s="295"/>
      <c r="W512" s="295"/>
      <c r="X512" s="295"/>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736</v>
      </c>
      <c r="C515" s="291" t="s">
        <v>25</v>
      </c>
      <c r="D515" s="295">
        <v>385983</v>
      </c>
      <c r="E515" s="295">
        <v>385983</v>
      </c>
      <c r="F515" s="295">
        <v>385983</v>
      </c>
      <c r="G515" s="295">
        <v>385983</v>
      </c>
      <c r="H515" s="295"/>
      <c r="I515" s="295"/>
      <c r="J515" s="295"/>
      <c r="K515" s="295"/>
      <c r="L515" s="295"/>
      <c r="M515" s="295"/>
      <c r="N515" s="295">
        <v>0</v>
      </c>
      <c r="O515" s="295">
        <v>60</v>
      </c>
      <c r="P515" s="295">
        <v>60</v>
      </c>
      <c r="Q515" s="295">
        <v>60</v>
      </c>
      <c r="R515" s="295">
        <v>60</v>
      </c>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7868109.1206502272</v>
      </c>
      <c r="E561" s="329"/>
      <c r="F561" s="329"/>
      <c r="G561" s="329"/>
      <c r="H561" s="329"/>
      <c r="I561" s="329"/>
      <c r="J561" s="329"/>
      <c r="K561" s="329"/>
      <c r="L561" s="329"/>
      <c r="M561" s="329"/>
      <c r="N561" s="329"/>
      <c r="O561" s="329">
        <f>SUM(O404:O559)</f>
        <v>1128.8849211118738</v>
      </c>
      <c r="P561" s="329"/>
      <c r="Q561" s="329"/>
      <c r="R561" s="329"/>
      <c r="S561" s="329"/>
      <c r="T561" s="329"/>
      <c r="U561" s="329"/>
      <c r="V561" s="329"/>
      <c r="W561" s="329"/>
      <c r="X561" s="329"/>
      <c r="Y561" s="329">
        <f>IF(Y402="kWh",SUMPRODUCT(D404:D559,Y404:Y559))</f>
        <v>3922349.5164326187</v>
      </c>
      <c r="Z561" s="329">
        <f>IF(Z402="kWh",SUMPRODUCT(D404:D559,Z404:Z559))</f>
        <v>797709.25187286129</v>
      </c>
      <c r="AA561" s="329">
        <f>IF(AA402="kw",SUMPRODUCT(N404:N559,O404:O559,AA404:AA559),SUMPRODUCT(D404:D559,AA404:AA559))</f>
        <v>3036.8597917839752</v>
      </c>
      <c r="AB561" s="329">
        <f>IF(AB402="kw",SUMPRODUCT(N404:N559,O404:O559,AB404:AB559),SUMPRODUCT(D404:D559,AB404:AB559))</f>
        <v>4476.6436329329154</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1648000</v>
      </c>
      <c r="Z562" s="392">
        <f>HLOOKUP(Z218,'2. LRAMVA Threshold'!$B$42:$Q$53,9,FALSE)</f>
        <v>1312000</v>
      </c>
      <c r="AA562" s="392">
        <f>HLOOKUP(AA218,'2. LRAMVA Threshold'!$B$42:$Q$53,9,FALSE)</f>
        <v>25607</v>
      </c>
      <c r="AB562" s="392">
        <f>HLOOKUP(AB218,'2. LRAMVA Threshold'!$B$42:$Q$53,9,FALSE)</f>
        <v>2505</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1.2200000000000001E-2</v>
      </c>
      <c r="Z564" s="341">
        <f>HLOOKUP(Z$35,'3.  Distribution Rates'!$C$122:$P$133,9,FALSE)</f>
        <v>2.4400000000000002E-2</v>
      </c>
      <c r="AA564" s="341">
        <f>HLOOKUP(AA$35,'3.  Distribution Rates'!$C$122:$P$133,9,FALSE)</f>
        <v>7.0853999999999999</v>
      </c>
      <c r="AB564" s="341">
        <f>HLOOKUP(AB$35,'3.  Distribution Rates'!$C$122:$P$133,9,FALSE)</f>
        <v>8.4588000000000001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27024.927600000003</v>
      </c>
      <c r="Z570" s="378">
        <f>Z392*Z564</f>
        <v>64042.791932560009</v>
      </c>
      <c r="AA570" s="378">
        <f t="shared" ref="AA570:AL570" si="1701">AA392*AA564</f>
        <v>24817.174663680005</v>
      </c>
      <c r="AB570" s="378">
        <f>AB392*AB564</f>
        <v>701.19426363607795</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116586.08845987609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47852.664100477952</v>
      </c>
      <c r="Z571" s="378">
        <f t="shared" ref="Z571:AL571" si="1702">Z561*Z564</f>
        <v>19464.105745697816</v>
      </c>
      <c r="AA571" s="378">
        <f t="shared" si="1702"/>
        <v>21517.366368706178</v>
      </c>
      <c r="AB571" s="378">
        <f t="shared" si="1702"/>
        <v>37867.033162252948</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126701.16937713489</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74877.591700477962</v>
      </c>
      <c r="Z572" s="346">
        <f>SUM(Z565:Z571)</f>
        <v>83506.897678257825</v>
      </c>
      <c r="AA572" s="346">
        <f t="shared" ref="AA572:AE572" si="1703">SUM(AA565:AA571)</f>
        <v>46334.541032386187</v>
      </c>
      <c r="AB572" s="346">
        <f t="shared" si="1703"/>
        <v>38568.227425889025</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243287.25783701098</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20105.600000000002</v>
      </c>
      <c r="Z573" s="347">
        <f t="shared" ref="Z573:AE573" si="1705">Z562*Z564</f>
        <v>32012.800000000003</v>
      </c>
      <c r="AA573" s="347">
        <f t="shared" si="1705"/>
        <v>181435.83780000001</v>
      </c>
      <c r="AB573" s="347">
        <f t="shared" si="1705"/>
        <v>21189.294000000002</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254743.5318</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-11456.273962989013</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3178661.1057871981</v>
      </c>
      <c r="Z576" s="291">
        <f>SUMPRODUCT(E404:E559,Z404:Z559)</f>
        <v>800823.88583863026</v>
      </c>
      <c r="AA576" s="291">
        <f>IF(AA402="kw",SUMPRODUCT($N$404:$N$559,$P$404:$P$559,AA404:AA559),SUMPRODUCT($E$404:$E$559,AA404:AA559))</f>
        <v>3057.6428586093402</v>
      </c>
      <c r="AB576" s="291">
        <f>IF(AB402="kw",SUMPRODUCT($N$404:$N$559,$P$404:$P$559,AB404:AB559),SUMPRODUCT($E$404:$E$559,AB404:AB559))</f>
        <v>4507.8271072387788</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3178661.1057871981</v>
      </c>
      <c r="Z577" s="291">
        <f>SUMPRODUCT(F404:F559,Z404:Z559)</f>
        <v>797016.58583863021</v>
      </c>
      <c r="AA577" s="291">
        <f t="shared" ref="AA577:AL577" si="1708">IF(AA402="kw",SUMPRODUCT($N$404:$N$559,$Q$404:$Q$559,AA404:AA559),SUMPRODUCT($F$404:$F$559,AA404:AA559))</f>
        <v>3057.40285860934</v>
      </c>
      <c r="AB577" s="291">
        <f t="shared" si="1708"/>
        <v>4507.8271072387788</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3178651.6951417783</v>
      </c>
      <c r="Z578" s="326">
        <f>SUMPRODUCT(G404:G559,Z404:Z559)</f>
        <v>771832.47420439939</v>
      </c>
      <c r="AA578" s="326">
        <f t="shared" ref="AA578:AL578" si="1709">IF(AA402="kw",SUMPRODUCT($N$404:$N$559,$R$404:$R$559,AA404:AA559),SUMPRODUCT($G$404:$G$559,AA404:AA559))</f>
        <v>3056.654552180562</v>
      </c>
      <c r="AB578" s="326">
        <f t="shared" si="1709"/>
        <v>4507.4245330326621</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773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9" t="s">
        <v>211</v>
      </c>
      <c r="C583" s="821" t="s">
        <v>33</v>
      </c>
      <c r="D583" s="284" t="s">
        <v>421</v>
      </c>
      <c r="E583" s="823" t="s">
        <v>209</v>
      </c>
      <c r="F583" s="824"/>
      <c r="G583" s="824"/>
      <c r="H583" s="824"/>
      <c r="I583" s="824"/>
      <c r="J583" s="824"/>
      <c r="K583" s="824"/>
      <c r="L583" s="824"/>
      <c r="M583" s="825"/>
      <c r="N583" s="826" t="s">
        <v>213</v>
      </c>
      <c r="O583" s="284" t="s">
        <v>422</v>
      </c>
      <c r="P583" s="823" t="s">
        <v>212</v>
      </c>
      <c r="Q583" s="824"/>
      <c r="R583" s="824"/>
      <c r="S583" s="824"/>
      <c r="T583" s="824"/>
      <c r="U583" s="824"/>
      <c r="V583" s="824"/>
      <c r="W583" s="824"/>
      <c r="X583" s="825"/>
      <c r="Y583" s="816" t="s">
        <v>243</v>
      </c>
      <c r="Z583" s="817"/>
      <c r="AA583" s="817"/>
      <c r="AB583" s="817"/>
      <c r="AC583" s="817"/>
      <c r="AD583" s="817"/>
      <c r="AE583" s="817"/>
      <c r="AF583" s="817"/>
      <c r="AG583" s="817"/>
      <c r="AH583" s="817"/>
      <c r="AI583" s="817"/>
      <c r="AJ583" s="817"/>
      <c r="AK583" s="817"/>
      <c r="AL583" s="817"/>
      <c r="AM583" s="818"/>
    </row>
    <row r="584" spans="1:39" ht="68.25" customHeight="1">
      <c r="B584" s="820"/>
      <c r="C584" s="822"/>
      <c r="D584" s="285">
        <v>2018</v>
      </c>
      <c r="E584" s="285">
        <v>2019</v>
      </c>
      <c r="F584" s="285">
        <v>2020</v>
      </c>
      <c r="G584" s="285">
        <v>2021</v>
      </c>
      <c r="H584" s="285">
        <v>2022</v>
      </c>
      <c r="I584" s="285">
        <v>2023</v>
      </c>
      <c r="J584" s="285">
        <v>2024</v>
      </c>
      <c r="K584" s="285">
        <v>2025</v>
      </c>
      <c r="L584" s="285">
        <v>2026</v>
      </c>
      <c r="M584" s="285">
        <v>2027</v>
      </c>
      <c r="N584" s="82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 Light</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111831</v>
      </c>
      <c r="E657" s="295">
        <f>AVERAGE(D657,F657)</f>
        <v>111831</v>
      </c>
      <c r="F657" s="295">
        <v>111831</v>
      </c>
      <c r="G657" s="295"/>
      <c r="H657" s="295"/>
      <c r="I657" s="295"/>
      <c r="J657" s="295"/>
      <c r="K657" s="295"/>
      <c r="L657" s="295"/>
      <c r="M657" s="295"/>
      <c r="N657" s="291"/>
      <c r="O657" s="295">
        <f>O474/D474*D657</f>
        <v>30.703240278288909</v>
      </c>
      <c r="P657" s="295">
        <f>P474/E474*E657</f>
        <v>30.703240278288909</v>
      </c>
      <c r="Q657" s="295">
        <f>Q474/F474*F657</f>
        <v>30.703240278288909</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428" t="s">
        <v>737</v>
      </c>
      <c r="C660" s="291" t="s">
        <v>25</v>
      </c>
      <c r="D660" s="295">
        <v>658954.7957937374</v>
      </c>
      <c r="E660" s="295">
        <f>AVERAGE(D660,F660)</f>
        <v>656246.39789686864</v>
      </c>
      <c r="F660" s="295">
        <v>653538</v>
      </c>
      <c r="G660" s="295"/>
      <c r="H660" s="295"/>
      <c r="I660" s="295"/>
      <c r="J660" s="295"/>
      <c r="K660" s="295"/>
      <c r="L660" s="295"/>
      <c r="M660" s="295"/>
      <c r="N660" s="291"/>
      <c r="O660" s="295">
        <f>O477/D477*D660</f>
        <v>45.004835161755615</v>
      </c>
      <c r="P660" s="295">
        <f>P477/E477*E660</f>
        <v>45.385810258144346</v>
      </c>
      <c r="Q660" s="295">
        <f>Q477/F477*F660</f>
        <v>45.198498246307359</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12080.485591900348</v>
      </c>
      <c r="E663" s="295">
        <f>AVERAGE(D663,F663)</f>
        <v>11314.907932243532</v>
      </c>
      <c r="F663" s="295">
        <v>10549.330272586718</v>
      </c>
      <c r="G663" s="295"/>
      <c r="H663" s="295"/>
      <c r="I663" s="295"/>
      <c r="J663" s="295"/>
      <c r="K663" s="295"/>
      <c r="L663" s="295"/>
      <c r="M663" s="295"/>
      <c r="N663" s="291"/>
      <c r="O663" s="295">
        <f>O480/D480*D663</f>
        <v>1.0346298207982387</v>
      </c>
      <c r="P663" s="295">
        <f>P480/E480*E663</f>
        <v>0.96906213555974607</v>
      </c>
      <c r="Q663" s="295">
        <f>Q480/F480*F663</f>
        <v>0.90349445032125375</v>
      </c>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v>0</v>
      </c>
      <c r="AA667" s="410">
        <v>1</v>
      </c>
      <c r="AB667" s="410"/>
      <c r="AC667" s="410"/>
      <c r="AD667" s="410"/>
      <c r="AE667" s="410"/>
      <c r="AF667" s="415"/>
      <c r="AG667" s="415"/>
      <c r="AH667" s="415"/>
      <c r="AI667" s="415"/>
      <c r="AJ667" s="415"/>
      <c r="AK667" s="415"/>
      <c r="AL667" s="415"/>
      <c r="AM667" s="296">
        <f>SUM(Y667:AL667)</f>
        <v>1</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1</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3220984.1121572885</v>
      </c>
      <c r="E670" s="295">
        <f>AVERAGE(D670,F670)</f>
        <v>3213020.0612263298</v>
      </c>
      <c r="F670" s="295">
        <v>3205056.0102953711</v>
      </c>
      <c r="G670" s="295"/>
      <c r="H670" s="295"/>
      <c r="I670" s="295"/>
      <c r="J670" s="295"/>
      <c r="K670" s="295"/>
      <c r="L670" s="295"/>
      <c r="M670" s="295"/>
      <c r="N670" s="295">
        <v>12</v>
      </c>
      <c r="O670" s="295">
        <f>O487/D487*D670</f>
        <v>651.17315939099763</v>
      </c>
      <c r="P670" s="295">
        <f>P487/E487*E670</f>
        <v>649.40375161479415</v>
      </c>
      <c r="Q670" s="295">
        <f>Q487/F487*F670</f>
        <v>647.79408704561558</v>
      </c>
      <c r="R670" s="295"/>
      <c r="S670" s="295"/>
      <c r="T670" s="295"/>
      <c r="U670" s="295"/>
      <c r="V670" s="295"/>
      <c r="W670" s="295"/>
      <c r="X670" s="295"/>
      <c r="Y670" s="426"/>
      <c r="Z670" s="410">
        <v>0.2571</v>
      </c>
      <c r="AA670" s="410">
        <v>0.7429</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0.2571</v>
      </c>
      <c r="AA671" s="411">
        <f t="shared" ref="AA671" si="1964">AA670</f>
        <v>0.7429</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9784.2155296319215</v>
      </c>
      <c r="E673" s="295">
        <f>AVERAGE(D673,F673)</f>
        <v>8037.6764501147418</v>
      </c>
      <c r="F673" s="295">
        <v>6291.137370597562</v>
      </c>
      <c r="G673" s="295"/>
      <c r="H673" s="295"/>
      <c r="I673" s="295"/>
      <c r="J673" s="295"/>
      <c r="K673" s="295"/>
      <c r="L673" s="295"/>
      <c r="M673" s="295"/>
      <c r="N673" s="295">
        <v>12</v>
      </c>
      <c r="O673" s="295">
        <f>O490/D490*D673</f>
        <v>1.9133203820143958</v>
      </c>
      <c r="P673" s="295">
        <f>P490/E490*E673</f>
        <v>1.5717816241339677</v>
      </c>
      <c r="Q673" s="295">
        <f>Q490/F490*F673</f>
        <v>1.2260934640092531</v>
      </c>
      <c r="R673" s="295"/>
      <c r="S673" s="295"/>
      <c r="T673" s="295"/>
      <c r="U673" s="295"/>
      <c r="V673" s="295"/>
      <c r="W673" s="295"/>
      <c r="X673" s="295"/>
      <c r="Y673" s="426"/>
      <c r="Z673" s="410">
        <v>0.98</v>
      </c>
      <c r="AA673" s="410">
        <v>0.02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0.98</v>
      </c>
      <c r="AA674" s="411">
        <f t="shared" ref="AA674" si="1977">AA673</f>
        <v>0.02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63161.788333333301</v>
      </c>
      <c r="E692" s="295">
        <f>AVERAGE(D692,F692)</f>
        <v>63161.788333333301</v>
      </c>
      <c r="F692" s="295">
        <v>63161.788333333301</v>
      </c>
      <c r="G692" s="295"/>
      <c r="H692" s="295"/>
      <c r="I692" s="295"/>
      <c r="J692" s="295"/>
      <c r="K692" s="295"/>
      <c r="L692" s="295"/>
      <c r="M692" s="295"/>
      <c r="N692" s="295">
        <v>0</v>
      </c>
      <c r="O692" s="295">
        <f>O509/D509*D692</f>
        <v>0</v>
      </c>
      <c r="P692" s="295">
        <f>P509/E509*E692</f>
        <v>0</v>
      </c>
      <c r="Q692" s="295">
        <f>Q509/F509*F692</f>
        <v>0</v>
      </c>
      <c r="R692" s="295"/>
      <c r="S692" s="295"/>
      <c r="T692" s="295"/>
      <c r="U692" s="295"/>
      <c r="V692" s="295"/>
      <c r="W692" s="295"/>
      <c r="X692" s="295"/>
      <c r="Y692" s="426"/>
      <c r="Z692" s="410">
        <v>0.98</v>
      </c>
      <c r="AA692" s="410">
        <v>0.02</v>
      </c>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0.98</v>
      </c>
      <c r="AA693" s="411">
        <f t="shared" ref="AA693" si="2055">AA692</f>
        <v>0.02</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736</v>
      </c>
      <c r="C698" s="291" t="s">
        <v>25</v>
      </c>
      <c r="D698" s="295">
        <v>31643.004799999973</v>
      </c>
      <c r="E698" s="295">
        <v>31643.004799999973</v>
      </c>
      <c r="F698" s="295">
        <v>31643.004799999973</v>
      </c>
      <c r="G698" s="295"/>
      <c r="H698" s="295"/>
      <c r="I698" s="295"/>
      <c r="J698" s="295"/>
      <c r="K698" s="295"/>
      <c r="L698" s="295"/>
      <c r="M698" s="295"/>
      <c r="N698" s="295">
        <v>0</v>
      </c>
      <c r="O698" s="295">
        <f>O515/D515*D698</f>
        <v>4.91881841428249</v>
      </c>
      <c r="P698" s="295">
        <f>P515/E515*E698</f>
        <v>4.91881841428249</v>
      </c>
      <c r="Q698" s="295">
        <f>Q515/F515*F698</f>
        <v>4.91881841428249</v>
      </c>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4108439.402205891</v>
      </c>
      <c r="E744" s="329"/>
      <c r="F744" s="329"/>
      <c r="G744" s="329"/>
      <c r="H744" s="329"/>
      <c r="I744" s="329"/>
      <c r="J744" s="329"/>
      <c r="K744" s="329"/>
      <c r="L744" s="329"/>
      <c r="M744" s="329"/>
      <c r="N744" s="329"/>
      <c r="O744" s="329">
        <f>SUM(O587:O742)</f>
        <v>734.74800344813718</v>
      </c>
      <c r="P744" s="329"/>
      <c r="Q744" s="329"/>
      <c r="R744" s="329"/>
      <c r="S744" s="329"/>
      <c r="T744" s="329"/>
      <c r="U744" s="329"/>
      <c r="V744" s="329"/>
      <c r="W744" s="329"/>
      <c r="X744" s="329"/>
      <c r="Y744" s="329">
        <f>IF(Y585="kWh",SUMPRODUCT(D587:D742,Y587:Y742))</f>
        <v>814509.2861856377</v>
      </c>
      <c r="Z744" s="329">
        <f>IF(Z585="kWh",SUMPRODUCT(D587:D742,Z587:Z742))</f>
        <v>899602.09902134468</v>
      </c>
      <c r="AA744" s="329">
        <f>IF(AA585="kw",SUMPRODUCT(N587:N742,O587:O742,AA587:AA742),SUMPRODUCT(D587:D742,AA587:AA742))</f>
        <v>5805.5376782305493</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1648000</v>
      </c>
      <c r="Z745" s="392">
        <f>HLOOKUP(Z401,'2. LRAMVA Threshold'!$B$42:$Q$53,10,FALSE)</f>
        <v>1312000</v>
      </c>
      <c r="AA745" s="392">
        <f>HLOOKUP(AA401,'2. LRAMVA Threshold'!$B$42:$Q$53,10,FALSE)</f>
        <v>25607</v>
      </c>
      <c r="AB745" s="392">
        <f>HLOOKUP(AB401,'2. LRAMVA Threshold'!$B$42:$Q$53,10,FALSE)</f>
        <v>2505</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8.2000000000000007E-3</v>
      </c>
      <c r="Z747" s="341">
        <f>HLOOKUP(Z$35,'3.  Distribution Rates'!$C$122:$P$133,10,FALSE)</f>
        <v>2.46E-2</v>
      </c>
      <c r="AA747" s="341">
        <f>HLOOKUP(AA$35,'3.  Distribution Rates'!$C$122:$P$133,10,FALSE)</f>
        <v>7.1384999999999996</v>
      </c>
      <c r="AB747" s="341">
        <f>HLOOKUP(AB$35,'3.  Distribution Rates'!$C$122:$P$133,10,FALSE)</f>
        <v>8.5221999999999998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18164.295600000001</v>
      </c>
      <c r="Z753" s="378">
        <f t="shared" si="2277"/>
        <v>64352.916124919997</v>
      </c>
      <c r="AA753" s="378">
        <f t="shared" si="2277"/>
        <v>25062.251266799998</v>
      </c>
      <c r="AB753" s="378">
        <f t="shared" si="2277"/>
        <v>708.2519898215038</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108287.7149815415</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26065.021067455025</v>
      </c>
      <c r="Z754" s="378">
        <f t="shared" si="2278"/>
        <v>19700.267591630305</v>
      </c>
      <c r="AA754" s="378">
        <f t="shared" si="2278"/>
        <v>21826.983546182775</v>
      </c>
      <c r="AB754" s="378">
        <f t="shared" si="2278"/>
        <v>38416.604173310319</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106008.87637857842</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6678.9761467222297</v>
      </c>
      <c r="Z755" s="378">
        <f t="shared" ref="Z755:AL755" si="2279">Z744*Z747</f>
        <v>22130.211635925079</v>
      </c>
      <c r="AA755" s="378">
        <f t="shared" si="2279"/>
        <v>41442.830716048775</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70252.018498696081</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50908.292814177257</v>
      </c>
      <c r="Z756" s="346">
        <f>SUM(Z748:Z755)</f>
        <v>106183.39535247537</v>
      </c>
      <c r="AA756" s="346">
        <f t="shared" ref="AA756:AE756" si="2280">SUM(AA748:AA755)</f>
        <v>88332.065529031548</v>
      </c>
      <c r="AB756" s="346">
        <f t="shared" si="2280"/>
        <v>39124.856163131823</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284548.60985881602</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13513.6</v>
      </c>
      <c r="Z757" s="347">
        <f t="shared" ref="Z757:AE757" si="2282">Z745*Z747</f>
        <v>32275.200000000001</v>
      </c>
      <c r="AA757" s="347">
        <f t="shared" si="2282"/>
        <v>182795.56949999998</v>
      </c>
      <c r="AB757" s="347">
        <f t="shared" si="2282"/>
        <v>21348.111000000001</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249932.48049999998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34616.129358816048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811035.31062911218</v>
      </c>
      <c r="Z760" s="291">
        <f>SUMPRODUCT(E587:E742,Z587:Z742)</f>
        <v>895842.93322906841</v>
      </c>
      <c r="AA760" s="291">
        <f t="shared" ref="AA760:AL760" si="2284">IF(AA585="kw",SUMPRODUCT($N$587:$N$742,$P$587:$P$742,AA587:AA742),SUMPRODUCT($E$587:$E$742,AA587:AA742))</f>
        <v>5789.6817924853585</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807561.33507258666</v>
      </c>
      <c r="Z761" s="326">
        <f>SUMPRODUCT(F587:F742,Z587:Z742)</f>
        <v>892083.76743679214</v>
      </c>
      <c r="AA761" s="326">
        <f t="shared" ref="AA761:AL761" si="2285">IF(AA585="kw",SUMPRODUCT($N$587:$N$742,$Q$587:$Q$742,AA587:AA742),SUMPRODUCT($F$587:$F$742,AA587:AA742))</f>
        <v>5775.2489896256156</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774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9" t="s">
        <v>211</v>
      </c>
      <c r="C766" s="821" t="s">
        <v>33</v>
      </c>
      <c r="D766" s="284" t="s">
        <v>421</v>
      </c>
      <c r="E766" s="823" t="s">
        <v>209</v>
      </c>
      <c r="F766" s="824"/>
      <c r="G766" s="824"/>
      <c r="H766" s="824"/>
      <c r="I766" s="824"/>
      <c r="J766" s="824"/>
      <c r="K766" s="824"/>
      <c r="L766" s="824"/>
      <c r="M766" s="825"/>
      <c r="N766" s="826" t="s">
        <v>213</v>
      </c>
      <c r="O766" s="284" t="s">
        <v>422</v>
      </c>
      <c r="P766" s="823" t="s">
        <v>212</v>
      </c>
      <c r="Q766" s="824"/>
      <c r="R766" s="824"/>
      <c r="S766" s="824"/>
      <c r="T766" s="824"/>
      <c r="U766" s="824"/>
      <c r="V766" s="824"/>
      <c r="W766" s="824"/>
      <c r="X766" s="825"/>
      <c r="Y766" s="816" t="s">
        <v>243</v>
      </c>
      <c r="Z766" s="817"/>
      <c r="AA766" s="817"/>
      <c r="AB766" s="817"/>
      <c r="AC766" s="817"/>
      <c r="AD766" s="817"/>
      <c r="AE766" s="817"/>
      <c r="AF766" s="817"/>
      <c r="AG766" s="817"/>
      <c r="AH766" s="817"/>
      <c r="AI766" s="817"/>
      <c r="AJ766" s="817"/>
      <c r="AK766" s="817"/>
      <c r="AL766" s="817"/>
      <c r="AM766" s="818"/>
    </row>
    <row r="767" spans="1:40" ht="65.25" customHeight="1">
      <c r="B767" s="820"/>
      <c r="C767" s="822"/>
      <c r="D767" s="285">
        <v>2019</v>
      </c>
      <c r="E767" s="285">
        <v>2020</v>
      </c>
      <c r="F767" s="285">
        <v>2021</v>
      </c>
      <c r="G767" s="285">
        <v>2022</v>
      </c>
      <c r="H767" s="285">
        <v>2023</v>
      </c>
      <c r="I767" s="285">
        <v>2024</v>
      </c>
      <c r="J767" s="285">
        <v>2025</v>
      </c>
      <c r="K767" s="285">
        <v>2026</v>
      </c>
      <c r="L767" s="285">
        <v>2027</v>
      </c>
      <c r="M767" s="285">
        <v>2028</v>
      </c>
      <c r="N767" s="82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 Light</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2520</v>
      </c>
      <c r="E840" s="295">
        <v>2520</v>
      </c>
      <c r="F840" s="295"/>
      <c r="G840" s="295"/>
      <c r="H840" s="295"/>
      <c r="I840" s="295"/>
      <c r="J840" s="295"/>
      <c r="K840" s="295"/>
      <c r="L840" s="295"/>
      <c r="M840" s="295"/>
      <c r="N840" s="291"/>
      <c r="O840" s="295">
        <f>O474/D474*D840</f>
        <v>0.69186688397034857</v>
      </c>
      <c r="P840" s="295">
        <f>P474/E474*E840</f>
        <v>0.69186688397034857</v>
      </c>
      <c r="Q840" s="295">
        <f>P840</f>
        <v>0.69186688397034857</v>
      </c>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397114</v>
      </c>
      <c r="E853" s="295">
        <v>397114.32781126979</v>
      </c>
      <c r="F853" s="295"/>
      <c r="G853" s="295"/>
      <c r="H853" s="295"/>
      <c r="I853" s="295"/>
      <c r="J853" s="295"/>
      <c r="K853" s="295"/>
      <c r="L853" s="295"/>
      <c r="M853" s="295"/>
      <c r="N853" s="295">
        <v>12</v>
      </c>
      <c r="O853" s="295">
        <f>O487/D487*D853</f>
        <v>80.282910133699247</v>
      </c>
      <c r="P853" s="295">
        <f>P487/E487*E853</f>
        <v>80.263281705809362</v>
      </c>
      <c r="Q853" s="295">
        <f>P853</f>
        <v>80.263281705809362</v>
      </c>
      <c r="R853" s="295"/>
      <c r="S853" s="295"/>
      <c r="T853" s="295"/>
      <c r="U853" s="295"/>
      <c r="V853" s="295"/>
      <c r="W853" s="295"/>
      <c r="X853" s="295"/>
      <c r="Y853" s="426"/>
      <c r="Z853" s="415">
        <v>0.2571</v>
      </c>
      <c r="AA853" s="415">
        <v>0.7429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f>'8.  Streetlighting'!E51</f>
        <v>1325421.7901121003</v>
      </c>
      <c r="E854" s="295">
        <f>D854</f>
        <v>1325421.7901121003</v>
      </c>
      <c r="F854" s="295"/>
      <c r="G854" s="295"/>
      <c r="H854" s="295"/>
      <c r="I854" s="295"/>
      <c r="J854" s="295"/>
      <c r="K854" s="295"/>
      <c r="L854" s="295"/>
      <c r="M854" s="295"/>
      <c r="N854" s="295">
        <f>N853</f>
        <v>12</v>
      </c>
      <c r="O854" s="295">
        <f>'8.  Streetlighting'!F51</f>
        <v>209.86385931620276</v>
      </c>
      <c r="P854" s="295">
        <f>O854</f>
        <v>209.86385931620276</v>
      </c>
      <c r="Q854" s="295">
        <f>P854</f>
        <v>209.86385931620276</v>
      </c>
      <c r="R854" s="295"/>
      <c r="S854" s="295"/>
      <c r="T854" s="295"/>
      <c r="U854" s="295"/>
      <c r="V854" s="295"/>
      <c r="W854" s="295"/>
      <c r="X854" s="295"/>
      <c r="Y854" s="411">
        <f>Y853</f>
        <v>0</v>
      </c>
      <c r="Z854" s="411">
        <f t="shared" ref="Z854" si="2539">Z853</f>
        <v>0.2571</v>
      </c>
      <c r="AA854" s="411">
        <f t="shared" ref="AA854" si="2540">AA853</f>
        <v>0.7429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19824</v>
      </c>
      <c r="E875" s="295">
        <v>19824.054166666647</v>
      </c>
      <c r="F875" s="295"/>
      <c r="G875" s="295"/>
      <c r="H875" s="295"/>
      <c r="I875" s="295"/>
      <c r="J875" s="295"/>
      <c r="K875" s="295"/>
      <c r="L875" s="295"/>
      <c r="M875" s="295"/>
      <c r="N875" s="295">
        <v>0</v>
      </c>
      <c r="O875" s="295">
        <f>O509/D509*D875</f>
        <v>0</v>
      </c>
      <c r="P875" s="295">
        <f>P509/E509*E875</f>
        <v>0</v>
      </c>
      <c r="Q875" s="295">
        <f>P875</f>
        <v>0</v>
      </c>
      <c r="R875" s="295"/>
      <c r="S875" s="295"/>
      <c r="T875" s="295"/>
      <c r="U875" s="295"/>
      <c r="V875" s="295"/>
      <c r="W875" s="295"/>
      <c r="X875" s="295"/>
      <c r="Y875" s="426"/>
      <c r="Z875" s="415">
        <v>0.98</v>
      </c>
      <c r="AA875" s="415">
        <v>0.02</v>
      </c>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0.98</v>
      </c>
      <c r="AA876" s="411">
        <f t="shared" ref="AA876" si="2630">AA875</f>
        <v>0.02</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736</v>
      </c>
      <c r="C881" s="291" t="s">
        <v>25</v>
      </c>
      <c r="D881" s="295">
        <v>1749</v>
      </c>
      <c r="E881" s="295">
        <v>1749.2004000000002</v>
      </c>
      <c r="F881" s="295"/>
      <c r="G881" s="295"/>
      <c r="H881" s="295"/>
      <c r="I881" s="295"/>
      <c r="J881" s="295"/>
      <c r="K881" s="295"/>
      <c r="L881" s="295"/>
      <c r="M881" s="295"/>
      <c r="N881" s="295">
        <v>0</v>
      </c>
      <c r="O881" s="295">
        <f>O515/D515*D881</f>
        <v>0.27187725884300606</v>
      </c>
      <c r="P881" s="295">
        <f>P515/E515*E881</f>
        <v>0.27190841047403647</v>
      </c>
      <c r="Q881" s="295">
        <f>P881</f>
        <v>0.27190841047403647</v>
      </c>
      <c r="R881" s="295"/>
      <c r="S881" s="295"/>
      <c r="T881" s="295"/>
      <c r="U881" s="295"/>
      <c r="V881" s="295"/>
      <c r="W881" s="295"/>
      <c r="X881" s="295"/>
      <c r="Y881" s="426">
        <v>1</v>
      </c>
      <c r="Z881" s="415"/>
      <c r="AA881" s="415"/>
      <c r="AB881" s="415"/>
      <c r="AC881" s="415"/>
      <c r="AD881" s="415"/>
      <c r="AE881" s="415"/>
      <c r="AF881" s="415"/>
      <c r="AG881" s="415"/>
      <c r="AH881" s="415"/>
      <c r="AI881" s="415"/>
      <c r="AJ881" s="415"/>
      <c r="AK881" s="415"/>
      <c r="AL881" s="415"/>
      <c r="AM881" s="296">
        <f>SUM(Y881:AL881)</f>
        <v>1</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1</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1746628.7901121003</v>
      </c>
      <c r="E927" s="329"/>
      <c r="F927" s="329"/>
      <c r="G927" s="329"/>
      <c r="H927" s="329"/>
      <c r="I927" s="329"/>
      <c r="J927" s="329"/>
      <c r="K927" s="329"/>
      <c r="L927" s="329"/>
      <c r="M927" s="329"/>
      <c r="N927" s="329"/>
      <c r="O927" s="329">
        <f>SUM(O770:O925)</f>
        <v>291.11051359271539</v>
      </c>
      <c r="P927" s="329"/>
      <c r="Q927" s="329"/>
      <c r="R927" s="329"/>
      <c r="S927" s="329"/>
      <c r="T927" s="329"/>
      <c r="U927" s="329"/>
      <c r="V927" s="329"/>
      <c r="W927" s="329"/>
      <c r="X927" s="329"/>
      <c r="Y927" s="329">
        <f>IF(Y768="kWh",SUMPRODUCT(D770:D925,Y770:Y925))</f>
        <v>4269</v>
      </c>
      <c r="Z927" s="329">
        <f>IF(Z768="kWh",SUMPRODUCT(D770:D925,Z770:Z925))</f>
        <v>462291.471637821</v>
      </c>
      <c r="AA927" s="329">
        <f>IF(AA768="kw",SUMPRODUCT(N770:N925,O770:O925,AA770:AA925),SUMPRODUCT(D770:D925,AA770:AA925))</f>
        <v>2586.6004202919867</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1648000</v>
      </c>
      <c r="Z928" s="392">
        <f>HLOOKUP(Z584,'2. LRAMVA Threshold'!$B$42:$Q$53,11,FALSE)</f>
        <v>1312000</v>
      </c>
      <c r="AA928" s="392">
        <f>HLOOKUP(AA584,'2. LRAMVA Threshold'!$B$42:$Q$53,11,FALSE)</f>
        <v>25607</v>
      </c>
      <c r="AB928" s="392">
        <f>HLOOKUP(AB584,'2. LRAMVA Threshold'!$B$42:$Q$53,11,FALSE)</f>
        <v>2505</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4.1000000000000003E-3</v>
      </c>
      <c r="Z930" s="341">
        <f>HLOOKUP(Z$35,'3.  Distribution Rates'!$C$122:$P$133,11,FALSE)</f>
        <v>2.4899999999999999E-2</v>
      </c>
      <c r="AA930" s="341">
        <f>HLOOKUP(AA$35,'3.  Distribution Rates'!$C$122:$P$133,11,FALSE)</f>
        <v>7.2134999999999998</v>
      </c>
      <c r="AB930" s="341">
        <f>HLOOKUP(AB$35,'3.  Distribution Rates'!$C$122:$P$133,11,FALSE)</f>
        <v>8.6117000000000008</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9082.1478000000006</v>
      </c>
      <c r="Z936" s="378">
        <f t="shared" si="2852"/>
        <v>62788.527244979989</v>
      </c>
      <c r="AA936" s="378">
        <f t="shared" si="2852"/>
        <v>25313.446846800001</v>
      </c>
      <c r="AB936" s="378">
        <f t="shared" si="2852"/>
        <v>715.6900402180006</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97899.811931997989</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13032.510533727513</v>
      </c>
      <c r="Z937" s="378">
        <f t="shared" si="2853"/>
        <v>19845.712987381892</v>
      </c>
      <c r="AA937" s="378">
        <f t="shared" si="2853"/>
        <v>22054.575520578474</v>
      </c>
      <c r="AB937" s="378">
        <f t="shared" si="2853"/>
        <v>38820.054699408196</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93752.853741096071</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3325.2447735793603</v>
      </c>
      <c r="Z938" s="378">
        <f t="shared" si="2854"/>
        <v>22306.4890374038</v>
      </c>
      <c r="AA938" s="378">
        <f t="shared" si="2854"/>
        <v>41763.869610093134</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67395.603421076288</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17.5029</v>
      </c>
      <c r="Z939" s="378">
        <f t="shared" ref="Z939:AL939" si="2855">Z927*Z930</f>
        <v>11511.057643781742</v>
      </c>
      <c r="AA939" s="378">
        <f t="shared" si="2855"/>
        <v>18658.442131776246</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30187.002675557989</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25457.406007306876</v>
      </c>
      <c r="Z940" s="346">
        <f t="shared" ref="Z940:AE940" si="2856">SUM(Z931:Z939)</f>
        <v>116451.78691354743</v>
      </c>
      <c r="AA940" s="346">
        <f t="shared" si="2856"/>
        <v>107790.33410924787</v>
      </c>
      <c r="AB940" s="346">
        <f t="shared" si="2856"/>
        <v>39535.7447396262</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289235.27176972834</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6756.8</v>
      </c>
      <c r="Z941" s="347">
        <f t="shared" ref="Z941:AE941" si="2858">Z928*Z930</f>
        <v>32668.799999999999</v>
      </c>
      <c r="AA941" s="347">
        <f t="shared" si="2858"/>
        <v>184716.09450000001</v>
      </c>
      <c r="AB941" s="347">
        <f t="shared" si="2858"/>
        <v>21572.308500000003</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245714.00300000003</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43521.268769728311</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4269.2003999999997</v>
      </c>
      <c r="Z944" s="326">
        <f>SUMPRODUCT(E770:E925,Z770:Z925)</f>
        <v>462291.60900143179</v>
      </c>
      <c r="AA944" s="326">
        <f t="shared" ref="AA944:AL944" si="2860">IF(AA768="kw",SUMPRODUCT($N$770:$N$925,$P$770:$P$925,AA770:AA925),SUMPRODUCT($E$770:$E$925,AA770:AA925))</f>
        <v>2586.425436783034</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774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9" t="s">
        <v>211</v>
      </c>
      <c r="C949" s="821" t="s">
        <v>33</v>
      </c>
      <c r="D949" s="284" t="s">
        <v>421</v>
      </c>
      <c r="E949" s="823" t="s">
        <v>209</v>
      </c>
      <c r="F949" s="824"/>
      <c r="G949" s="824"/>
      <c r="H949" s="824"/>
      <c r="I949" s="824"/>
      <c r="J949" s="824"/>
      <c r="K949" s="824"/>
      <c r="L949" s="824"/>
      <c r="M949" s="825"/>
      <c r="N949" s="826" t="s">
        <v>213</v>
      </c>
      <c r="O949" s="284" t="s">
        <v>422</v>
      </c>
      <c r="P949" s="823" t="s">
        <v>212</v>
      </c>
      <c r="Q949" s="824"/>
      <c r="R949" s="824"/>
      <c r="S949" s="824"/>
      <c r="T949" s="824"/>
      <c r="U949" s="824"/>
      <c r="V949" s="824"/>
      <c r="W949" s="824"/>
      <c r="X949" s="825"/>
      <c r="Y949" s="816" t="s">
        <v>243</v>
      </c>
      <c r="Z949" s="817"/>
      <c r="AA949" s="817"/>
      <c r="AB949" s="817"/>
      <c r="AC949" s="817"/>
      <c r="AD949" s="817"/>
      <c r="AE949" s="817"/>
      <c r="AF949" s="817"/>
      <c r="AG949" s="817"/>
      <c r="AH949" s="817"/>
      <c r="AI949" s="817"/>
      <c r="AJ949" s="817"/>
      <c r="AK949" s="817"/>
      <c r="AL949" s="817"/>
      <c r="AM949" s="818"/>
    </row>
    <row r="950" spans="1:39" ht="65.25" customHeight="1">
      <c r="B950" s="820"/>
      <c r="C950" s="822"/>
      <c r="D950" s="285">
        <v>2020</v>
      </c>
      <c r="E950" s="285">
        <v>2021</v>
      </c>
      <c r="F950" s="285">
        <v>2022</v>
      </c>
      <c r="G950" s="285">
        <v>2023</v>
      </c>
      <c r="H950" s="285">
        <v>2024</v>
      </c>
      <c r="I950" s="285">
        <v>2025</v>
      </c>
      <c r="J950" s="285">
        <v>2026</v>
      </c>
      <c r="K950" s="285">
        <v>2027</v>
      </c>
      <c r="L950" s="285">
        <v>2028</v>
      </c>
      <c r="M950" s="285">
        <v>2029</v>
      </c>
      <c r="N950" s="82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 Light</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2.53E-2</v>
      </c>
      <c r="AA1113" s="341">
        <f>HLOOKUP(AA$35,'3.  Distribution Rates'!$C$122:$P$133,12,FALSE)</f>
        <v>7.3253000000000004</v>
      </c>
      <c r="AB1113" s="341">
        <f>HLOOKUP(AB$35,'3.  Distribution Rates'!$C$122:$P$133,12,FALSE)</f>
        <v>8.7452000000000005</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60489.981007059985</v>
      </c>
      <c r="AA1119" s="378">
        <f t="shared" si="3426"/>
        <v>25677.643661040001</v>
      </c>
      <c r="AB1119" s="378">
        <f t="shared" si="3426"/>
        <v>726.7847857814902</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86894.409453881482</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19527.361597371306</v>
      </c>
      <c r="AA1120" s="378">
        <f t="shared" si="3427"/>
        <v>22390.911591088272</v>
      </c>
      <c r="AB1120" s="378">
        <f t="shared" si="3427"/>
        <v>39418.329026277243</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81336.60221473682</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22569.71931615084</v>
      </c>
      <c r="AA1121" s="378">
        <f t="shared" si="3428"/>
        <v>42305.431423704526</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64875.150739855366</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11695.977707736223</v>
      </c>
      <c r="AA1122" s="378">
        <f t="shared" si="3429"/>
        <v>18946.342252066759</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30642.319959802982</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114283.03962831837</v>
      </c>
      <c r="AA1124" s="346">
        <f t="shared" si="3431"/>
        <v>109320.32892789957</v>
      </c>
      <c r="AB1124" s="346">
        <f t="shared" si="3431"/>
        <v>40145.113812058735</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263748.48236827663</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263748.48236827663</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28" zoomScale="90" zoomScaleNormal="90" workbookViewId="0">
      <selection activeCell="H162" sqref="H16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425781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6" width="14.5703125" style="12" customWidth="1"/>
    <col min="17" max="17" width="14" style="12" customWidth="1"/>
    <col min="18" max="18" width="15.570312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31" t="s">
        <v>665</v>
      </c>
      <c r="D8" s="831"/>
      <c r="E8" s="831"/>
      <c r="F8" s="831"/>
      <c r="G8" s="831"/>
      <c r="H8" s="831"/>
      <c r="I8" s="831"/>
      <c r="J8" s="831"/>
      <c r="K8" s="831"/>
      <c r="L8" s="831"/>
      <c r="M8" s="831"/>
      <c r="N8" s="831"/>
      <c r="O8" s="831"/>
      <c r="P8" s="831"/>
      <c r="Q8" s="831"/>
      <c r="R8" s="831"/>
      <c r="S8" s="831"/>
      <c r="T8" s="105"/>
      <c r="U8" s="105"/>
      <c r="V8" s="105"/>
      <c r="W8" s="105"/>
    </row>
    <row r="9" spans="1:28" s="9" customFormat="1" ht="47.1" customHeight="1">
      <c r="B9" s="55"/>
      <c r="C9" s="787" t="s">
        <v>676</v>
      </c>
      <c r="D9" s="787"/>
      <c r="E9" s="787"/>
      <c r="F9" s="787"/>
      <c r="G9" s="787"/>
      <c r="H9" s="787"/>
      <c r="I9" s="787"/>
      <c r="J9" s="787"/>
      <c r="K9" s="787"/>
      <c r="L9" s="787"/>
      <c r="M9" s="787"/>
      <c r="N9" s="787"/>
      <c r="O9" s="787"/>
      <c r="P9" s="787"/>
      <c r="Q9" s="787"/>
      <c r="R9" s="787"/>
      <c r="S9" s="787"/>
      <c r="T9" s="105"/>
      <c r="U9" s="105"/>
      <c r="V9" s="105"/>
      <c r="W9" s="105"/>
    </row>
    <row r="10" spans="1:28" s="9" customFormat="1" ht="38.1" customHeight="1">
      <c r="B10" s="88"/>
      <c r="C10" s="808" t="s">
        <v>677</v>
      </c>
      <c r="D10" s="787"/>
      <c r="E10" s="787"/>
      <c r="F10" s="787"/>
      <c r="G10" s="787"/>
      <c r="H10" s="787"/>
      <c r="I10" s="787"/>
      <c r="J10" s="787"/>
      <c r="K10" s="787"/>
      <c r="L10" s="787"/>
      <c r="M10" s="787"/>
      <c r="N10" s="787"/>
      <c r="O10" s="787"/>
      <c r="P10" s="787"/>
      <c r="Q10" s="787"/>
      <c r="R10" s="787"/>
      <c r="S10" s="78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0" t="s">
        <v>235</v>
      </c>
      <c r="C12" s="830"/>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Street Light</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684</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685</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686</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687</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2.5720445666666665</v>
      </c>
      <c r="J91" s="230">
        <f>(SUM('1.  LRAMVA Summary'!E$54:E$68)+SUM('1.  LRAMVA Summary'!E$69:E$70)*(MONTH($E91)-1)/12)*$H91</f>
        <v>4.6114605869444434</v>
      </c>
      <c r="K91" s="230">
        <f>(SUM('1.  LRAMVA Summary'!F$54:F$68)+SUM('1.  LRAMVA Summary'!F$69:F$70)*(MONTH($E91)-1)/12)*$H91</f>
        <v>1.785141457605</v>
      </c>
      <c r="L91" s="230">
        <f>(SUM('1.  LRAMVA Summary'!G$54:G$68)+SUM('1.  LRAMVA Summary'!G$69:G$70)*(MONTH($E91)-1)/12)*$H91</f>
        <v>6.8192006661017587E-2</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9.0368386178771285</v>
      </c>
    </row>
    <row r="92" spans="2:23" s="9" customFormat="1" ht="14.25" customHeight="1">
      <c r="B92" s="66"/>
      <c r="E92" s="214">
        <v>42430</v>
      </c>
      <c r="F92" s="214" t="s">
        <v>183</v>
      </c>
      <c r="G92" s="215" t="s">
        <v>65</v>
      </c>
      <c r="H92" s="229">
        <f t="shared" si="34"/>
        <v>9.1666666666666665E-4</v>
      </c>
      <c r="I92" s="230">
        <f>(SUM('1.  LRAMVA Summary'!D$54:D$68)+SUM('1.  LRAMVA Summary'!D$69:D$70)*(MONTH($E92)-1)/12)*$H92</f>
        <v>5.144089133333333</v>
      </c>
      <c r="J92" s="230">
        <f>(SUM('1.  LRAMVA Summary'!E$54:E$68)+SUM('1.  LRAMVA Summary'!E$69:E$70)*(MONTH($E92)-1)/12)*$H92</f>
        <v>9.2229211738888868</v>
      </c>
      <c r="K92" s="230">
        <f>(SUM('1.  LRAMVA Summary'!F$54:F$68)+SUM('1.  LRAMVA Summary'!F$69:F$70)*(MONTH($E92)-1)/12)*$H92</f>
        <v>3.57028291521</v>
      </c>
      <c r="L92" s="230">
        <f>(SUM('1.  LRAMVA Summary'!G$54:G$68)+SUM('1.  LRAMVA Summary'!G$69:G$70)*(MONTH($E92)-1)/12)*$H92</f>
        <v>0.13638401332203517</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18.073677235754257</v>
      </c>
    </row>
    <row r="93" spans="2:23" s="8" customFormat="1">
      <c r="B93" s="239"/>
      <c r="D93" s="9"/>
      <c r="E93" s="214">
        <v>42461</v>
      </c>
      <c r="F93" s="214" t="s">
        <v>183</v>
      </c>
      <c r="G93" s="215" t="s">
        <v>66</v>
      </c>
      <c r="H93" s="229">
        <f>$C$36/12</f>
        <v>9.1666666666666665E-4</v>
      </c>
      <c r="I93" s="230">
        <f>(SUM('1.  LRAMVA Summary'!D$54:D$68)+SUM('1.  LRAMVA Summary'!D$69:D$70)*(MONTH($E93)-1)/12)*$H93</f>
        <v>7.7161336999999994</v>
      </c>
      <c r="J93" s="230">
        <f>(SUM('1.  LRAMVA Summary'!E$54:E$68)+SUM('1.  LRAMVA Summary'!E$69:E$70)*(MONTH($E93)-1)/12)*$H93</f>
        <v>13.834381760833331</v>
      </c>
      <c r="K93" s="230">
        <f>(SUM('1.  LRAMVA Summary'!F$54:F$68)+SUM('1.  LRAMVA Summary'!F$69:F$70)*(MONTH($E93)-1)/12)*$H93</f>
        <v>5.3554243728150004</v>
      </c>
      <c r="L93" s="230">
        <f>(SUM('1.  LRAMVA Summary'!G$54:G$68)+SUM('1.  LRAMVA Summary'!G$69:G$70)*(MONTH($E93)-1)/12)*$H93</f>
        <v>0.20457601998305275</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27.110515853631384</v>
      </c>
    </row>
    <row r="94" spans="2:23" s="9" customFormat="1">
      <c r="B94" s="66"/>
      <c r="E94" s="214">
        <v>42491</v>
      </c>
      <c r="F94" s="214" t="s">
        <v>183</v>
      </c>
      <c r="G94" s="215" t="s">
        <v>66</v>
      </c>
      <c r="H94" s="229">
        <f t="shared" ref="H94:H95" si="36">$C$36/12</f>
        <v>9.1666666666666665E-4</v>
      </c>
      <c r="I94" s="230">
        <f>(SUM('1.  LRAMVA Summary'!D$54:D$68)+SUM('1.  LRAMVA Summary'!D$69:D$70)*(MONTH($E94)-1)/12)*$H94</f>
        <v>10.288178266666666</v>
      </c>
      <c r="J94" s="230">
        <f>(SUM('1.  LRAMVA Summary'!E$54:E$68)+SUM('1.  LRAMVA Summary'!E$69:E$70)*(MONTH($E94)-1)/12)*$H94</f>
        <v>18.445842347777774</v>
      </c>
      <c r="K94" s="230">
        <f>(SUM('1.  LRAMVA Summary'!F$54:F$68)+SUM('1.  LRAMVA Summary'!F$69:F$70)*(MONTH($E94)-1)/12)*$H94</f>
        <v>7.1405658304199999</v>
      </c>
      <c r="L94" s="230">
        <f>(SUM('1.  LRAMVA Summary'!G$54:G$68)+SUM('1.  LRAMVA Summary'!G$69:G$70)*(MONTH($E94)-1)/12)*$H94</f>
        <v>0.27276802664407035</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36.147354471508514</v>
      </c>
    </row>
    <row r="95" spans="2:23" s="238" customFormat="1">
      <c r="B95" s="237"/>
      <c r="D95" s="9"/>
      <c r="E95" s="214">
        <v>42522</v>
      </c>
      <c r="F95" s="214" t="s">
        <v>183</v>
      </c>
      <c r="G95" s="215" t="s">
        <v>66</v>
      </c>
      <c r="H95" s="229">
        <f t="shared" si="36"/>
        <v>9.1666666666666665E-4</v>
      </c>
      <c r="I95" s="230">
        <f>(SUM('1.  LRAMVA Summary'!D$54:D$68)+SUM('1.  LRAMVA Summary'!D$69:D$70)*(MONTH($E95)-1)/12)*$H95</f>
        <v>12.86022283333333</v>
      </c>
      <c r="J95" s="230">
        <f>(SUM('1.  LRAMVA Summary'!E$54:E$68)+SUM('1.  LRAMVA Summary'!E$69:E$70)*(MONTH($E95)-1)/12)*$H95</f>
        <v>23.05730293472222</v>
      </c>
      <c r="K95" s="230">
        <f>(SUM('1.  LRAMVA Summary'!F$54:F$68)+SUM('1.  LRAMVA Summary'!F$69:F$70)*(MONTH($E95)-1)/12)*$H95</f>
        <v>8.9257072880250004</v>
      </c>
      <c r="L95" s="230">
        <f>(SUM('1.  LRAMVA Summary'!G$54:G$68)+SUM('1.  LRAMVA Summary'!G$69:G$70)*(MONTH($E95)-1)/12)*$H95</f>
        <v>0.34096003330508795</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45.184193089385637</v>
      </c>
    </row>
    <row r="96" spans="2:23" s="9" customFormat="1">
      <c r="B96" s="66"/>
      <c r="E96" s="214">
        <v>42552</v>
      </c>
      <c r="F96" s="214" t="s">
        <v>183</v>
      </c>
      <c r="G96" s="215" t="s">
        <v>68</v>
      </c>
      <c r="H96" s="229">
        <f>$C$37/12</f>
        <v>9.1666666666666665E-4</v>
      </c>
      <c r="I96" s="230">
        <f>(SUM('1.  LRAMVA Summary'!D$54:D$68)+SUM('1.  LRAMVA Summary'!D$69:D$70)*(MONTH($E96)-1)/12)*$H96</f>
        <v>15.432267399999999</v>
      </c>
      <c r="J96" s="230">
        <f>(SUM('1.  LRAMVA Summary'!E$54:E$68)+SUM('1.  LRAMVA Summary'!E$69:E$70)*(MONTH($E96)-1)/12)*$H96</f>
        <v>27.668763521666662</v>
      </c>
      <c r="K96" s="230">
        <f>(SUM('1.  LRAMVA Summary'!F$54:F$68)+SUM('1.  LRAMVA Summary'!F$69:F$70)*(MONTH($E96)-1)/12)*$H96</f>
        <v>10.710848745630001</v>
      </c>
      <c r="L96" s="230">
        <f>(SUM('1.  LRAMVA Summary'!G$54:G$68)+SUM('1.  LRAMVA Summary'!G$69:G$70)*(MONTH($E96)-1)/12)*$H96</f>
        <v>0.4091520399661055</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54.221031707262767</v>
      </c>
    </row>
    <row r="97" spans="2:23" s="9" customFormat="1">
      <c r="B97" s="66"/>
      <c r="E97" s="214">
        <v>42583</v>
      </c>
      <c r="F97" s="214" t="s">
        <v>183</v>
      </c>
      <c r="G97" s="215" t="s">
        <v>68</v>
      </c>
      <c r="H97" s="229">
        <f t="shared" ref="H97:H98" si="37">$C$37/12</f>
        <v>9.1666666666666665E-4</v>
      </c>
      <c r="I97" s="230">
        <f>(SUM('1.  LRAMVA Summary'!D$54:D$68)+SUM('1.  LRAMVA Summary'!D$69:D$70)*(MONTH($E97)-1)/12)*$H97</f>
        <v>18.004311966666666</v>
      </c>
      <c r="J97" s="230">
        <f>(SUM('1.  LRAMVA Summary'!E$54:E$68)+SUM('1.  LRAMVA Summary'!E$69:E$70)*(MONTH($E97)-1)/12)*$H97</f>
        <v>32.280224108611108</v>
      </c>
      <c r="K97" s="230">
        <f>(SUM('1.  LRAMVA Summary'!F$54:F$68)+SUM('1.  LRAMVA Summary'!F$69:F$70)*(MONTH($E97)-1)/12)*$H97</f>
        <v>12.495990203234998</v>
      </c>
      <c r="L97" s="230">
        <f>(SUM('1.  LRAMVA Summary'!G$54:G$68)+SUM('1.  LRAMVA Summary'!G$69:G$70)*(MONTH($E97)-1)/12)*$H97</f>
        <v>0.4773440466271231</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63.257870325139891</v>
      </c>
    </row>
    <row r="98" spans="2:23" s="9" customFormat="1">
      <c r="B98" s="66"/>
      <c r="E98" s="214">
        <v>42614</v>
      </c>
      <c r="F98" s="214" t="s">
        <v>183</v>
      </c>
      <c r="G98" s="215" t="s">
        <v>68</v>
      </c>
      <c r="H98" s="229">
        <f t="shared" si="37"/>
        <v>9.1666666666666665E-4</v>
      </c>
      <c r="I98" s="230">
        <f>(SUM('1.  LRAMVA Summary'!D$54:D$68)+SUM('1.  LRAMVA Summary'!D$69:D$70)*(MONTH($E98)-1)/12)*$H98</f>
        <v>20.576356533333332</v>
      </c>
      <c r="J98" s="230">
        <f>(SUM('1.  LRAMVA Summary'!E$54:E$68)+SUM('1.  LRAMVA Summary'!E$69:E$70)*(MONTH($E98)-1)/12)*$H98</f>
        <v>36.891684695555547</v>
      </c>
      <c r="K98" s="230">
        <f>(SUM('1.  LRAMVA Summary'!F$54:F$68)+SUM('1.  LRAMVA Summary'!F$69:F$70)*(MONTH($E98)-1)/12)*$H98</f>
        <v>14.28113166084</v>
      </c>
      <c r="L98" s="230">
        <f>(SUM('1.  LRAMVA Summary'!G$54:G$68)+SUM('1.  LRAMVA Summary'!G$69:G$70)*(MONTH($E98)-1)/12)*$H98</f>
        <v>0.5455360532881407</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72.294708943017028</v>
      </c>
    </row>
    <row r="99" spans="2:23" s="9" customFormat="1">
      <c r="B99" s="66"/>
      <c r="E99" s="214">
        <v>42644</v>
      </c>
      <c r="F99" s="214" t="s">
        <v>183</v>
      </c>
      <c r="G99" s="215" t="s">
        <v>69</v>
      </c>
      <c r="H99" s="210">
        <f>$C$38/12</f>
        <v>9.1666666666666665E-4</v>
      </c>
      <c r="I99" s="230">
        <f>(SUM('1.  LRAMVA Summary'!D$54:D$68)+SUM('1.  LRAMVA Summary'!D$69:D$70)*(MONTH($E99)-1)/12)*$H99</f>
        <v>23.148401099999997</v>
      </c>
      <c r="J99" s="230">
        <f>(SUM('1.  LRAMVA Summary'!E$54:E$68)+SUM('1.  LRAMVA Summary'!E$69:E$70)*(MONTH($E99)-1)/12)*$H99</f>
        <v>41.503145282499993</v>
      </c>
      <c r="K99" s="230">
        <f>(SUM('1.  LRAMVA Summary'!F$54:F$68)+SUM('1.  LRAMVA Summary'!F$69:F$70)*(MONTH($E99)-1)/12)*$H99</f>
        <v>16.066273118445</v>
      </c>
      <c r="L99" s="230">
        <f>(SUM('1.  LRAMVA Summary'!G$54:G$68)+SUM('1.  LRAMVA Summary'!G$69:G$70)*(MONTH($E99)-1)/12)*$H99</f>
        <v>0.61372805994915836</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81.331547560894137</v>
      </c>
    </row>
    <row r="100" spans="2:23" s="9" customFormat="1">
      <c r="B100" s="66"/>
      <c r="E100" s="214">
        <v>42675</v>
      </c>
      <c r="F100" s="214" t="s">
        <v>183</v>
      </c>
      <c r="G100" s="215" t="s">
        <v>69</v>
      </c>
      <c r="H100" s="210">
        <f t="shared" ref="H100:H101" si="38">$C$38/12</f>
        <v>9.1666666666666665E-4</v>
      </c>
      <c r="I100" s="230">
        <f>(SUM('1.  LRAMVA Summary'!D$54:D$68)+SUM('1.  LRAMVA Summary'!D$69:D$70)*(MONTH($E100)-1)/12)*$H100</f>
        <v>25.720445666666659</v>
      </c>
      <c r="J100" s="230">
        <f>(SUM('1.  LRAMVA Summary'!E$54:E$68)+SUM('1.  LRAMVA Summary'!E$69:E$70)*(MONTH($E100)-1)/12)*$H100</f>
        <v>46.114605869444439</v>
      </c>
      <c r="K100" s="230">
        <f>(SUM('1.  LRAMVA Summary'!F$54:F$68)+SUM('1.  LRAMVA Summary'!F$69:F$70)*(MONTH($E100)-1)/12)*$H100</f>
        <v>17.851414576050001</v>
      </c>
      <c r="L100" s="230">
        <f>(SUM('1.  LRAMVA Summary'!G$54:G$68)+SUM('1.  LRAMVA Summary'!G$69:G$70)*(MONTH($E100)-1)/12)*$H100</f>
        <v>0.6819200666101759</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90.368386178771274</v>
      </c>
    </row>
    <row r="101" spans="2:23" s="9" customFormat="1">
      <c r="B101" s="66"/>
      <c r="E101" s="214">
        <v>42705</v>
      </c>
      <c r="F101" s="214" t="s">
        <v>183</v>
      </c>
      <c r="G101" s="215" t="s">
        <v>69</v>
      </c>
      <c r="H101" s="210">
        <f t="shared" si="38"/>
        <v>9.1666666666666665E-4</v>
      </c>
      <c r="I101" s="230">
        <f>(SUM('1.  LRAMVA Summary'!D$54:D$68)+SUM('1.  LRAMVA Summary'!D$69:D$70)*(MONTH($E101)-1)/12)*$H101</f>
        <v>28.292490233333332</v>
      </c>
      <c r="J101" s="230">
        <f>(SUM('1.  LRAMVA Summary'!E$54:E$68)+SUM('1.  LRAMVA Summary'!E$69:E$70)*(MONTH($E101)-1)/12)*$H101</f>
        <v>50.726066456388885</v>
      </c>
      <c r="K101" s="230">
        <f>(SUM('1.  LRAMVA Summary'!F$54:F$68)+SUM('1.  LRAMVA Summary'!F$69:F$70)*(MONTH($E101)-1)/12)*$H101</f>
        <v>19.636556033655001</v>
      </c>
      <c r="L101" s="230">
        <f>(SUM('1.  LRAMVA Summary'!G$54:G$68)+SUM('1.  LRAMVA Summary'!G$69:G$70)*(MONTH($E101)-1)/12)*$H101</f>
        <v>0.75011207327119356</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99.405224796648412</v>
      </c>
    </row>
    <row r="102" spans="2:23" s="9" customFormat="1" ht="15.75" thickBot="1">
      <c r="B102" s="66"/>
      <c r="E102" s="216" t="s">
        <v>465</v>
      </c>
      <c r="F102" s="216"/>
      <c r="G102" s="217"/>
      <c r="H102" s="218"/>
      <c r="I102" s="219">
        <f>SUM(I89:I101)</f>
        <v>169.75494139999998</v>
      </c>
      <c r="J102" s="219">
        <f>SUM(J89:J101)</f>
        <v>304.35639873833327</v>
      </c>
      <c r="K102" s="219">
        <f t="shared" ref="K102:O102" si="39">SUM(K89:K101)</f>
        <v>117.81933620193</v>
      </c>
      <c r="L102" s="219">
        <f t="shared" si="39"/>
        <v>4.5006724396271602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596.43134877989041</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169.75494139999998</v>
      </c>
      <c r="J104" s="228">
        <f t="shared" ref="J104" si="41">J102+J103</f>
        <v>304.35639873833327</v>
      </c>
      <c r="K104" s="228">
        <f t="shared" ref="K104" si="42">K102+K103</f>
        <v>117.81933620193</v>
      </c>
      <c r="L104" s="228">
        <f t="shared" ref="L104" si="43">L102+L103</f>
        <v>4.5006724396271602</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596.43134877989041</v>
      </c>
    </row>
    <row r="105" spans="2:23" s="9" customFormat="1">
      <c r="B105" s="66"/>
      <c r="E105" s="214">
        <v>42736</v>
      </c>
      <c r="F105" s="214" t="s">
        <v>184</v>
      </c>
      <c r="G105" s="215" t="s">
        <v>65</v>
      </c>
      <c r="H105" s="240">
        <f>$C$39/12</f>
        <v>9.1666666666666665E-4</v>
      </c>
      <c r="I105" s="230">
        <f>(SUM('1.  LRAMVA Summary'!D$54:D$71)+SUM('1.  LRAMVA Summary'!D$72:D$73)*(MONTH($E105)-1)/12)*$H105</f>
        <v>30.864534799999998</v>
      </c>
      <c r="J105" s="230">
        <f>(SUM('1.  LRAMVA Summary'!E$54:E$71)+SUM('1.  LRAMVA Summary'!E$72:E$73)*(MONTH($E105)-1)/12)*$H105</f>
        <v>55.337527043333324</v>
      </c>
      <c r="K105" s="230">
        <f>(SUM('1.  LRAMVA Summary'!F$54:F$71)+SUM('1.  LRAMVA Summary'!F$72:F$73)*(MONTH($E105)-1)/12)*$H105</f>
        <v>21.421697491260002</v>
      </c>
      <c r="L105" s="230">
        <f>(SUM('1.  LRAMVA Summary'!G$54:G$71)+SUM('1.  LRAMVA Summary'!G$72:G$73)*(MONTH($E105)-1)/12)*$H105</f>
        <v>0.8183040799322111</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108.44206341452553</v>
      </c>
    </row>
    <row r="106" spans="2:23" s="9" customFormat="1">
      <c r="B106" s="66"/>
      <c r="E106" s="214">
        <v>42767</v>
      </c>
      <c r="F106" s="214" t="s">
        <v>184</v>
      </c>
      <c r="G106" s="215" t="s">
        <v>65</v>
      </c>
      <c r="H106" s="240">
        <f t="shared" ref="H106:H107" si="48">$C$39/12</f>
        <v>9.1666666666666665E-4</v>
      </c>
      <c r="I106" s="230">
        <f>(SUM('1.  LRAMVA Summary'!D$54:D$71)+SUM('1.  LRAMVA Summary'!D$72:D$73)*(MONTH($E106)-1)/12)*$H106</f>
        <v>35.048506388230955</v>
      </c>
      <c r="J106" s="230">
        <f>(SUM('1.  LRAMVA Summary'!E$54:E$71)+SUM('1.  LRAMVA Summary'!E$72:E$73)*(MONTH($E106)-1)/12)*$H106</f>
        <v>59.271103949311353</v>
      </c>
      <c r="K106" s="230">
        <f>(SUM('1.  LRAMVA Summary'!F$54:F$71)+SUM('1.  LRAMVA Summary'!F$72:F$73)*(MONTH($E106)-1)/12)*$H106</f>
        <v>11.101459543733943</v>
      </c>
      <c r="L106" s="230">
        <f>(SUM('1.  LRAMVA Summary'!G$54:G$71)+SUM('1.  LRAMVA Summary'!G$72:G$73)*(MONTH($E106)-1)/12)*$H106</f>
        <v>2.1458614944098446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107.5669313756861</v>
      </c>
    </row>
    <row r="107" spans="2:23" s="9" customFormat="1">
      <c r="B107" s="66"/>
      <c r="E107" s="214">
        <v>42795</v>
      </c>
      <c r="F107" s="214" t="s">
        <v>184</v>
      </c>
      <c r="G107" s="215" t="s">
        <v>65</v>
      </c>
      <c r="H107" s="240">
        <f t="shared" si="48"/>
        <v>9.1666666666666665E-4</v>
      </c>
      <c r="I107" s="230">
        <f>(SUM('1.  LRAMVA Summary'!D$54:D$71)+SUM('1.  LRAMVA Summary'!D$72:D$73)*(MONTH($E107)-1)/12)*$H107</f>
        <v>39.232477976461908</v>
      </c>
      <c r="J107" s="230">
        <f>(SUM('1.  LRAMVA Summary'!E$54:E$71)+SUM('1.  LRAMVA Summary'!E$72:E$73)*(MONTH($E107)-1)/12)*$H107</f>
        <v>63.204680855289375</v>
      </c>
      <c r="K107" s="230">
        <f>(SUM('1.  LRAMVA Summary'!F$54:F$71)+SUM('1.  LRAMVA Summary'!F$72:F$73)*(MONTH($E107)-1)/12)*$H107</f>
        <v>0.78122159620788745</v>
      </c>
      <c r="L107" s="230">
        <f>(SUM('1.  LRAMVA Summary'!G$54:G$71)+SUM('1.  LRAMVA Summary'!G$72:G$73)*(MONTH($E107)-1)/12)*$H107</f>
        <v>3.4734189088874783</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106.69179933684664</v>
      </c>
    </row>
    <row r="108" spans="2:23" s="8" customFormat="1">
      <c r="B108" s="239"/>
      <c r="E108" s="214">
        <v>42826</v>
      </c>
      <c r="F108" s="214" t="s">
        <v>184</v>
      </c>
      <c r="G108" s="215" t="s">
        <v>66</v>
      </c>
      <c r="H108" s="240">
        <f>$C$40/12</f>
        <v>9.1666666666666665E-4</v>
      </c>
      <c r="I108" s="230">
        <f>(SUM('1.  LRAMVA Summary'!D$54:D$71)+SUM('1.  LRAMVA Summary'!D$72:D$73)*(MONTH($E108)-1)/12)*$H108</f>
        <v>43.416449564692861</v>
      </c>
      <c r="J108" s="230">
        <f>(SUM('1.  LRAMVA Summary'!E$54:E$71)+SUM('1.  LRAMVA Summary'!E$72:E$73)*(MONTH($E108)-1)/12)*$H108</f>
        <v>67.138257761267411</v>
      </c>
      <c r="K108" s="230">
        <f>(SUM('1.  LRAMVA Summary'!F$54:F$71)+SUM('1.  LRAMVA Summary'!F$72:F$73)*(MONTH($E108)-1)/12)*$H108</f>
        <v>-9.5390163513181676</v>
      </c>
      <c r="L108" s="230">
        <f>(SUM('1.  LRAMVA Summary'!G$54:G$71)+SUM('1.  LRAMVA Summary'!G$72:G$73)*(MONTH($E108)-1)/12)*$H108</f>
        <v>4.8009763233651119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105.8166672980072</v>
      </c>
    </row>
    <row r="109" spans="2:23" s="9" customFormat="1">
      <c r="B109" s="66"/>
      <c r="E109" s="214">
        <v>42856</v>
      </c>
      <c r="F109" s="214" t="s">
        <v>184</v>
      </c>
      <c r="G109" s="215" t="s">
        <v>66</v>
      </c>
      <c r="H109" s="240">
        <f t="shared" ref="H109:H110" si="50">$C$40/12</f>
        <v>9.1666666666666665E-4</v>
      </c>
      <c r="I109" s="230">
        <f>(SUM('1.  LRAMVA Summary'!D$54:D$71)+SUM('1.  LRAMVA Summary'!D$72:D$73)*(MONTH($E109)-1)/12)*$H109</f>
        <v>47.600421152923815</v>
      </c>
      <c r="J109" s="230">
        <f>(SUM('1.  LRAMVA Summary'!E$54:E$71)+SUM('1.  LRAMVA Summary'!E$72:E$73)*(MONTH($E109)-1)/12)*$H109</f>
        <v>71.07183466724544</v>
      </c>
      <c r="K109" s="230">
        <f>(SUM('1.  LRAMVA Summary'!F$54:F$71)+SUM('1.  LRAMVA Summary'!F$72:F$73)*(MONTH($E109)-1)/12)*$H109</f>
        <v>-19.859254298844224</v>
      </c>
      <c r="L109" s="230">
        <f>(SUM('1.  LRAMVA Summary'!G$54:G$71)+SUM('1.  LRAMVA Summary'!G$72:G$73)*(MONTH($E109)-1)/12)*$H109</f>
        <v>6.128533737842746</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104.94153525916778</v>
      </c>
    </row>
    <row r="110" spans="2:23" s="238" customFormat="1">
      <c r="B110" s="237"/>
      <c r="E110" s="214">
        <v>42887</v>
      </c>
      <c r="F110" s="214" t="s">
        <v>184</v>
      </c>
      <c r="G110" s="215" t="s">
        <v>66</v>
      </c>
      <c r="H110" s="240">
        <f t="shared" si="50"/>
        <v>9.1666666666666665E-4</v>
      </c>
      <c r="I110" s="230">
        <f>(SUM('1.  LRAMVA Summary'!D$54:D$71)+SUM('1.  LRAMVA Summary'!D$72:D$73)*(MONTH($E110)-1)/12)*$H110</f>
        <v>51.784392741154768</v>
      </c>
      <c r="J110" s="230">
        <f>(SUM('1.  LRAMVA Summary'!E$54:E$71)+SUM('1.  LRAMVA Summary'!E$72:E$73)*(MONTH($E110)-1)/12)*$H110</f>
        <v>75.005411573223469</v>
      </c>
      <c r="K110" s="230">
        <f>(SUM('1.  LRAMVA Summary'!F$54:F$71)+SUM('1.  LRAMVA Summary'!F$72:F$73)*(MONTH($E110)-1)/12)*$H110</f>
        <v>-30.17949224637028</v>
      </c>
      <c r="L110" s="230">
        <f>(SUM('1.  LRAMVA Summary'!G$54:G$71)+SUM('1.  LRAMVA Summary'!G$72:G$73)*(MONTH($E110)-1)/12)*$H110</f>
        <v>7.4560911523203801</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104.06640322032835</v>
      </c>
    </row>
    <row r="111" spans="2:23" s="9" customFormat="1">
      <c r="B111" s="66"/>
      <c r="E111" s="214">
        <v>42917</v>
      </c>
      <c r="F111" s="214" t="s">
        <v>184</v>
      </c>
      <c r="G111" s="215" t="s">
        <v>68</v>
      </c>
      <c r="H111" s="240">
        <f>$C$41/12</f>
        <v>9.1666666666666665E-4</v>
      </c>
      <c r="I111" s="230">
        <f>(SUM('1.  LRAMVA Summary'!D$54:D$71)+SUM('1.  LRAMVA Summary'!D$72:D$73)*(MONTH($E111)-1)/12)*$H111</f>
        <v>55.968364329385729</v>
      </c>
      <c r="J111" s="230">
        <f>(SUM('1.  LRAMVA Summary'!E$54:E$71)+SUM('1.  LRAMVA Summary'!E$72:E$73)*(MONTH($E111)-1)/12)*$H111</f>
        <v>78.938988479201484</v>
      </c>
      <c r="K111" s="230">
        <f>(SUM('1.  LRAMVA Summary'!F$54:F$71)+SUM('1.  LRAMVA Summary'!F$72:F$73)*(MONTH($E111)-1)/12)*$H111</f>
        <v>-40.49973019389634</v>
      </c>
      <c r="L111" s="230">
        <f>(SUM('1.  LRAMVA Summary'!G$54:G$71)+SUM('1.  LRAMVA Summary'!G$72:G$73)*(MONTH($E111)-1)/12)*$H111</f>
        <v>8.7836485667980142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103.19127118148887</v>
      </c>
    </row>
    <row r="112" spans="2:23" s="9" customFormat="1">
      <c r="B112" s="66"/>
      <c r="E112" s="214">
        <v>42948</v>
      </c>
      <c r="F112" s="214" t="s">
        <v>184</v>
      </c>
      <c r="G112" s="215" t="s">
        <v>68</v>
      </c>
      <c r="H112" s="240">
        <f t="shared" ref="H112:H113" si="51">$C$41/12</f>
        <v>9.1666666666666665E-4</v>
      </c>
      <c r="I112" s="230">
        <f>(SUM('1.  LRAMVA Summary'!D$54:D$71)+SUM('1.  LRAMVA Summary'!D$72:D$73)*(MONTH($E112)-1)/12)*$H112</f>
        <v>60.152335917616682</v>
      </c>
      <c r="J112" s="230">
        <f>(SUM('1.  LRAMVA Summary'!E$54:E$71)+SUM('1.  LRAMVA Summary'!E$72:E$73)*(MONTH($E112)-1)/12)*$H112</f>
        <v>82.872565385179527</v>
      </c>
      <c r="K112" s="230">
        <f>(SUM('1.  LRAMVA Summary'!F$54:F$71)+SUM('1.  LRAMVA Summary'!F$72:F$73)*(MONTH($E112)-1)/12)*$H112</f>
        <v>-50.819968141422393</v>
      </c>
      <c r="L112" s="230">
        <f>(SUM('1.  LRAMVA Summary'!G$54:G$71)+SUM('1.  LRAMVA Summary'!G$72:G$73)*(MONTH($E112)-1)/12)*$H112</f>
        <v>10.111205981275646</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102.31613914264945</v>
      </c>
    </row>
    <row r="113" spans="2:23" s="9" customFormat="1">
      <c r="B113" s="66"/>
      <c r="E113" s="214">
        <v>42979</v>
      </c>
      <c r="F113" s="214" t="s">
        <v>184</v>
      </c>
      <c r="G113" s="215" t="s">
        <v>68</v>
      </c>
      <c r="H113" s="240">
        <f t="shared" si="51"/>
        <v>9.1666666666666665E-4</v>
      </c>
      <c r="I113" s="230">
        <f>(SUM('1.  LRAMVA Summary'!D$54:D$71)+SUM('1.  LRAMVA Summary'!D$72:D$73)*(MONTH($E113)-1)/12)*$H113</f>
        <v>64.336307505847643</v>
      </c>
      <c r="J113" s="230">
        <f>(SUM('1.  LRAMVA Summary'!E$54:E$71)+SUM('1.  LRAMVA Summary'!E$72:E$73)*(MONTH($E113)-1)/12)*$H113</f>
        <v>86.806142291157556</v>
      </c>
      <c r="K113" s="230">
        <f>(SUM('1.  LRAMVA Summary'!F$54:F$71)+SUM('1.  LRAMVA Summary'!F$72:F$73)*(MONTH($E113)-1)/12)*$H113</f>
        <v>-61.140206088948453</v>
      </c>
      <c r="L113" s="230">
        <f>(SUM('1.  LRAMVA Summary'!G$54:G$71)+SUM('1.  LRAMVA Summary'!G$72:G$73)*(MONTH($E113)-1)/12)*$H113</f>
        <v>11.438763395753281</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101.44100710381005</v>
      </c>
    </row>
    <row r="114" spans="2:23" s="9" customFormat="1">
      <c r="B114" s="66"/>
      <c r="E114" s="214">
        <v>43009</v>
      </c>
      <c r="F114" s="214" t="s">
        <v>184</v>
      </c>
      <c r="G114" s="215" t="s">
        <v>69</v>
      </c>
      <c r="H114" s="240">
        <f>$C$42/12</f>
        <v>1.25E-3</v>
      </c>
      <c r="I114" s="230">
        <f>(SUM('1.  LRAMVA Summary'!D$54:D$71)+SUM('1.  LRAMVA Summary'!D$72:D$73)*(MONTH($E114)-1)/12)*$H114</f>
        <v>93.436744219198076</v>
      </c>
      <c r="J114" s="230">
        <f>(SUM('1.  LRAMVA Summary'!E$54:E$71)+SUM('1.  LRAMVA Summary'!E$72:E$73)*(MONTH($E114)-1)/12)*$H114</f>
        <v>123.73598072336671</v>
      </c>
      <c r="K114" s="230">
        <f>(SUM('1.  LRAMVA Summary'!F$54:F$71)+SUM('1.  LRAMVA Summary'!F$72:F$73)*(MONTH($E114)-1)/12)*$H114</f>
        <v>-97.44606004973798</v>
      </c>
      <c r="L114" s="230">
        <f>(SUM('1.  LRAMVA Summary'!G$54:G$71)+SUM('1.  LRAMVA Summary'!G$72:G$73)*(MONTH($E114)-1)/12)*$H114</f>
        <v>17.408619286678519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137.13528417950533</v>
      </c>
    </row>
    <row r="115" spans="2:23" s="9" customFormat="1">
      <c r="B115" s="66"/>
      <c r="E115" s="214">
        <v>43040</v>
      </c>
      <c r="F115" s="214" t="s">
        <v>184</v>
      </c>
      <c r="G115" s="215" t="s">
        <v>69</v>
      </c>
      <c r="H115" s="240">
        <f t="shared" ref="H115:H116" si="52">$C$42/12</f>
        <v>1.25E-3</v>
      </c>
      <c r="I115" s="230">
        <f>(SUM('1.  LRAMVA Summary'!D$54:D$71)+SUM('1.  LRAMVA Summary'!D$72:D$73)*(MONTH($E115)-1)/12)*$H115</f>
        <v>99.142160021331208</v>
      </c>
      <c r="J115" s="230">
        <f>(SUM('1.  LRAMVA Summary'!E$54:E$71)+SUM('1.  LRAMVA Summary'!E$72:E$73)*(MONTH($E115)-1)/12)*$H115</f>
        <v>129.09994923151856</v>
      </c>
      <c r="K115" s="230">
        <f>(SUM('1.  LRAMVA Summary'!F$54:F$71)+SUM('1.  LRAMVA Summary'!F$72:F$73)*(MONTH($E115)-1)/12)*$H115</f>
        <v>-111.51911179636441</v>
      </c>
      <c r="L115" s="230">
        <f>(SUM('1.  LRAMVA Summary'!G$54:G$71)+SUM('1.  LRAMVA Summary'!G$72:G$73)*(MONTH($E115)-1)/12)*$H115</f>
        <v>19.218924851875297</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135.94192230836066</v>
      </c>
    </row>
    <row r="116" spans="2:23" s="9" customFormat="1">
      <c r="B116" s="66"/>
      <c r="E116" s="214">
        <v>43070</v>
      </c>
      <c r="F116" s="214" t="s">
        <v>184</v>
      </c>
      <c r="G116" s="215" t="s">
        <v>69</v>
      </c>
      <c r="H116" s="240">
        <f t="shared" si="52"/>
        <v>1.25E-3</v>
      </c>
      <c r="I116" s="230">
        <f>(SUM('1.  LRAMVA Summary'!D$54:D$71)+SUM('1.  LRAMVA Summary'!D$72:D$73)*(MONTH($E116)-1)/12)*$H116</f>
        <v>104.84757582346433</v>
      </c>
      <c r="J116" s="230">
        <f>(SUM('1.  LRAMVA Summary'!E$54:E$71)+SUM('1.  LRAMVA Summary'!E$72:E$73)*(MONTH($E116)-1)/12)*$H116</f>
        <v>134.46391773967042</v>
      </c>
      <c r="K116" s="230">
        <f>(SUM('1.  LRAMVA Summary'!F$54:F$71)+SUM('1.  LRAMVA Summary'!F$72:F$73)*(MONTH($E116)-1)/12)*$H116</f>
        <v>-125.59216354299086</v>
      </c>
      <c r="L116" s="230">
        <f>(SUM('1.  LRAMVA Summary'!G$54:G$71)+SUM('1.  LRAMVA Summary'!G$72:G$73)*(MONTH($E116)-1)/12)*$H116</f>
        <v>21.029230417072064</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134.74856043721596</v>
      </c>
    </row>
    <row r="117" spans="2:23" s="9" customFormat="1" ht="15.75" thickBot="1">
      <c r="B117" s="66"/>
      <c r="E117" s="216" t="s">
        <v>466</v>
      </c>
      <c r="F117" s="216"/>
      <c r="G117" s="217"/>
      <c r="H117" s="218"/>
      <c r="I117" s="219">
        <f>SUM(I104:I116)</f>
        <v>895.58521184030803</v>
      </c>
      <c r="J117" s="219">
        <f>SUM(J104:J116)</f>
        <v>1331.302758438098</v>
      </c>
      <c r="K117" s="219">
        <f t="shared" ref="K117:O117" si="53">SUM(K104:K116)</f>
        <v>-395.47128787676132</v>
      </c>
      <c r="L117" s="219">
        <f t="shared" si="53"/>
        <v>117.31425063583777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1948.7309330374824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895.58521184030803</v>
      </c>
      <c r="J119" s="228">
        <f t="shared" ref="J119" si="55">J117+J118</f>
        <v>1331.302758438098</v>
      </c>
      <c r="K119" s="228">
        <f t="shared" ref="K119" si="56">K117+K118</f>
        <v>-395.47128787676132</v>
      </c>
      <c r="L119" s="228">
        <f t="shared" ref="L119" si="57">L117+L118</f>
        <v>117.31425063583777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1948.7309330374824</v>
      </c>
    </row>
    <row r="120" spans="2:23" s="9" customFormat="1">
      <c r="B120" s="66"/>
      <c r="E120" s="214">
        <v>43101</v>
      </c>
      <c r="F120" s="214" t="s">
        <v>185</v>
      </c>
      <c r="G120" s="215" t="s">
        <v>65</v>
      </c>
      <c r="H120" s="240">
        <f>$C$43/12</f>
        <v>1.25E-3</v>
      </c>
      <c r="I120" s="230">
        <f>(SUM('1.  LRAMVA Summary'!D$54:D$74)+SUM('1.  LRAMVA Summary'!D$75:D$76)*(MONTH($E120)-1)/12)*$H120</f>
        <v>110.55299162559744</v>
      </c>
      <c r="J120" s="230">
        <f>(SUM('1.  LRAMVA Summary'!E$54:E$74)+SUM('1.  LRAMVA Summary'!E$75:E$76)*(MONTH($E120)-1)/12)*$H120</f>
        <v>139.82788624782228</v>
      </c>
      <c r="K120" s="230">
        <f>(SUM('1.  LRAMVA Summary'!F$54:F$74)+SUM('1.  LRAMVA Summary'!F$75:F$76)*(MONTH($E120)-1)/12)*$H120</f>
        <v>-139.66521528961729</v>
      </c>
      <c r="L120" s="230">
        <f>(SUM('1.  LRAMVA Summary'!G$54:G$74)+SUM('1.  LRAMVA Summary'!G$75:G$76)*(MONTH($E120)-1)/12)*$H120</f>
        <v>22.839535982268835</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133.55519856607125</v>
      </c>
    </row>
    <row r="121" spans="2:23" s="9" customFormat="1">
      <c r="B121" s="66"/>
      <c r="E121" s="214">
        <v>43132</v>
      </c>
      <c r="F121" s="214" t="s">
        <v>185</v>
      </c>
      <c r="G121" s="215" t="s">
        <v>65</v>
      </c>
      <c r="H121" s="240">
        <f t="shared" ref="H121:H122" si="62">$C$43/12</f>
        <v>1.25E-3</v>
      </c>
      <c r="I121" s="230">
        <f>(SUM('1.  LRAMVA Summary'!D$54:D$74)+SUM('1.  LRAMVA Summary'!D$75:D$76)*(MONTH($E121)-1)/12)*$H121</f>
        <v>114.44827212707423</v>
      </c>
      <c r="J121" s="230">
        <f>(SUM('1.  LRAMVA Summary'!E$54:E$74)+SUM('1.  LRAMVA Summary'!E$75:E$76)*(MONTH($E121)-1)/12)*$H121</f>
        <v>147.52665659703845</v>
      </c>
      <c r="K121" s="230">
        <f>(SUM('1.  LRAMVA Summary'!F$54:F$74)+SUM('1.  LRAMVA Summary'!F$75:F$76)*(MONTH($E121)-1)/12)*$H121</f>
        <v>-149.50516361992649</v>
      </c>
      <c r="L121" s="230">
        <f>(SUM('1.  LRAMVA Summary'!G$54:G$74)+SUM('1.  LRAMVA Summary'!G$75:G$76)*(MONTH($E121)-1)/12)*$H121</f>
        <v>24.691280270095067</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137.16104537428129</v>
      </c>
    </row>
    <row r="122" spans="2:23" s="9" customFormat="1">
      <c r="B122" s="66"/>
      <c r="E122" s="214">
        <v>43160</v>
      </c>
      <c r="F122" s="214" t="s">
        <v>185</v>
      </c>
      <c r="G122" s="215" t="s">
        <v>65</v>
      </c>
      <c r="H122" s="240">
        <f t="shared" si="62"/>
        <v>1.25E-3</v>
      </c>
      <c r="I122" s="230">
        <f>(SUM('1.  LRAMVA Summary'!D$54:D$74)+SUM('1.  LRAMVA Summary'!D$75:D$76)*(MONTH($E122)-1)/12)*$H122</f>
        <v>118.34355262855104</v>
      </c>
      <c r="J122" s="230">
        <f>(SUM('1.  LRAMVA Summary'!E$54:E$74)+SUM('1.  LRAMVA Summary'!E$75:E$76)*(MONTH($E122)-1)/12)*$H122</f>
        <v>155.22542694625463</v>
      </c>
      <c r="K122" s="230">
        <f>(SUM('1.  LRAMVA Summary'!F$54:F$74)+SUM('1.  LRAMVA Summary'!F$75:F$76)*(MONTH($E122)-1)/12)*$H122</f>
        <v>-159.34511195023569</v>
      </c>
      <c r="L122" s="230">
        <f>(SUM('1.  LRAMVA Summary'!G$54:G$74)+SUM('1.  LRAMVA Summary'!G$75:G$76)*(MONTH($E122)-1)/12)*$H122</f>
        <v>26.543024557921299</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140.76689218249129</v>
      </c>
    </row>
    <row r="123" spans="2:23" s="8" customFormat="1">
      <c r="B123" s="239"/>
      <c r="E123" s="214">
        <v>43191</v>
      </c>
      <c r="F123" s="214" t="s">
        <v>185</v>
      </c>
      <c r="G123" s="215" t="s">
        <v>66</v>
      </c>
      <c r="H123" s="240">
        <f>$C$44/12</f>
        <v>1.575E-3</v>
      </c>
      <c r="I123" s="230">
        <f>(SUM('1.  LRAMVA Summary'!D$54:D$74)+SUM('1.  LRAMVA Summary'!D$75:D$76)*(MONTH($E123)-1)/12)*$H123</f>
        <v>154.02092974383507</v>
      </c>
      <c r="J123" s="230">
        <f>(SUM('1.  LRAMVA Summary'!E$54:E$74)+SUM('1.  LRAMVA Summary'!E$75:E$76)*(MONTH($E123)-1)/12)*$H123</f>
        <v>205.28448859229323</v>
      </c>
      <c r="K123" s="230">
        <f>(SUM('1.  LRAMVA Summary'!F$54:F$74)+SUM('1.  LRAMVA Summary'!F$75:F$76)*(MONTH($E123)-1)/12)*$H123</f>
        <v>-213.17317595348661</v>
      </c>
      <c r="L123" s="230">
        <f>(SUM('1.  LRAMVA Summary'!G$54:G$74)+SUM('1.  LRAMVA Summary'!G$75:G$76)*(MONTH($E123)-1)/12)*$H123</f>
        <v>35.777408745641885</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181.90965112828357</v>
      </c>
    </row>
    <row r="124" spans="2:23" s="9" customFormat="1">
      <c r="B124" s="66"/>
      <c r="E124" s="214">
        <v>43221</v>
      </c>
      <c r="F124" s="214" t="s">
        <v>185</v>
      </c>
      <c r="G124" s="215" t="s">
        <v>66</v>
      </c>
      <c r="H124" s="240">
        <f t="shared" ref="H124:H125" si="64">$C$44/12</f>
        <v>1.575E-3</v>
      </c>
      <c r="I124" s="230">
        <f>(SUM('1.  LRAMVA Summary'!D$54:D$74)+SUM('1.  LRAMVA Summary'!D$75:D$76)*(MONTH($E124)-1)/12)*$H124</f>
        <v>158.92898317569583</v>
      </c>
      <c r="J124" s="230">
        <f>(SUM('1.  LRAMVA Summary'!E$54:E$74)+SUM('1.  LRAMVA Summary'!E$75:E$76)*(MONTH($E124)-1)/12)*$H124</f>
        <v>214.98493923230563</v>
      </c>
      <c r="K124" s="230">
        <f>(SUM('1.  LRAMVA Summary'!F$54:F$74)+SUM('1.  LRAMVA Summary'!F$75:F$76)*(MONTH($E124)-1)/12)*$H124</f>
        <v>-225.5715108496762</v>
      </c>
      <c r="L124" s="230">
        <f>(SUM('1.  LRAMVA Summary'!G$54:G$74)+SUM('1.  LRAMVA Summary'!G$75:G$76)*(MONTH($E124)-1)/12)*$H124</f>
        <v>38.11060654830294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186.45301810662818</v>
      </c>
    </row>
    <row r="125" spans="2:23" s="238" customFormat="1">
      <c r="B125" s="237"/>
      <c r="E125" s="214">
        <v>43252</v>
      </c>
      <c r="F125" s="214" t="s">
        <v>185</v>
      </c>
      <c r="G125" s="215" t="s">
        <v>66</v>
      </c>
      <c r="H125" s="240">
        <f t="shared" si="64"/>
        <v>1.575E-3</v>
      </c>
      <c r="I125" s="230">
        <f>(SUM('1.  LRAMVA Summary'!D$54:D$74)+SUM('1.  LRAMVA Summary'!D$75:D$76)*(MONTH($E125)-1)/12)*$H125</f>
        <v>163.8370366075566</v>
      </c>
      <c r="J125" s="230">
        <f>(SUM('1.  LRAMVA Summary'!E$54:E$74)+SUM('1.  LRAMVA Summary'!E$75:E$76)*(MONTH($E125)-1)/12)*$H125</f>
        <v>224.68538987231801</v>
      </c>
      <c r="K125" s="230">
        <f>(SUM('1.  LRAMVA Summary'!F$54:F$74)+SUM('1.  LRAMVA Summary'!F$75:F$76)*(MONTH($E125)-1)/12)*$H125</f>
        <v>-237.9698457458658</v>
      </c>
      <c r="L125" s="230">
        <f>(SUM('1.  LRAMVA Summary'!G$54:G$74)+SUM('1.  LRAMVA Summary'!G$75:G$76)*(MONTH($E125)-1)/12)*$H125</f>
        <v>40.443804350963994</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190.99638508497284</v>
      </c>
    </row>
    <row r="126" spans="2:23" s="9" customFormat="1">
      <c r="B126" s="66"/>
      <c r="E126" s="214">
        <v>43282</v>
      </c>
      <c r="F126" s="214" t="s">
        <v>185</v>
      </c>
      <c r="G126" s="215" t="s">
        <v>68</v>
      </c>
      <c r="H126" s="240">
        <f>$C$45/12</f>
        <v>1.575E-3</v>
      </c>
      <c r="I126" s="230">
        <f>(SUM('1.  LRAMVA Summary'!D$54:D$74)+SUM('1.  LRAMVA Summary'!D$75:D$76)*(MONTH($E126)-1)/12)*$H126</f>
        <v>168.74509003941736</v>
      </c>
      <c r="J126" s="230">
        <f>(SUM('1.  LRAMVA Summary'!E$54:E$74)+SUM('1.  LRAMVA Summary'!E$75:E$76)*(MONTH($E126)-1)/12)*$H126</f>
        <v>234.38584051233039</v>
      </c>
      <c r="K126" s="230">
        <f>(SUM('1.  LRAMVA Summary'!F$54:F$74)+SUM('1.  LRAMVA Summary'!F$75:F$76)*(MONTH($E126)-1)/12)*$H126</f>
        <v>-250.36818064205542</v>
      </c>
      <c r="L126" s="230">
        <f>(SUM('1.  LRAMVA Summary'!G$54:G$74)+SUM('1.  LRAMVA Summary'!G$75:G$76)*(MONTH($E126)-1)/12)*$H126</f>
        <v>42.777002153625048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195.53975206331734</v>
      </c>
    </row>
    <row r="127" spans="2:23" s="9" customFormat="1">
      <c r="B127" s="66"/>
      <c r="E127" s="214">
        <v>43313</v>
      </c>
      <c r="F127" s="214" t="s">
        <v>185</v>
      </c>
      <c r="G127" s="215" t="s">
        <v>68</v>
      </c>
      <c r="H127" s="240">
        <f t="shared" ref="H127:H128" si="65">$C$45/12</f>
        <v>1.575E-3</v>
      </c>
      <c r="I127" s="230">
        <f>(SUM('1.  LRAMVA Summary'!D$54:D$74)+SUM('1.  LRAMVA Summary'!D$75:D$76)*(MONTH($E127)-1)/12)*$H127</f>
        <v>173.65314347127816</v>
      </c>
      <c r="J127" s="230">
        <f>(SUM('1.  LRAMVA Summary'!E$54:E$74)+SUM('1.  LRAMVA Summary'!E$75:E$76)*(MONTH($E127)-1)/12)*$H127</f>
        <v>244.08629115234282</v>
      </c>
      <c r="K127" s="230">
        <f>(SUM('1.  LRAMVA Summary'!F$54:F$74)+SUM('1.  LRAMVA Summary'!F$75:F$76)*(MONTH($E127)-1)/12)*$H127</f>
        <v>-262.76651553824502</v>
      </c>
      <c r="L127" s="230">
        <f>(SUM('1.  LRAMVA Summary'!G$54:G$74)+SUM('1.  LRAMVA Summary'!G$75:G$76)*(MONTH($E127)-1)/12)*$H127</f>
        <v>45.110199956286095</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200.08311904166206</v>
      </c>
    </row>
    <row r="128" spans="2:23" s="9" customFormat="1">
      <c r="B128" s="66"/>
      <c r="E128" s="214">
        <v>43344</v>
      </c>
      <c r="F128" s="214" t="s">
        <v>185</v>
      </c>
      <c r="G128" s="215" t="s">
        <v>68</v>
      </c>
      <c r="H128" s="240">
        <f t="shared" si="65"/>
        <v>1.575E-3</v>
      </c>
      <c r="I128" s="230">
        <f>(SUM('1.  LRAMVA Summary'!D$54:D$74)+SUM('1.  LRAMVA Summary'!D$75:D$76)*(MONTH($E128)-1)/12)*$H128</f>
        <v>178.56119690313889</v>
      </c>
      <c r="J128" s="230">
        <f>(SUM('1.  LRAMVA Summary'!E$54:E$74)+SUM('1.  LRAMVA Summary'!E$75:E$76)*(MONTH($E128)-1)/12)*$H128</f>
        <v>253.7867417923552</v>
      </c>
      <c r="K128" s="230">
        <f>(SUM('1.  LRAMVA Summary'!F$54:F$74)+SUM('1.  LRAMVA Summary'!F$75:F$76)*(MONTH($E128)-1)/12)*$H128</f>
        <v>-275.16485043443464</v>
      </c>
      <c r="L128" s="230">
        <f>(SUM('1.  LRAMVA Summary'!G$54:G$74)+SUM('1.  LRAMVA Summary'!G$75:G$76)*(MONTH($E128)-1)/12)*$H128</f>
        <v>47.44339775894715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204.62648602000664</v>
      </c>
    </row>
    <row r="129" spans="2:23" s="9" customFormat="1">
      <c r="B129" s="66"/>
      <c r="E129" s="214">
        <v>43374</v>
      </c>
      <c r="F129" s="214" t="s">
        <v>185</v>
      </c>
      <c r="G129" s="215" t="s">
        <v>69</v>
      </c>
      <c r="H129" s="240">
        <f>$C$46/12</f>
        <v>1.8083333333333335E-3</v>
      </c>
      <c r="I129" s="230">
        <f>(SUM('1.  LRAMVA Summary'!D$54:D$74)+SUM('1.  LRAMVA Summary'!D$75:D$76)*(MONTH($E129)-1)/12)*$H129</f>
        <v>210.64988001425888</v>
      </c>
      <c r="J129" s="230">
        <f>(SUM('1.  LRAMVA Summary'!E$54:E$74)+SUM('1.  LRAMVA Summary'!E$75:E$76)*(MONTH($E129)-1)/12)*$H129</f>
        <v>302.52233205197763</v>
      </c>
      <c r="K129" s="230">
        <f>(SUM('1.  LRAMVA Summary'!F$54:F$74)+SUM('1.  LRAMVA Summary'!F$75:F$76)*(MONTH($E129)-1)/12)*$H129</f>
        <v>-330.16513871293898</v>
      </c>
      <c r="L129" s="230">
        <f>(SUM('1.  LRAMVA Summary'!G$54:G$74)+SUM('1.  LRAMVA Summary'!G$75:G$76)*(MONTH($E129)-1)/12)*$H129</f>
        <v>57.150906015179793</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240.15797936847733</v>
      </c>
    </row>
    <row r="130" spans="2:23" s="9" customFormat="1">
      <c r="B130" s="66"/>
      <c r="E130" s="214">
        <v>43405</v>
      </c>
      <c r="F130" s="214" t="s">
        <v>185</v>
      </c>
      <c r="G130" s="215" t="s">
        <v>69</v>
      </c>
      <c r="H130" s="240">
        <f t="shared" ref="H130:H131" si="66">$C$46/12</f>
        <v>1.8083333333333335E-3</v>
      </c>
      <c r="I130" s="230">
        <f>(SUM('1.  LRAMVA Summary'!D$54:D$74)+SUM('1.  LRAMVA Summary'!D$75:D$76)*(MONTH($E130)-1)/12)*$H130</f>
        <v>216.285052473062</v>
      </c>
      <c r="J130" s="230">
        <f>(SUM('1.  LRAMVA Summary'!E$54:E$74)+SUM('1.  LRAMVA Summary'!E$75:E$76)*(MONTH($E130)-1)/12)*$H130</f>
        <v>313.65988649051042</v>
      </c>
      <c r="K130" s="230">
        <f>(SUM('1.  LRAMVA Summary'!F$54:F$74)+SUM('1.  LRAMVA Summary'!F$75:F$76)*(MONTH($E130)-1)/12)*$H130</f>
        <v>-344.40026396411963</v>
      </c>
      <c r="L130" s="230">
        <f>(SUM('1.  LRAMVA Summary'!G$54:G$74)+SUM('1.  LRAMVA Summary'!G$75:G$76)*(MONTH($E130)-1)/12)*$H130</f>
        <v>59.829762751568403</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245.37443775102122</v>
      </c>
    </row>
    <row r="131" spans="2:23" s="9" customFormat="1">
      <c r="B131" s="66"/>
      <c r="E131" s="214">
        <v>43435</v>
      </c>
      <c r="F131" s="214" t="s">
        <v>185</v>
      </c>
      <c r="G131" s="215" t="s">
        <v>69</v>
      </c>
      <c r="H131" s="240">
        <f t="shared" si="66"/>
        <v>1.8083333333333335E-3</v>
      </c>
      <c r="I131" s="230">
        <f>(SUM('1.  LRAMVA Summary'!D$54:D$74)+SUM('1.  LRAMVA Summary'!D$75:D$76)*(MONTH($E131)-1)/12)*$H131</f>
        <v>221.92022493186508</v>
      </c>
      <c r="J131" s="230">
        <f>(SUM('1.  LRAMVA Summary'!E$54:E$74)+SUM('1.  LRAMVA Summary'!E$75:E$76)*(MONTH($E131)-1)/12)*$H131</f>
        <v>324.79744092904315</v>
      </c>
      <c r="K131" s="230">
        <f>(SUM('1.  LRAMVA Summary'!F$54:F$74)+SUM('1.  LRAMVA Summary'!F$75:F$76)*(MONTH($E131)-1)/12)*$H131</f>
        <v>-358.63538921530028</v>
      </c>
      <c r="L131" s="230">
        <f>(SUM('1.  LRAMVA Summary'!G$54:G$74)+SUM('1.  LRAMVA Summary'!G$75:G$76)*(MONTH($E131)-1)/12)*$H131</f>
        <v>62.50861948795702</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250.590896133565</v>
      </c>
    </row>
    <row r="132" spans="2:23" s="9" customFormat="1" ht="15.75" thickBot="1">
      <c r="B132" s="66"/>
      <c r="E132" s="216" t="s">
        <v>467</v>
      </c>
      <c r="F132" s="216"/>
      <c r="G132" s="217"/>
      <c r="H132" s="218"/>
      <c r="I132" s="219">
        <f>SUM(I119:I131)</f>
        <v>2885.5315655816389</v>
      </c>
      <c r="J132" s="219">
        <f>SUM(J119:J131)</f>
        <v>4092.07607885469</v>
      </c>
      <c r="K132" s="219">
        <f t="shared" ref="K132:O132" si="67">SUM(K119:K131)</f>
        <v>-3342.2016497926634</v>
      </c>
      <c r="L132" s="219">
        <f t="shared" si="67"/>
        <v>620.53979921459529</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4255.94579385826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2885.5315655816389</v>
      </c>
      <c r="J134" s="228">
        <f t="shared" ref="J134" si="69">J132+J133</f>
        <v>4092.07607885469</v>
      </c>
      <c r="K134" s="228">
        <f t="shared" ref="K134" si="70">K132+K133</f>
        <v>-3342.2016497926634</v>
      </c>
      <c r="L134" s="228">
        <f t="shared" ref="L134" si="71">L132+L133</f>
        <v>620.53979921459529</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4255.94579385826</v>
      </c>
    </row>
    <row r="135" spans="2:23" s="9" customFormat="1">
      <c r="B135" s="66"/>
      <c r="E135" s="214">
        <v>43466</v>
      </c>
      <c r="F135" s="214" t="s">
        <v>186</v>
      </c>
      <c r="G135" s="215" t="s">
        <v>65</v>
      </c>
      <c r="H135" s="240">
        <f>$C$47/12</f>
        <v>2.0416666666666669E-3</v>
      </c>
      <c r="I135" s="230">
        <f>(SUM('1.  LRAMVA Summary'!D$54:D$77)+SUM('1.  LRAMVA Summary'!D$78:D$79)*(MONTH($E135)-1)/12)*$H135</f>
        <v>256.91738415075446</v>
      </c>
      <c r="J135" s="230">
        <f>(SUM('1.  LRAMVA Summary'!E$54:E$77)+SUM('1.  LRAMVA Summary'!E$78:E$79)*(MONTH($E135)-1)/12)*$H135</f>
        <v>379.28144638274699</v>
      </c>
      <c r="K135" s="230">
        <f>(SUM('1.  LRAMVA Summary'!F$54:F$77)+SUM('1.  LRAMVA Summary'!F$78:F$79)*(MONTH($E135)-1)/12)*$H135</f>
        <v>-420.98283891376883</v>
      </c>
      <c r="L135" s="230">
        <f>(SUM('1.  LRAMVA Summary'!G$54:G$77)+SUM('1.  LRAMVA Summary'!G$78:G$79)*(MONTH($E135)-1)/12)*$H135</f>
        <v>73.598763479099901</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288.81475509883251</v>
      </c>
    </row>
    <row r="136" spans="2:23" s="9" customFormat="1">
      <c r="B136" s="66"/>
      <c r="E136" s="214">
        <v>43497</v>
      </c>
      <c r="F136" s="214" t="s">
        <v>186</v>
      </c>
      <c r="G136" s="215" t="s">
        <v>65</v>
      </c>
      <c r="H136" s="240">
        <f t="shared" ref="H136:H137" si="75">$C$47/12</f>
        <v>2.0416666666666669E-3</v>
      </c>
      <c r="I136" s="230">
        <f>(SUM('1.  LRAMVA Summary'!D$54:D$77)+SUM('1.  LRAMVA Summary'!D$78:D$79)*(MONTH($E136)-1)/12)*$H136</f>
        <v>260.09908447838649</v>
      </c>
      <c r="J136" s="230">
        <f>(SUM('1.  LRAMVA Summary'!E$54:E$77)+SUM('1.  LRAMVA Summary'!E$78:E$79)*(MONTH($E136)-1)/12)*$H136</f>
        <v>393.53619068401025</v>
      </c>
      <c r="K136" s="230">
        <f>(SUM('1.  LRAMVA Summary'!F$54:F$77)+SUM('1.  LRAMVA Summary'!F$78:F$79)*(MONTH($E136)-1)/12)*$H136</f>
        <v>-434.07090231358433</v>
      </c>
      <c r="L136" s="230">
        <f>(SUM('1.  LRAMVA Summary'!G$54:G$77)+SUM('1.  LRAMVA Summary'!G$78:G$79)*(MONTH($E136)-1)/12)*$H136</f>
        <v>76.655042561536305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296.21941541034869</v>
      </c>
    </row>
    <row r="137" spans="2:23" s="9" customFormat="1">
      <c r="B137" s="66"/>
      <c r="E137" s="214">
        <v>43525</v>
      </c>
      <c r="F137" s="214" t="s">
        <v>186</v>
      </c>
      <c r="G137" s="215" t="s">
        <v>65</v>
      </c>
      <c r="H137" s="240">
        <f t="shared" si="75"/>
        <v>2.0416666666666669E-3</v>
      </c>
      <c r="I137" s="230">
        <f>(SUM('1.  LRAMVA Summary'!D$54:D$77)+SUM('1.  LRAMVA Summary'!D$78:D$79)*(MONTH($E137)-1)/12)*$H137</f>
        <v>263.28078480601857</v>
      </c>
      <c r="J137" s="230">
        <f>(SUM('1.  LRAMVA Summary'!E$54:E$77)+SUM('1.  LRAMVA Summary'!E$78:E$79)*(MONTH($E137)-1)/12)*$H137</f>
        <v>407.79093498527357</v>
      </c>
      <c r="K137" s="230">
        <f>(SUM('1.  LRAMVA Summary'!F$54:F$77)+SUM('1.  LRAMVA Summary'!F$78:F$79)*(MONTH($E137)-1)/12)*$H137</f>
        <v>-447.15896571339971</v>
      </c>
      <c r="L137" s="230">
        <f>(SUM('1.  LRAMVA Summary'!G$54:G$77)+SUM('1.  LRAMVA Summary'!G$78:G$79)*(MONTH($E137)-1)/12)*$H137</f>
        <v>79.711321643972695</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303.6240757218651</v>
      </c>
    </row>
    <row r="138" spans="2:23" s="8" customFormat="1">
      <c r="B138" s="239"/>
      <c r="E138" s="214">
        <v>43556</v>
      </c>
      <c r="F138" s="214" t="s">
        <v>186</v>
      </c>
      <c r="G138" s="215" t="s">
        <v>66</v>
      </c>
      <c r="H138" s="240">
        <f>$C$48/12</f>
        <v>1.8166666666666667E-3</v>
      </c>
      <c r="I138" s="230">
        <f>(SUM('1.  LRAMVA Summary'!D$54:D$77)+SUM('1.  LRAMVA Summary'!D$78:D$79)*(MONTH($E138)-1)/12)*$H138</f>
        <v>237.0972316699422</v>
      </c>
      <c r="J138" s="230">
        <f>(SUM('1.  LRAMVA Summary'!E$54:E$77)+SUM('1.  LRAMVA Summary'!E$78:E$79)*(MONTH($E138)-1)/12)*$H138</f>
        <v>375.53452279373477</v>
      </c>
      <c r="K138" s="230">
        <f>(SUM('1.  LRAMVA Summary'!F$54:F$77)+SUM('1.  LRAMVA Summary'!F$78:F$79)*(MONTH($E138)-1)/12)*$H138</f>
        <v>-409.5259279456364</v>
      </c>
      <c r="L138" s="230">
        <f>(SUM('1.  LRAMVA Summary'!G$54:G$77)+SUM('1.  LRAMVA Summary'!G$78:G$79)*(MONTH($E138)-1)/12)*$H138</f>
        <v>73.646273299417075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276.75209981745769</v>
      </c>
    </row>
    <row r="139" spans="2:23" s="9" customFormat="1">
      <c r="B139" s="66"/>
      <c r="E139" s="214">
        <v>43586</v>
      </c>
      <c r="F139" s="214" t="s">
        <v>186</v>
      </c>
      <c r="G139" s="215" t="s">
        <v>66</v>
      </c>
      <c r="H139" s="240">
        <f>$C$48/12</f>
        <v>1.8166666666666667E-3</v>
      </c>
      <c r="I139" s="230">
        <f>(SUM('1.  LRAMVA Summary'!D$54:D$77)+SUM('1.  LRAMVA Summary'!D$78:D$79)*(MONTH($E139)-1)/12)*$H139</f>
        <v>239.92829563493723</v>
      </c>
      <c r="J139" s="230">
        <f>(SUM('1.  LRAMVA Summary'!E$54:E$77)+SUM('1.  LRAMVA Summary'!E$78:E$79)*(MONTH($E139)-1)/12)*$H139</f>
        <v>388.21833609036901</v>
      </c>
      <c r="K139" s="230">
        <f>(SUM('1.  LRAMVA Summary'!F$54:F$77)+SUM('1.  LRAMVA Summary'!F$78:F$79)*(MONTH($E139)-1)/12)*$H139</f>
        <v>-421.17163333812528</v>
      </c>
      <c r="L139" s="230">
        <f>(SUM('1.  LRAMVA Summary'!G$54:G$77)+SUM('1.  LRAMVA Summary'!G$78:G$79)*(MONTH($E139)-1)/12)*$H139</f>
        <v>76.365737952360476</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283.34073633954137</v>
      </c>
    </row>
    <row r="140" spans="2:23" s="9" customFormat="1">
      <c r="B140" s="66"/>
      <c r="E140" s="214">
        <v>43617</v>
      </c>
      <c r="F140" s="214" t="s">
        <v>186</v>
      </c>
      <c r="G140" s="215" t="s">
        <v>66</v>
      </c>
      <c r="H140" s="240">
        <f t="shared" ref="H140" si="77">$C$48/12</f>
        <v>1.8166666666666667E-3</v>
      </c>
      <c r="I140" s="230">
        <f>(SUM('1.  LRAMVA Summary'!D$54:D$77)+SUM('1.  LRAMVA Summary'!D$78:D$79)*(MONTH($E140)-1)/12)*$H140</f>
        <v>242.75935959993237</v>
      </c>
      <c r="J140" s="230">
        <f>(SUM('1.  LRAMVA Summary'!E$54:E$77)+SUM('1.  LRAMVA Summary'!E$78:E$79)*(MONTH($E140)-1)/12)*$H140</f>
        <v>400.90214938700331</v>
      </c>
      <c r="K140" s="230">
        <f>(SUM('1.  LRAMVA Summary'!F$54:F$77)+SUM('1.  LRAMVA Summary'!F$78:F$79)*(MONTH($E140)-1)/12)*$H140</f>
        <v>-432.81733873061415</v>
      </c>
      <c r="L140" s="230">
        <f>(SUM('1.  LRAMVA Summary'!G$54:G$77)+SUM('1.  LRAMVA Summary'!G$78:G$79)*(MONTH($E140)-1)/12)*$H140</f>
        <v>79.085202605303891</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289.92937286162544</v>
      </c>
    </row>
    <row r="141" spans="2:23" s="9" customFormat="1">
      <c r="B141" s="66"/>
      <c r="E141" s="214">
        <v>43647</v>
      </c>
      <c r="F141" s="214" t="s">
        <v>186</v>
      </c>
      <c r="G141" s="215" t="s">
        <v>68</v>
      </c>
      <c r="H141" s="240">
        <f>$C$49/12</f>
        <v>1.8166666666666667E-3</v>
      </c>
      <c r="I141" s="230">
        <f>(SUM('1.  LRAMVA Summary'!D$54:D$77)+SUM('1.  LRAMVA Summary'!D$78:D$79)*(MONTH($E141)-1)/12)*$H141</f>
        <v>245.59042356492742</v>
      </c>
      <c r="J141" s="230">
        <f>(SUM('1.  LRAMVA Summary'!E$54:E$77)+SUM('1.  LRAMVA Summary'!E$78:E$79)*(MONTH($E141)-1)/12)*$H141</f>
        <v>413.58596268363755</v>
      </c>
      <c r="K141" s="230">
        <f>(SUM('1.  LRAMVA Summary'!F$54:F$77)+SUM('1.  LRAMVA Summary'!F$78:F$79)*(MONTH($E141)-1)/12)*$H141</f>
        <v>-444.46304412310303</v>
      </c>
      <c r="L141" s="230">
        <f>(SUM('1.  LRAMVA Summary'!G$54:G$77)+SUM('1.  LRAMVA Summary'!G$78:G$79)*(MONTH($E141)-1)/12)*$H141</f>
        <v>81.804667258247306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296.51800938370928</v>
      </c>
    </row>
    <row r="142" spans="2:23" s="9" customFormat="1">
      <c r="B142" s="66"/>
      <c r="E142" s="214">
        <v>43678</v>
      </c>
      <c r="F142" s="214" t="s">
        <v>186</v>
      </c>
      <c r="G142" s="215" t="s">
        <v>68</v>
      </c>
      <c r="H142" s="240">
        <f t="shared" ref="H142" si="78">$C$49/12</f>
        <v>1.8166666666666667E-3</v>
      </c>
      <c r="I142" s="230">
        <f>(SUM('1.  LRAMVA Summary'!D$54:D$77)+SUM('1.  LRAMVA Summary'!D$78:D$79)*(MONTH($E142)-1)/12)*$H142</f>
        <v>248.42148752992247</v>
      </c>
      <c r="J142" s="230">
        <f>(SUM('1.  LRAMVA Summary'!E$54:E$77)+SUM('1.  LRAMVA Summary'!E$78:E$79)*(MONTH($E142)-1)/12)*$H142</f>
        <v>426.26977598027185</v>
      </c>
      <c r="K142" s="230">
        <f>(SUM('1.  LRAMVA Summary'!F$54:F$77)+SUM('1.  LRAMVA Summary'!F$78:F$79)*(MONTH($E142)-1)/12)*$H142</f>
        <v>-456.10874951559185</v>
      </c>
      <c r="L142" s="230">
        <f>(SUM('1.  LRAMVA Summary'!G$54:G$77)+SUM('1.  LRAMVA Summary'!G$78:G$79)*(MONTH($E142)-1)/12)*$H142</f>
        <v>84.524131911190707</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303.10664590579313</v>
      </c>
    </row>
    <row r="143" spans="2:23" s="9" customFormat="1">
      <c r="B143" s="66"/>
      <c r="E143" s="214">
        <v>43709</v>
      </c>
      <c r="F143" s="214" t="s">
        <v>186</v>
      </c>
      <c r="G143" s="215" t="s">
        <v>68</v>
      </c>
      <c r="H143" s="240">
        <f>$C$49/12</f>
        <v>1.8166666666666667E-3</v>
      </c>
      <c r="I143" s="230">
        <f>(SUM('1.  LRAMVA Summary'!D$54:D$77)+SUM('1.  LRAMVA Summary'!D$78:D$79)*(MONTH($E143)-1)/12)*$H143</f>
        <v>251.25255149491755</v>
      </c>
      <c r="J143" s="230">
        <f>(SUM('1.  LRAMVA Summary'!E$54:E$77)+SUM('1.  LRAMVA Summary'!E$78:E$79)*(MONTH($E143)-1)/12)*$H143</f>
        <v>438.95358927690609</v>
      </c>
      <c r="K143" s="230">
        <f>(SUM('1.  LRAMVA Summary'!F$54:F$77)+SUM('1.  LRAMVA Summary'!F$78:F$79)*(MONTH($E143)-1)/12)*$H143</f>
        <v>-467.75445490808073</v>
      </c>
      <c r="L143" s="230">
        <f>(SUM('1.  LRAMVA Summary'!G$54:G$77)+SUM('1.  LRAMVA Summary'!G$78:G$79)*(MONTH($E143)-1)/12)*$H143</f>
        <v>87.243596564134123</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309.69528242787698</v>
      </c>
    </row>
    <row r="144" spans="2:23" s="9" customFormat="1">
      <c r="B144" s="66"/>
      <c r="E144" s="214">
        <v>43739</v>
      </c>
      <c r="F144" s="214" t="s">
        <v>186</v>
      </c>
      <c r="G144" s="215" t="s">
        <v>69</v>
      </c>
      <c r="H144" s="240">
        <f>$C$50/12</f>
        <v>1.8166666666666667E-3</v>
      </c>
      <c r="I144" s="230">
        <f>(SUM('1.  LRAMVA Summary'!D$54:D$77)+SUM('1.  LRAMVA Summary'!D$78:D$79)*(MONTH($E144)-1)/12)*$H144</f>
        <v>254.08361545991261</v>
      </c>
      <c r="J144" s="230">
        <f>(SUM('1.  LRAMVA Summary'!E$54:E$77)+SUM('1.  LRAMVA Summary'!E$78:E$79)*(MONTH($E144)-1)/12)*$H144</f>
        <v>451.63740257354033</v>
      </c>
      <c r="K144" s="230">
        <f>(SUM('1.  LRAMVA Summary'!F$54:F$77)+SUM('1.  LRAMVA Summary'!F$78:F$79)*(MONTH($E144)-1)/12)*$H144</f>
        <v>-479.40016030056955</v>
      </c>
      <c r="L144" s="230">
        <f>(SUM('1.  LRAMVA Summary'!G$54:G$77)+SUM('1.  LRAMVA Summary'!G$78:G$79)*(MONTH($E144)-1)/12)*$H144</f>
        <v>89.963061217077538</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316.28391894996099</v>
      </c>
    </row>
    <row r="145" spans="2:23" s="9" customFormat="1">
      <c r="B145" s="66"/>
      <c r="E145" s="214">
        <v>43770</v>
      </c>
      <c r="F145" s="214" t="s">
        <v>186</v>
      </c>
      <c r="G145" s="215" t="s">
        <v>69</v>
      </c>
      <c r="H145" s="240">
        <f t="shared" ref="H145:H146" si="79">$C$50/12</f>
        <v>1.8166666666666667E-3</v>
      </c>
      <c r="I145" s="230">
        <f>(SUM('1.  LRAMVA Summary'!D$54:D$77)+SUM('1.  LRAMVA Summary'!D$78:D$79)*(MONTH($E145)-1)/12)*$H145</f>
        <v>256.91467942490766</v>
      </c>
      <c r="J145" s="230">
        <f>(SUM('1.  LRAMVA Summary'!E$54:E$77)+SUM('1.  LRAMVA Summary'!E$78:E$79)*(MONTH($E145)-1)/12)*$H145</f>
        <v>464.32121587017463</v>
      </c>
      <c r="K145" s="230">
        <f>(SUM('1.  LRAMVA Summary'!F$54:F$77)+SUM('1.  LRAMVA Summary'!F$78:F$79)*(MONTH($E145)-1)/12)*$H145</f>
        <v>-491.04586569305843</v>
      </c>
      <c r="L145" s="230">
        <f>(SUM('1.  LRAMVA Summary'!G$54:G$77)+SUM('1.  LRAMVA Summary'!G$78:G$79)*(MONTH($E145)-1)/12)*$H145</f>
        <v>92.682525870020953</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322.87255547204484</v>
      </c>
    </row>
    <row r="146" spans="2:23" s="9" customFormat="1">
      <c r="B146" s="66"/>
      <c r="E146" s="214">
        <v>43800</v>
      </c>
      <c r="F146" s="214" t="s">
        <v>186</v>
      </c>
      <c r="G146" s="215" t="s">
        <v>69</v>
      </c>
      <c r="H146" s="240">
        <f t="shared" si="79"/>
        <v>1.8166666666666667E-3</v>
      </c>
      <c r="I146" s="230">
        <f>(SUM('1.  LRAMVA Summary'!D$54:D$77)+SUM('1.  LRAMVA Summary'!D$78:D$79)*(MONTH($E146)-1)/12)*$H146</f>
        <v>259.74574338990271</v>
      </c>
      <c r="J146" s="230">
        <f>(SUM('1.  LRAMVA Summary'!E$54:E$77)+SUM('1.  LRAMVA Summary'!E$78:E$79)*(MONTH($E146)-1)/12)*$H146</f>
        <v>477.00502916680881</v>
      </c>
      <c r="K146" s="230">
        <f>(SUM('1.  LRAMVA Summary'!F$54:F$77)+SUM('1.  LRAMVA Summary'!F$78:F$79)*(MONTH($E146)-1)/12)*$H146</f>
        <v>-502.69157108554731</v>
      </c>
      <c r="L146" s="230">
        <f>(SUM('1.  LRAMVA Summary'!G$54:G$77)+SUM('1.  LRAMVA Summary'!G$78:G$79)*(MONTH($E146)-1)/12)*$H146</f>
        <v>95.401990522964368</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329.46119199412863</v>
      </c>
    </row>
    <row r="147" spans="2:23" s="9" customFormat="1" ht="15.75" thickBot="1">
      <c r="B147" s="66"/>
      <c r="E147" s="216" t="s">
        <v>468</v>
      </c>
      <c r="F147" s="216"/>
      <c r="G147" s="217"/>
      <c r="H147" s="218"/>
      <c r="I147" s="219">
        <f>SUM(I134:I146)</f>
        <v>5901.6222067861008</v>
      </c>
      <c r="J147" s="219">
        <f>SUM(J134:J146)</f>
        <v>9109.1126347291665</v>
      </c>
      <c r="K147" s="219">
        <f t="shared" ref="K147:O147" si="80">SUM(K134:K146)</f>
        <v>-8749.3931023737423</v>
      </c>
      <c r="L147" s="219">
        <f t="shared" si="80"/>
        <v>1611.2221140999206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7872.563853241445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5901.6222067861008</v>
      </c>
      <c r="J149" s="228">
        <f t="shared" ref="J149" si="82">J147+J148</f>
        <v>9109.1126347291665</v>
      </c>
      <c r="K149" s="228">
        <f t="shared" ref="K149" si="83">K147+K148</f>
        <v>-8749.3931023737423</v>
      </c>
      <c r="L149" s="228">
        <f t="shared" ref="L149" si="84">L147+L148</f>
        <v>1611.2221140999206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7872.563853241445</v>
      </c>
    </row>
    <row r="150" spans="2:23" s="9" customFormat="1">
      <c r="B150" s="66"/>
      <c r="E150" s="214">
        <v>43831</v>
      </c>
      <c r="F150" s="214" t="s">
        <v>187</v>
      </c>
      <c r="G150" s="215" t="s">
        <v>65</v>
      </c>
      <c r="H150" s="744">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744">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0</v>
      </c>
    </row>
    <row r="152" spans="2:23" s="9" customFormat="1">
      <c r="B152" s="66"/>
      <c r="E152" s="214">
        <v>43891</v>
      </c>
      <c r="F152" s="214" t="s">
        <v>187</v>
      </c>
      <c r="G152" s="215" t="s">
        <v>65</v>
      </c>
      <c r="H152" s="744">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0</v>
      </c>
    </row>
    <row r="153" spans="2:23" s="9" customFormat="1">
      <c r="B153" s="66"/>
      <c r="E153" s="214">
        <v>43922</v>
      </c>
      <c r="F153" s="214" t="s">
        <v>187</v>
      </c>
      <c r="G153" s="215" t="s">
        <v>66</v>
      </c>
      <c r="H153" s="744">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0</v>
      </c>
    </row>
    <row r="154" spans="2:23" s="9" customFormat="1">
      <c r="B154" s="66"/>
      <c r="E154" s="214">
        <v>43952</v>
      </c>
      <c r="F154" s="214" t="s">
        <v>187</v>
      </c>
      <c r="G154" s="215" t="s">
        <v>66</v>
      </c>
      <c r="H154" s="744">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744">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744">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744">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744">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744">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744">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744">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5901.6222067861008</v>
      </c>
      <c r="J162" s="219">
        <f>SUM(J149:J161)</f>
        <v>9109.1126347291665</v>
      </c>
      <c r="K162" s="219">
        <f t="shared" ref="K162:O162" si="89">SUM(K149:K161)</f>
        <v>-8749.3931023737423</v>
      </c>
      <c r="L162" s="219">
        <f t="shared" si="89"/>
        <v>1611.2221140999206</v>
      </c>
      <c r="M162" s="219">
        <f t="shared" si="89"/>
        <v>0</v>
      </c>
      <c r="N162" s="219">
        <f t="shared" si="89"/>
        <v>0</v>
      </c>
      <c r="O162" s="219">
        <f t="shared" si="89"/>
        <v>0</v>
      </c>
      <c r="P162" s="219">
        <f t="shared" ref="P162:V162" si="90">SUM(P149:P161)</f>
        <v>0</v>
      </c>
      <c r="Q162" s="219">
        <f t="shared" si="90"/>
        <v>0</v>
      </c>
      <c r="R162" s="219">
        <f t="shared" si="90"/>
        <v>0</v>
      </c>
      <c r="S162" s="219">
        <f t="shared" si="90"/>
        <v>0</v>
      </c>
      <c r="T162" s="219">
        <f t="shared" si="90"/>
        <v>0</v>
      </c>
      <c r="U162" s="219">
        <f t="shared" si="90"/>
        <v>0</v>
      </c>
      <c r="V162" s="219">
        <f t="shared" si="90"/>
        <v>0</v>
      </c>
      <c r="W162" s="219">
        <f>SUM(W149:W161)</f>
        <v>7872.563853241445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692</v>
      </c>
      <c r="F164" s="225"/>
      <c r="G164" s="226"/>
      <c r="H164" s="227"/>
      <c r="I164" s="228">
        <f>I162+I163</f>
        <v>5901.6222067861008</v>
      </c>
      <c r="J164" s="228">
        <f t="shared" ref="J164:U164" si="91">J162+J163</f>
        <v>9109.1126347291665</v>
      </c>
      <c r="K164" s="228">
        <f t="shared" si="91"/>
        <v>-8749.3931023737423</v>
      </c>
      <c r="L164" s="228">
        <f t="shared" si="91"/>
        <v>1611.2221140999206</v>
      </c>
      <c r="M164" s="228">
        <f t="shared" si="91"/>
        <v>0</v>
      </c>
      <c r="N164" s="228">
        <f t="shared" si="91"/>
        <v>0</v>
      </c>
      <c r="O164" s="228">
        <f t="shared" si="91"/>
        <v>0</v>
      </c>
      <c r="P164" s="228">
        <f t="shared" si="91"/>
        <v>0</v>
      </c>
      <c r="Q164" s="228">
        <f t="shared" si="91"/>
        <v>0</v>
      </c>
      <c r="R164" s="228">
        <f t="shared" si="91"/>
        <v>0</v>
      </c>
      <c r="S164" s="228">
        <f t="shared" si="91"/>
        <v>0</v>
      </c>
      <c r="T164" s="228">
        <f t="shared" si="91"/>
        <v>0</v>
      </c>
      <c r="U164" s="228">
        <f t="shared" si="91"/>
        <v>0</v>
      </c>
      <c r="V164" s="228">
        <f>V162+V163</f>
        <v>0</v>
      </c>
      <c r="W164" s="228">
        <f>W162+W163</f>
        <v>7872.563853241445</v>
      </c>
    </row>
    <row r="165" spans="2:23">
      <c r="E165" s="214">
        <v>44197</v>
      </c>
      <c r="F165" s="214" t="s">
        <v>698</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698</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2">SUM(I166:V166)</f>
        <v>0</v>
      </c>
    </row>
    <row r="167" spans="2:23">
      <c r="E167" s="214">
        <v>44256</v>
      </c>
      <c r="F167" s="214" t="s">
        <v>698</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2"/>
        <v>0</v>
      </c>
    </row>
    <row r="168" spans="2:23">
      <c r="E168" s="214">
        <v>44287</v>
      </c>
      <c r="F168" s="214" t="s">
        <v>698</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2"/>
        <v>0</v>
      </c>
    </row>
    <row r="169" spans="2:23">
      <c r="E169" s="214">
        <v>44317</v>
      </c>
      <c r="F169" s="214" t="s">
        <v>698</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2"/>
        <v>0</v>
      </c>
    </row>
    <row r="170" spans="2:23">
      <c r="E170" s="214">
        <v>44348</v>
      </c>
      <c r="F170" s="214" t="s">
        <v>698</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2"/>
        <v>0</v>
      </c>
    </row>
    <row r="171" spans="2:23">
      <c r="E171" s="214">
        <v>44378</v>
      </c>
      <c r="F171" s="214" t="s">
        <v>698</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2"/>
        <v>0</v>
      </c>
    </row>
    <row r="172" spans="2:23">
      <c r="E172" s="214">
        <v>44409</v>
      </c>
      <c r="F172" s="214" t="s">
        <v>698</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2"/>
        <v>0</v>
      </c>
    </row>
    <row r="173" spans="2:23">
      <c r="E173" s="214">
        <v>44440</v>
      </c>
      <c r="F173" s="214" t="s">
        <v>698</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2"/>
        <v>0</v>
      </c>
    </row>
    <row r="174" spans="2:23">
      <c r="E174" s="214">
        <v>44470</v>
      </c>
      <c r="F174" s="214" t="s">
        <v>698</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2"/>
        <v>0</v>
      </c>
    </row>
    <row r="175" spans="2:23">
      <c r="E175" s="214">
        <v>44501</v>
      </c>
      <c r="F175" s="214" t="s">
        <v>698</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2"/>
        <v>0</v>
      </c>
    </row>
    <row r="176" spans="2:23">
      <c r="E176" s="214">
        <v>44531</v>
      </c>
      <c r="F176" s="214" t="s">
        <v>698</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693</v>
      </c>
      <c r="F177" s="216"/>
      <c r="G177" s="217"/>
      <c r="H177" s="218"/>
      <c r="I177" s="219">
        <f>SUM(I164:I176)</f>
        <v>5901.6222067861008</v>
      </c>
      <c r="J177" s="219">
        <f>SUM(J164:J176)</f>
        <v>9109.1126347291665</v>
      </c>
      <c r="K177" s="219">
        <f t="shared" ref="K177:V177" si="93">SUM(K164:K176)</f>
        <v>-8749.3931023737423</v>
      </c>
      <c r="L177" s="219">
        <f t="shared" si="93"/>
        <v>1611.2221140999206</v>
      </c>
      <c r="M177" s="219">
        <f t="shared" si="93"/>
        <v>0</v>
      </c>
      <c r="N177" s="219">
        <f t="shared" si="93"/>
        <v>0</v>
      </c>
      <c r="O177" s="219">
        <f t="shared" si="93"/>
        <v>0</v>
      </c>
      <c r="P177" s="219">
        <f t="shared" si="93"/>
        <v>0</v>
      </c>
      <c r="Q177" s="219">
        <f t="shared" si="93"/>
        <v>0</v>
      </c>
      <c r="R177" s="219">
        <f t="shared" si="93"/>
        <v>0</v>
      </c>
      <c r="S177" s="219">
        <f t="shared" si="93"/>
        <v>0</v>
      </c>
      <c r="T177" s="219">
        <f t="shared" si="93"/>
        <v>0</v>
      </c>
      <c r="U177" s="219">
        <f t="shared" si="93"/>
        <v>0</v>
      </c>
      <c r="V177" s="219">
        <f t="shared" si="93"/>
        <v>0</v>
      </c>
      <c r="W177" s="219">
        <f>SUM(W164:W176)</f>
        <v>7872.563853241445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694</v>
      </c>
      <c r="F179" s="225"/>
      <c r="G179" s="226"/>
      <c r="H179" s="227"/>
      <c r="I179" s="228">
        <f>I177+I178</f>
        <v>5901.6222067861008</v>
      </c>
      <c r="J179" s="228">
        <f t="shared" ref="J179:U179" si="94">J177+J178</f>
        <v>9109.1126347291665</v>
      </c>
      <c r="K179" s="228">
        <f t="shared" si="94"/>
        <v>-8749.3931023737423</v>
      </c>
      <c r="L179" s="228">
        <f t="shared" si="94"/>
        <v>1611.2221140999206</v>
      </c>
      <c r="M179" s="228">
        <f t="shared" si="94"/>
        <v>0</v>
      </c>
      <c r="N179" s="228">
        <f t="shared" si="94"/>
        <v>0</v>
      </c>
      <c r="O179" s="228">
        <f t="shared" si="94"/>
        <v>0</v>
      </c>
      <c r="P179" s="228">
        <f t="shared" si="94"/>
        <v>0</v>
      </c>
      <c r="Q179" s="228">
        <f t="shared" si="94"/>
        <v>0</v>
      </c>
      <c r="R179" s="228">
        <f t="shared" si="94"/>
        <v>0</v>
      </c>
      <c r="S179" s="228">
        <f t="shared" si="94"/>
        <v>0</v>
      </c>
      <c r="T179" s="228">
        <f t="shared" si="94"/>
        <v>0</v>
      </c>
      <c r="U179" s="228">
        <f t="shared" si="94"/>
        <v>0</v>
      </c>
      <c r="V179" s="228">
        <f>V177+V178</f>
        <v>0</v>
      </c>
      <c r="W179" s="228">
        <f>W177+W178</f>
        <v>7872.563853241445</v>
      </c>
    </row>
    <row r="180" spans="5:23">
      <c r="E180" s="214">
        <v>44562</v>
      </c>
      <c r="F180" s="214" t="s">
        <v>699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5">SUM(I181:V181)</f>
        <v>0</v>
      </c>
    </row>
    <row r="182" spans="5:23">
      <c r="E182" s="214">
        <v>44621</v>
      </c>
      <c r="F182" s="214" t="s">
        <v>699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5"/>
        <v>0</v>
      </c>
    </row>
    <row r="183" spans="5:23">
      <c r="E183" s="214">
        <v>44652</v>
      </c>
      <c r="F183" s="214" t="s">
        <v>699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5"/>
        <v>0</v>
      </c>
    </row>
    <row r="184" spans="5:23">
      <c r="E184" s="214">
        <v>44682</v>
      </c>
      <c r="F184" s="214" t="s">
        <v>699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5"/>
        <v>0</v>
      </c>
    </row>
    <row r="185" spans="5:23">
      <c r="E185" s="214">
        <v>44713</v>
      </c>
      <c r="F185" s="214" t="s">
        <v>699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5"/>
        <v>0</v>
      </c>
    </row>
    <row r="186" spans="5:23">
      <c r="E186" s="214">
        <v>44743</v>
      </c>
      <c r="F186" s="214" t="s">
        <v>699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5"/>
        <v>0</v>
      </c>
    </row>
    <row r="187" spans="5:23">
      <c r="E187" s="214">
        <v>44774</v>
      </c>
      <c r="F187" s="214" t="s">
        <v>699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5"/>
        <v>0</v>
      </c>
    </row>
    <row r="188" spans="5:23">
      <c r="E188" s="214">
        <v>44805</v>
      </c>
      <c r="F188" s="214" t="s">
        <v>699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5"/>
        <v>0</v>
      </c>
    </row>
    <row r="189" spans="5:23">
      <c r="E189" s="214">
        <v>44835</v>
      </c>
      <c r="F189" s="214" t="s">
        <v>699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5"/>
        <v>0</v>
      </c>
    </row>
    <row r="190" spans="5:23">
      <c r="E190" s="214">
        <v>44866</v>
      </c>
      <c r="F190" s="214" t="s">
        <v>699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5"/>
        <v>0</v>
      </c>
    </row>
    <row r="191" spans="5:23">
      <c r="E191" s="214">
        <v>44896</v>
      </c>
      <c r="F191" s="214" t="s">
        <v>699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695</v>
      </c>
      <c r="F192" s="216"/>
      <c r="G192" s="217"/>
      <c r="H192" s="218"/>
      <c r="I192" s="219">
        <f>SUM(I179:I191)</f>
        <v>5901.6222067861008</v>
      </c>
      <c r="J192" s="219">
        <f>SUM(J179:J191)</f>
        <v>9109.1126347291665</v>
      </c>
      <c r="K192" s="219">
        <f t="shared" ref="K192:V192" si="96">SUM(K179:K191)</f>
        <v>-8749.3931023737423</v>
      </c>
      <c r="L192" s="219">
        <f t="shared" si="96"/>
        <v>1611.2221140999206</v>
      </c>
      <c r="M192" s="219">
        <f t="shared" si="96"/>
        <v>0</v>
      </c>
      <c r="N192" s="219">
        <f t="shared" si="96"/>
        <v>0</v>
      </c>
      <c r="O192" s="219">
        <f t="shared" si="96"/>
        <v>0</v>
      </c>
      <c r="P192" s="219">
        <f t="shared" si="96"/>
        <v>0</v>
      </c>
      <c r="Q192" s="219">
        <f t="shared" si="96"/>
        <v>0</v>
      </c>
      <c r="R192" s="219">
        <f t="shared" si="96"/>
        <v>0</v>
      </c>
      <c r="S192" s="219">
        <f t="shared" si="96"/>
        <v>0</v>
      </c>
      <c r="T192" s="219">
        <f t="shared" si="96"/>
        <v>0</v>
      </c>
      <c r="U192" s="219">
        <f t="shared" si="96"/>
        <v>0</v>
      </c>
      <c r="V192" s="219">
        <f t="shared" si="96"/>
        <v>0</v>
      </c>
      <c r="W192" s="219">
        <f>SUM(W179:W191)</f>
        <v>7872.563853241445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696</v>
      </c>
      <c r="F194" s="225"/>
      <c r="G194" s="226"/>
      <c r="H194" s="227"/>
      <c r="I194" s="228">
        <f>I192+I193</f>
        <v>5901.6222067861008</v>
      </c>
      <c r="J194" s="228">
        <f t="shared" ref="J194:U194" si="97">J192+J193</f>
        <v>9109.1126347291665</v>
      </c>
      <c r="K194" s="228">
        <f t="shared" si="97"/>
        <v>-8749.3931023737423</v>
      </c>
      <c r="L194" s="228">
        <f t="shared" si="97"/>
        <v>1611.2221140999206</v>
      </c>
      <c r="M194" s="228">
        <f t="shared" si="97"/>
        <v>0</v>
      </c>
      <c r="N194" s="228">
        <f t="shared" si="97"/>
        <v>0</v>
      </c>
      <c r="O194" s="228">
        <f t="shared" si="97"/>
        <v>0</v>
      </c>
      <c r="P194" s="228">
        <f t="shared" si="97"/>
        <v>0</v>
      </c>
      <c r="Q194" s="228">
        <f t="shared" si="97"/>
        <v>0</v>
      </c>
      <c r="R194" s="228">
        <f t="shared" si="97"/>
        <v>0</v>
      </c>
      <c r="S194" s="228">
        <f t="shared" si="97"/>
        <v>0</v>
      </c>
      <c r="T194" s="228">
        <f t="shared" si="97"/>
        <v>0</v>
      </c>
      <c r="U194" s="228">
        <f t="shared" si="97"/>
        <v>0</v>
      </c>
      <c r="V194" s="228">
        <f>V192+V193</f>
        <v>0</v>
      </c>
      <c r="W194" s="228">
        <f>W192+W193</f>
        <v>7872.563853241445</v>
      </c>
    </row>
    <row r="195" spans="5:23">
      <c r="E195" s="214">
        <v>44927</v>
      </c>
      <c r="F195" s="214" t="s">
        <v>700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98">SUM(I196:V196)</f>
        <v>0</v>
      </c>
    </row>
    <row r="197" spans="5:23">
      <c r="E197" s="214">
        <v>44986</v>
      </c>
      <c r="F197" s="214" t="s">
        <v>700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98"/>
        <v>0</v>
      </c>
    </row>
    <row r="198" spans="5:23">
      <c r="E198" s="214">
        <v>45017</v>
      </c>
      <c r="F198" s="214" t="s">
        <v>700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98"/>
        <v>0</v>
      </c>
    </row>
    <row r="199" spans="5:23">
      <c r="E199" s="214">
        <v>45047</v>
      </c>
      <c r="F199" s="214" t="s">
        <v>700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98"/>
        <v>0</v>
      </c>
    </row>
    <row r="200" spans="5:23">
      <c r="E200" s="214">
        <v>45078</v>
      </c>
      <c r="F200" s="214" t="s">
        <v>700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98"/>
        <v>0</v>
      </c>
    </row>
    <row r="201" spans="5:23">
      <c r="E201" s="214">
        <v>45108</v>
      </c>
      <c r="F201" s="214" t="s">
        <v>700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98"/>
        <v>0</v>
      </c>
    </row>
    <row r="202" spans="5:23">
      <c r="E202" s="214">
        <v>45139</v>
      </c>
      <c r="F202" s="214" t="s">
        <v>700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98"/>
        <v>0</v>
      </c>
    </row>
    <row r="203" spans="5:23">
      <c r="E203" s="214">
        <v>45170</v>
      </c>
      <c r="F203" s="214" t="s">
        <v>700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98"/>
        <v>0</v>
      </c>
    </row>
    <row r="204" spans="5:23">
      <c r="E204" s="214">
        <v>45200</v>
      </c>
      <c r="F204" s="214" t="s">
        <v>700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98"/>
        <v>0</v>
      </c>
    </row>
    <row r="205" spans="5:23">
      <c r="E205" s="214">
        <v>45231</v>
      </c>
      <c r="F205" s="214" t="s">
        <v>700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98"/>
        <v>0</v>
      </c>
    </row>
    <row r="206" spans="5:23">
      <c r="E206" s="214">
        <v>45261</v>
      </c>
      <c r="F206" s="214" t="s">
        <v>700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697</v>
      </c>
      <c r="F207" s="216"/>
      <c r="G207" s="217"/>
      <c r="H207" s="218"/>
      <c r="I207" s="219">
        <f>SUM(I194:I206)</f>
        <v>5901.6222067861008</v>
      </c>
      <c r="J207" s="219">
        <f>SUM(J194:J206)</f>
        <v>9109.1126347291665</v>
      </c>
      <c r="K207" s="219">
        <f t="shared" ref="K207:V207" si="99">SUM(K194:K206)</f>
        <v>-8749.3931023737423</v>
      </c>
      <c r="L207" s="219">
        <f t="shared" si="99"/>
        <v>1611.2221140999206</v>
      </c>
      <c r="M207" s="219">
        <f t="shared" si="99"/>
        <v>0</v>
      </c>
      <c r="N207" s="219">
        <f t="shared" si="99"/>
        <v>0</v>
      </c>
      <c r="O207" s="219">
        <f t="shared" si="99"/>
        <v>0</v>
      </c>
      <c r="P207" s="219">
        <f t="shared" si="99"/>
        <v>0</v>
      </c>
      <c r="Q207" s="219">
        <f t="shared" si="99"/>
        <v>0</v>
      </c>
      <c r="R207" s="219">
        <f t="shared" si="99"/>
        <v>0</v>
      </c>
      <c r="S207" s="219">
        <f t="shared" si="99"/>
        <v>0</v>
      </c>
      <c r="T207" s="219">
        <f t="shared" si="99"/>
        <v>0</v>
      </c>
      <c r="U207" s="219">
        <f t="shared" si="99"/>
        <v>0</v>
      </c>
      <c r="V207" s="219">
        <f t="shared" si="99"/>
        <v>0</v>
      </c>
      <c r="W207" s="219">
        <f>SUM(W194:W206)</f>
        <v>7872.563853241445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715</v>
      </c>
      <c r="F209" s="225"/>
      <c r="G209" s="226"/>
      <c r="H209" s="227"/>
      <c r="I209" s="228">
        <f>I207+I208</f>
        <v>5901.6222067861008</v>
      </c>
      <c r="J209" s="228">
        <f t="shared" ref="J209:U209" si="100">J207+J208</f>
        <v>9109.1126347291665</v>
      </c>
      <c r="K209" s="228">
        <f t="shared" si="100"/>
        <v>-8749.3931023737423</v>
      </c>
      <c r="L209" s="228">
        <f t="shared" si="100"/>
        <v>1611.2221140999206</v>
      </c>
      <c r="M209" s="228">
        <f t="shared" si="100"/>
        <v>0</v>
      </c>
      <c r="N209" s="228">
        <f t="shared" si="100"/>
        <v>0</v>
      </c>
      <c r="O209" s="228">
        <f t="shared" si="100"/>
        <v>0</v>
      </c>
      <c r="P209" s="228">
        <f t="shared" si="100"/>
        <v>0</v>
      </c>
      <c r="Q209" s="228">
        <f t="shared" si="100"/>
        <v>0</v>
      </c>
      <c r="R209" s="228">
        <f t="shared" si="100"/>
        <v>0</v>
      </c>
      <c r="S209" s="228">
        <f t="shared" si="100"/>
        <v>0</v>
      </c>
      <c r="T209" s="228">
        <f t="shared" si="100"/>
        <v>0</v>
      </c>
      <c r="U209" s="228">
        <f t="shared" si="100"/>
        <v>0</v>
      </c>
      <c r="V209" s="228">
        <f>V207+V208</f>
        <v>0</v>
      </c>
      <c r="W209" s="228">
        <f>W207+W208</f>
        <v>7872.563853241445</v>
      </c>
    </row>
    <row r="210" spans="5:23">
      <c r="E210" s="214">
        <v>45292</v>
      </c>
      <c r="F210" s="214" t="s">
        <v>719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1">SUM(I211:V211)</f>
        <v>0</v>
      </c>
    </row>
    <row r="212" spans="5:23">
      <c r="E212" s="214">
        <v>45352</v>
      </c>
      <c r="F212" s="214" t="s">
        <v>719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1"/>
        <v>0</v>
      </c>
    </row>
    <row r="213" spans="5:23">
      <c r="E213" s="214">
        <v>45383</v>
      </c>
      <c r="F213" s="214" t="s">
        <v>719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1"/>
        <v>0</v>
      </c>
    </row>
    <row r="214" spans="5:23">
      <c r="E214" s="214">
        <v>45413</v>
      </c>
      <c r="F214" s="214" t="s">
        <v>719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1"/>
        <v>0</v>
      </c>
    </row>
    <row r="215" spans="5:23">
      <c r="E215" s="214">
        <v>45444</v>
      </c>
      <c r="F215" s="214" t="s">
        <v>719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1"/>
        <v>0</v>
      </c>
    </row>
    <row r="216" spans="5:23">
      <c r="E216" s="214">
        <v>45474</v>
      </c>
      <c r="F216" s="214" t="s">
        <v>719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1"/>
        <v>0</v>
      </c>
    </row>
    <row r="217" spans="5:23">
      <c r="E217" s="214">
        <v>45505</v>
      </c>
      <c r="F217" s="214" t="s">
        <v>719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1"/>
        <v>0</v>
      </c>
    </row>
    <row r="218" spans="5:23">
      <c r="E218" s="214">
        <v>45536</v>
      </c>
      <c r="F218" s="214" t="s">
        <v>719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1"/>
        <v>0</v>
      </c>
    </row>
    <row r="219" spans="5:23">
      <c r="E219" s="214">
        <v>45566</v>
      </c>
      <c r="F219" s="214" t="s">
        <v>719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1"/>
        <v>0</v>
      </c>
    </row>
    <row r="220" spans="5:23">
      <c r="E220" s="214">
        <v>45597</v>
      </c>
      <c r="F220" s="214" t="s">
        <v>719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1"/>
        <v>0</v>
      </c>
    </row>
    <row r="221" spans="5:23">
      <c r="E221" s="214">
        <v>45627</v>
      </c>
      <c r="F221" s="214" t="s">
        <v>719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717</v>
      </c>
      <c r="F222" s="216"/>
      <c r="G222" s="217"/>
      <c r="H222" s="218"/>
      <c r="I222" s="219">
        <f>SUM(I209:I221)</f>
        <v>5901.6222067861008</v>
      </c>
      <c r="J222" s="219">
        <f>SUM(J209:J221)</f>
        <v>9109.1126347291665</v>
      </c>
      <c r="K222" s="219">
        <f t="shared" ref="K222:V222" si="102">SUM(K209:K221)</f>
        <v>-8749.3931023737423</v>
      </c>
      <c r="L222" s="219">
        <f t="shared" si="102"/>
        <v>1611.2221140999206</v>
      </c>
      <c r="M222" s="219">
        <f t="shared" si="102"/>
        <v>0</v>
      </c>
      <c r="N222" s="219">
        <f t="shared" si="102"/>
        <v>0</v>
      </c>
      <c r="O222" s="219">
        <f t="shared" si="102"/>
        <v>0</v>
      </c>
      <c r="P222" s="219">
        <f t="shared" si="102"/>
        <v>0</v>
      </c>
      <c r="Q222" s="219">
        <f t="shared" si="102"/>
        <v>0</v>
      </c>
      <c r="R222" s="219">
        <f t="shared" si="102"/>
        <v>0</v>
      </c>
      <c r="S222" s="219">
        <f t="shared" si="102"/>
        <v>0</v>
      </c>
      <c r="T222" s="219">
        <f t="shared" si="102"/>
        <v>0</v>
      </c>
      <c r="U222" s="219">
        <f t="shared" si="102"/>
        <v>0</v>
      </c>
      <c r="V222" s="219">
        <f t="shared" si="102"/>
        <v>0</v>
      </c>
      <c r="W222" s="219">
        <f>SUM(W209:W221)</f>
        <v>7872.563853241445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716</v>
      </c>
      <c r="F224" s="225"/>
      <c r="G224" s="226"/>
      <c r="H224" s="227"/>
      <c r="I224" s="228">
        <f>I222+I223</f>
        <v>5901.6222067861008</v>
      </c>
      <c r="J224" s="228">
        <f t="shared" ref="J224:U224" si="103">J222+J223</f>
        <v>9109.1126347291665</v>
      </c>
      <c r="K224" s="228">
        <f t="shared" si="103"/>
        <v>-8749.3931023737423</v>
      </c>
      <c r="L224" s="228">
        <f t="shared" si="103"/>
        <v>1611.2221140999206</v>
      </c>
      <c r="M224" s="228">
        <f t="shared" si="103"/>
        <v>0</v>
      </c>
      <c r="N224" s="228">
        <f t="shared" si="103"/>
        <v>0</v>
      </c>
      <c r="O224" s="228">
        <f t="shared" si="103"/>
        <v>0</v>
      </c>
      <c r="P224" s="228">
        <f t="shared" si="103"/>
        <v>0</v>
      </c>
      <c r="Q224" s="228">
        <f t="shared" si="103"/>
        <v>0</v>
      </c>
      <c r="R224" s="228">
        <f t="shared" si="103"/>
        <v>0</v>
      </c>
      <c r="S224" s="228">
        <f t="shared" si="103"/>
        <v>0</v>
      </c>
      <c r="T224" s="228">
        <f t="shared" si="103"/>
        <v>0</v>
      </c>
      <c r="U224" s="228">
        <f t="shared" si="103"/>
        <v>0</v>
      </c>
      <c r="V224" s="228">
        <f>V222+V223</f>
        <v>0</v>
      </c>
      <c r="W224" s="228">
        <f>W222+W223</f>
        <v>7872.563853241445</v>
      </c>
    </row>
    <row r="225" spans="5:23">
      <c r="E225" s="214">
        <v>45658</v>
      </c>
      <c r="F225" s="214" t="s">
        <v>720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4">SUM(I226:V226)</f>
        <v>0</v>
      </c>
    </row>
    <row r="227" spans="5:23">
      <c r="E227" s="214">
        <v>45717</v>
      </c>
      <c r="F227" s="214" t="s">
        <v>720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4"/>
        <v>0</v>
      </c>
    </row>
    <row r="228" spans="5:23">
      <c r="E228" s="214">
        <v>45748</v>
      </c>
      <c r="F228" s="214" t="s">
        <v>720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4"/>
        <v>0</v>
      </c>
    </row>
    <row r="229" spans="5:23">
      <c r="E229" s="214">
        <v>45778</v>
      </c>
      <c r="F229" s="214" t="s">
        <v>720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4"/>
        <v>0</v>
      </c>
    </row>
    <row r="230" spans="5:23">
      <c r="E230" s="214">
        <v>45809</v>
      </c>
      <c r="F230" s="214" t="s">
        <v>720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4"/>
        <v>0</v>
      </c>
    </row>
    <row r="231" spans="5:23">
      <c r="E231" s="214">
        <v>45839</v>
      </c>
      <c r="F231" s="214" t="s">
        <v>720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4"/>
        <v>0</v>
      </c>
    </row>
    <row r="232" spans="5:23">
      <c r="E232" s="214">
        <v>45870</v>
      </c>
      <c r="F232" s="214" t="s">
        <v>720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4"/>
        <v>0</v>
      </c>
    </row>
    <row r="233" spans="5:23">
      <c r="E233" s="214">
        <v>45901</v>
      </c>
      <c r="F233" s="214" t="s">
        <v>720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4"/>
        <v>0</v>
      </c>
    </row>
    <row r="234" spans="5:23">
      <c r="E234" s="214">
        <v>45931</v>
      </c>
      <c r="F234" s="214" t="s">
        <v>720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4"/>
        <v>0</v>
      </c>
    </row>
    <row r="235" spans="5:23">
      <c r="E235" s="214">
        <v>45962</v>
      </c>
      <c r="F235" s="214" t="s">
        <v>720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4"/>
        <v>0</v>
      </c>
    </row>
    <row r="236" spans="5:23">
      <c r="E236" s="214">
        <v>45992</v>
      </c>
      <c r="F236" s="214" t="s">
        <v>720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718</v>
      </c>
      <c r="F237" s="216"/>
      <c r="G237" s="217"/>
      <c r="H237" s="218"/>
      <c r="I237" s="219">
        <f>SUM(I224:I236)</f>
        <v>5901.6222067861008</v>
      </c>
      <c r="J237" s="219">
        <f>SUM(J224:J236)</f>
        <v>9109.1126347291665</v>
      </c>
      <c r="K237" s="219">
        <f t="shared" ref="K237:U237" si="105">SUM(K224:K236)</f>
        <v>-8749.3931023737423</v>
      </c>
      <c r="L237" s="219">
        <f t="shared" si="105"/>
        <v>1611.2221140999206</v>
      </c>
      <c r="M237" s="219">
        <f>SUM(M224:M236)</f>
        <v>0</v>
      </c>
      <c r="N237" s="219">
        <f t="shared" si="105"/>
        <v>0</v>
      </c>
      <c r="O237" s="219">
        <f t="shared" si="105"/>
        <v>0</v>
      </c>
      <c r="P237" s="219">
        <f t="shared" si="105"/>
        <v>0</v>
      </c>
      <c r="Q237" s="219">
        <f t="shared" si="105"/>
        <v>0</v>
      </c>
      <c r="R237" s="219">
        <f t="shared" si="105"/>
        <v>0</v>
      </c>
      <c r="S237" s="219">
        <f t="shared" si="105"/>
        <v>0</v>
      </c>
      <c r="T237" s="219">
        <f t="shared" si="105"/>
        <v>0</v>
      </c>
      <c r="U237" s="219">
        <f t="shared" si="105"/>
        <v>0</v>
      </c>
      <c r="V237" s="219">
        <f>SUM(V224:V236)</f>
        <v>0</v>
      </c>
      <c r="W237" s="219">
        <f>SUM(W224:W236)</f>
        <v>7872.563853241445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A15" sqref="A1:AG15"/>
    </sheetView>
  </sheetViews>
  <sheetFormatPr defaultColWidth="9.140625" defaultRowHeight="15" outlineLevelRow="1"/>
  <cols>
    <col min="1" max="1" width="5.85546875" style="12" customWidth="1"/>
    <col min="2" max="2" width="24.42578125" style="12" customWidth="1"/>
    <col min="3" max="3" width="11.42578125" style="12" customWidth="1"/>
    <col min="4" max="4" width="37.5703125" style="12" customWidth="1"/>
    <col min="5" max="5" width="35.14062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756"/>
      <c r="G13" s="178"/>
      <c r="H13" s="179"/>
      <c r="J13" s="757" t="s">
        <v>784</v>
      </c>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hidden="1">
      <c r="B23" s="182" t="s">
        <v>592</v>
      </c>
      <c r="H23" s="10"/>
      <c r="I23" s="10"/>
      <c r="J23" s="10"/>
    </row>
    <row r="24" spans="2:73" s="670" customFormat="1" ht="21" hidden="1" customHeight="1">
      <c r="B24" s="702" t="s">
        <v>596</v>
      </c>
      <c r="C24" s="832" t="s">
        <v>597</v>
      </c>
      <c r="D24" s="832"/>
      <c r="E24" s="832"/>
      <c r="F24" s="832"/>
      <c r="G24" s="832"/>
      <c r="H24" s="678" t="s">
        <v>594</v>
      </c>
      <c r="I24" s="678" t="s">
        <v>593</v>
      </c>
      <c r="J24" s="678" t="s">
        <v>595</v>
      </c>
      <c r="K24" s="669"/>
      <c r="L24" s="670" t="s">
        <v>597</v>
      </c>
      <c r="AQ24" s="670" t="s">
        <v>597</v>
      </c>
      <c r="BU24" s="669"/>
    </row>
    <row r="25" spans="2:73" s="250" customFormat="1" ht="49.5" hidden="1" customHeight="1">
      <c r="B25" s="245" t="s">
        <v>472</v>
      </c>
      <c r="C25" s="245" t="s">
        <v>211</v>
      </c>
      <c r="D25" s="628" t="s">
        <v>473</v>
      </c>
      <c r="E25" s="245" t="s">
        <v>208</v>
      </c>
      <c r="F25" s="245" t="s">
        <v>474</v>
      </c>
      <c r="G25" s="245" t="s">
        <v>475</v>
      </c>
      <c r="H25" s="628" t="s">
        <v>476</v>
      </c>
      <c r="I25" s="636" t="s">
        <v>585</v>
      </c>
      <c r="J25" s="643" t="s">
        <v>586</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hidden="1"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hidden="1">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hidden="1"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hidden="1">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hidden="1">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hidden="1">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hidden="1">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hidden="1">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hidden="1">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hidden="1">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hidden="1">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hidden="1">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hidden="1">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hidden="1">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hidden="1">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hidden="1">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hidden="1">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hidden="1">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hidden="1">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hidden="1">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hidden="1">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hidden="1">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hidden="1">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hidden="1">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hidden="1">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hidden="1">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hidden="1">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hidden="1">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hidden="1">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hidden="1">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hidden="1">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hidden="1">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hidden="1">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hidden="1">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hidden="1">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hidden="1">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hidden="1">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hidden="1">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hidden="1">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hidden="1">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hidden="1">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hidden="1">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hidden="1">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hidden="1">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hidden="1">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hidden="1">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hidden="1">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hidden="1">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hidden="1">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hidden="1">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hidden="1">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hidden="1">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hidden="1">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hidden="1">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hidden="1">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hidden="1">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hidden="1">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hidden="1">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hidden="1">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hidden="1">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hidden="1">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hidden="1">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hidden="1">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hidden="1">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hidden="1">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hidden="1">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hidden="1">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hidden="1">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hidden="1">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hidden="1">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hidden="1">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hidden="1">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hidden="1">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hidden="1">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hidden="1">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hidden="1">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hidden="1">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hidden="1">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hidden="1">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hidden="1">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hidden="1">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hidden="1">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hidden="1">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hidden="1">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hidden="1">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idden="1">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hidden="1">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hidden="1">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hidden="1">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hidden="1">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hidden="1">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hidden="1">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hidden="1">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idden="1">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hidden="1">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hidden="1">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51"/>
  <sheetViews>
    <sheetView zoomScale="90" zoomScaleNormal="90" workbookViewId="0">
      <selection activeCell="M35" sqref="M35"/>
    </sheetView>
  </sheetViews>
  <sheetFormatPr defaultColWidth="9.140625" defaultRowHeight="15"/>
  <cols>
    <col min="1" max="1" width="9.140625" style="12"/>
    <col min="2" max="2" width="10.140625" style="12" customWidth="1"/>
    <col min="3" max="3" width="11.42578125" style="12" customWidth="1"/>
    <col min="4" max="4" width="13.42578125" style="12" customWidth="1"/>
    <col min="5" max="5" width="12.855468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2"/>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6" t="s">
        <v>683</v>
      </c>
      <c r="C18" s="836"/>
      <c r="D18" s="836"/>
      <c r="E18" s="836"/>
      <c r="F18" s="836"/>
      <c r="G18" s="836"/>
      <c r="H18" s="836"/>
      <c r="I18" s="836"/>
      <c r="J18" s="836"/>
      <c r="K18" s="836"/>
      <c r="L18" s="836"/>
      <c r="M18" s="836"/>
      <c r="N18" s="836"/>
      <c r="O18" s="836"/>
      <c r="P18" s="836"/>
      <c r="Q18" s="836"/>
      <c r="R18" s="836"/>
      <c r="S18" s="836"/>
      <c r="T18" s="836"/>
      <c r="U18" s="836"/>
    </row>
    <row r="21" spans="2:21" ht="21">
      <c r="B21" s="741" t="s">
        <v>751</v>
      </c>
      <c r="I21" s="741" t="s">
        <v>765</v>
      </c>
    </row>
    <row r="23" spans="2:21">
      <c r="B23" s="837" t="s">
        <v>753</v>
      </c>
      <c r="C23" s="837"/>
      <c r="D23" s="838" t="s">
        <v>754</v>
      </c>
      <c r="E23" s="837" t="s">
        <v>763</v>
      </c>
      <c r="F23" s="837"/>
      <c r="I23" s="840" t="s">
        <v>766</v>
      </c>
      <c r="J23" s="840"/>
      <c r="K23" s="840"/>
      <c r="L23" s="840"/>
      <c r="M23" s="758">
        <v>3626338</v>
      </c>
      <c r="N23" s="840" t="s">
        <v>768</v>
      </c>
      <c r="O23" s="840"/>
      <c r="P23" s="840"/>
      <c r="Q23" s="840"/>
      <c r="R23" s="840"/>
      <c r="S23" s="840"/>
      <c r="T23" s="840"/>
      <c r="U23" s="840"/>
    </row>
    <row r="24" spans="2:21">
      <c r="B24" s="750" t="s">
        <v>234</v>
      </c>
      <c r="C24" s="750" t="s">
        <v>62</v>
      </c>
      <c r="D24" s="839"/>
      <c r="E24" s="750" t="s">
        <v>27</v>
      </c>
      <c r="F24" s="750" t="s">
        <v>28</v>
      </c>
      <c r="I24" s="840" t="s">
        <v>767</v>
      </c>
      <c r="J24" s="840"/>
      <c r="K24" s="840"/>
      <c r="L24" s="840"/>
      <c r="M24" s="758">
        <v>3373467</v>
      </c>
      <c r="N24" s="840" t="s">
        <v>769</v>
      </c>
      <c r="O24" s="840"/>
      <c r="P24" s="840"/>
      <c r="Q24" s="840"/>
      <c r="R24" s="840"/>
      <c r="S24" s="840"/>
      <c r="T24" s="840"/>
      <c r="U24" s="840"/>
    </row>
    <row r="25" spans="2:21">
      <c r="B25" s="748" t="s">
        <v>755</v>
      </c>
      <c r="C25" s="748" t="s">
        <v>760</v>
      </c>
      <c r="D25" s="748">
        <v>202804</v>
      </c>
      <c r="E25" s="749">
        <v>288395.25300000003</v>
      </c>
      <c r="F25" s="749">
        <v>71.111000000000004</v>
      </c>
      <c r="I25" s="840" t="s">
        <v>764</v>
      </c>
      <c r="J25" s="840"/>
      <c r="K25" s="840"/>
      <c r="L25" s="840"/>
      <c r="M25" s="759">
        <f>M24/M23</f>
        <v>0.93026822099870443</v>
      </c>
      <c r="N25" s="840" t="s">
        <v>775</v>
      </c>
      <c r="O25" s="840"/>
      <c r="P25" s="840"/>
      <c r="Q25" s="840"/>
      <c r="R25" s="840"/>
      <c r="S25" s="840"/>
      <c r="T25" s="840"/>
      <c r="U25" s="840"/>
    </row>
    <row r="26" spans="2:21">
      <c r="B26" s="608" t="s">
        <v>755</v>
      </c>
      <c r="C26" s="608" t="s">
        <v>760</v>
      </c>
      <c r="D26" s="608">
        <v>202982</v>
      </c>
      <c r="E26" s="747">
        <v>71954.399999999994</v>
      </c>
      <c r="F26" s="747">
        <v>6.5000000000000002E-2</v>
      </c>
    </row>
    <row r="27" spans="2:21">
      <c r="B27" s="608" t="s">
        <v>755</v>
      </c>
      <c r="C27" s="608" t="s">
        <v>760</v>
      </c>
      <c r="D27" s="608">
        <v>203230</v>
      </c>
      <c r="E27" s="747">
        <v>3583.32</v>
      </c>
      <c r="F27" s="747">
        <v>0.78</v>
      </c>
    </row>
    <row r="28" spans="2:21">
      <c r="B28" s="608" t="s">
        <v>755</v>
      </c>
      <c r="C28" s="608" t="s">
        <v>759</v>
      </c>
      <c r="D28" s="608">
        <v>201111</v>
      </c>
      <c r="E28" s="747">
        <v>12317.872000000001</v>
      </c>
      <c r="F28" s="747">
        <v>3.14</v>
      </c>
    </row>
    <row r="29" spans="2:21">
      <c r="B29" s="608" t="s">
        <v>755</v>
      </c>
      <c r="C29" s="608" t="s">
        <v>759</v>
      </c>
      <c r="D29" s="608">
        <v>206300</v>
      </c>
      <c r="E29" s="747">
        <v>12260</v>
      </c>
      <c r="F29" s="747">
        <v>0</v>
      </c>
    </row>
    <row r="30" spans="2:21">
      <c r="B30" s="608" t="s">
        <v>755</v>
      </c>
      <c r="C30" s="608" t="s">
        <v>759</v>
      </c>
      <c r="D30" s="608">
        <v>207565</v>
      </c>
      <c r="E30" s="747">
        <v>10728.828000000001</v>
      </c>
      <c r="F30" s="747">
        <v>1.351</v>
      </c>
    </row>
    <row r="31" spans="2:21">
      <c r="B31" s="608" t="s">
        <v>755</v>
      </c>
      <c r="C31" s="608" t="s">
        <v>758</v>
      </c>
      <c r="D31" s="608">
        <v>203750</v>
      </c>
      <c r="E31" s="747">
        <v>8526</v>
      </c>
      <c r="F31" s="747">
        <v>0</v>
      </c>
    </row>
    <row r="32" spans="2:21">
      <c r="B32" s="608" t="s">
        <v>755</v>
      </c>
      <c r="C32" s="608" t="s">
        <v>756</v>
      </c>
      <c r="D32" s="608">
        <v>202922</v>
      </c>
      <c r="E32" s="747">
        <v>4586.6499999999996</v>
      </c>
      <c r="F32" s="747">
        <v>0.998</v>
      </c>
    </row>
    <row r="33" spans="2:6">
      <c r="B33" s="608" t="s">
        <v>755</v>
      </c>
      <c r="C33" s="608" t="s">
        <v>756</v>
      </c>
      <c r="D33" s="608">
        <v>203975</v>
      </c>
      <c r="E33" s="747">
        <v>89129</v>
      </c>
      <c r="F33" s="747">
        <v>12.7</v>
      </c>
    </row>
    <row r="34" spans="2:6">
      <c r="B34" s="608" t="s">
        <v>755</v>
      </c>
      <c r="C34" s="608" t="s">
        <v>756</v>
      </c>
      <c r="D34" s="608">
        <v>204239</v>
      </c>
      <c r="E34" s="747">
        <v>23354.844000000001</v>
      </c>
      <c r="F34" s="747">
        <v>5.7969999999999997</v>
      </c>
    </row>
    <row r="35" spans="2:6">
      <c r="B35" s="608" t="s">
        <v>755</v>
      </c>
      <c r="C35" s="608" t="s">
        <v>756</v>
      </c>
      <c r="D35" s="608">
        <v>204239</v>
      </c>
      <c r="E35" s="747">
        <v>69804</v>
      </c>
      <c r="F35" s="747">
        <v>0</v>
      </c>
    </row>
    <row r="36" spans="2:6">
      <c r="B36" s="608" t="s">
        <v>755</v>
      </c>
      <c r="C36" s="608" t="s">
        <v>756</v>
      </c>
      <c r="D36" s="608">
        <v>205225</v>
      </c>
      <c r="E36" s="747">
        <v>214620</v>
      </c>
      <c r="F36" s="747">
        <v>24.5</v>
      </c>
    </row>
    <row r="37" spans="2:6">
      <c r="B37" s="608" t="s">
        <v>755</v>
      </c>
      <c r="C37" s="608" t="s">
        <v>762</v>
      </c>
      <c r="D37" s="608">
        <v>188811</v>
      </c>
      <c r="E37" s="747">
        <v>46706.067999999999</v>
      </c>
      <c r="F37" s="747">
        <v>10.183999999999999</v>
      </c>
    </row>
    <row r="38" spans="2:6">
      <c r="B38" s="608" t="s">
        <v>755</v>
      </c>
      <c r="C38" s="608" t="s">
        <v>762</v>
      </c>
      <c r="D38" s="608">
        <v>207578</v>
      </c>
      <c r="E38" s="747">
        <v>37473</v>
      </c>
      <c r="F38" s="747">
        <v>10.4</v>
      </c>
    </row>
    <row r="39" spans="2:6">
      <c r="B39" s="608" t="s">
        <v>755</v>
      </c>
      <c r="C39" s="608" t="s">
        <v>761</v>
      </c>
      <c r="D39" s="608">
        <v>189841</v>
      </c>
      <c r="E39" s="747">
        <v>6860.84</v>
      </c>
      <c r="F39" s="747">
        <v>1.7549999999999999</v>
      </c>
    </row>
    <row r="40" spans="2:6">
      <c r="B40" s="608" t="s">
        <v>755</v>
      </c>
      <c r="C40" s="608" t="s">
        <v>761</v>
      </c>
      <c r="D40" s="608">
        <v>207579</v>
      </c>
      <c r="E40" s="747">
        <v>13742</v>
      </c>
      <c r="F40" s="747">
        <v>0</v>
      </c>
    </row>
    <row r="41" spans="2:6">
      <c r="B41" s="608" t="s">
        <v>755</v>
      </c>
      <c r="C41" s="608" t="s">
        <v>757</v>
      </c>
      <c r="D41" s="608">
        <v>188247</v>
      </c>
      <c r="E41" s="747">
        <v>241278.44200000001</v>
      </c>
      <c r="F41" s="747">
        <v>33.766000000000005</v>
      </c>
    </row>
    <row r="42" spans="2:6">
      <c r="B42" s="608" t="s">
        <v>755</v>
      </c>
      <c r="C42" s="608" t="s">
        <v>757</v>
      </c>
      <c r="D42" s="608">
        <v>188247</v>
      </c>
      <c r="E42" s="747">
        <v>77361.384999999995</v>
      </c>
      <c r="F42" s="747">
        <v>10.489000000000001</v>
      </c>
    </row>
    <row r="43" spans="2:6">
      <c r="B43" s="608" t="s">
        <v>755</v>
      </c>
      <c r="C43" s="608" t="s">
        <v>757</v>
      </c>
      <c r="D43" s="608">
        <v>188247</v>
      </c>
      <c r="E43" s="747">
        <v>25186.602999999999</v>
      </c>
      <c r="F43" s="747">
        <v>4.2860000000000005</v>
      </c>
    </row>
    <row r="44" spans="2:6">
      <c r="B44" s="608" t="s">
        <v>755</v>
      </c>
      <c r="C44" s="608" t="s">
        <v>757</v>
      </c>
      <c r="D44" s="608">
        <v>188247</v>
      </c>
      <c r="E44" s="747">
        <v>35647.940999999999</v>
      </c>
      <c r="F44" s="747">
        <v>5.6359999999999992</v>
      </c>
    </row>
    <row r="45" spans="2:6">
      <c r="B45" s="608" t="s">
        <v>755</v>
      </c>
      <c r="C45" s="608" t="s">
        <v>757</v>
      </c>
      <c r="D45" s="608">
        <v>188247</v>
      </c>
      <c r="E45" s="747">
        <v>23141.356</v>
      </c>
      <c r="F45" s="747">
        <v>5.0370000000000008</v>
      </c>
    </row>
    <row r="46" spans="2:6">
      <c r="B46" s="608" t="s">
        <v>755</v>
      </c>
      <c r="C46" s="608" t="s">
        <v>757</v>
      </c>
      <c r="D46" s="608">
        <v>188915</v>
      </c>
      <c r="E46" s="747">
        <v>12654.6</v>
      </c>
      <c r="F46" s="747">
        <v>0</v>
      </c>
    </row>
    <row r="47" spans="2:6">
      <c r="B47" s="608" t="s">
        <v>755</v>
      </c>
      <c r="C47" s="608" t="s">
        <v>757</v>
      </c>
      <c r="D47" s="608">
        <v>206484</v>
      </c>
      <c r="E47" s="747">
        <v>61884.4</v>
      </c>
      <c r="F47" s="747">
        <v>16.600000000000001</v>
      </c>
    </row>
    <row r="48" spans="2:6">
      <c r="B48" s="608" t="s">
        <v>755</v>
      </c>
      <c r="C48" s="608" t="s">
        <v>757</v>
      </c>
      <c r="D48" s="608">
        <v>206487</v>
      </c>
      <c r="E48" s="747">
        <v>33577</v>
      </c>
      <c r="F48" s="747">
        <v>7</v>
      </c>
    </row>
    <row r="49" spans="2:6">
      <c r="B49" s="835" t="s">
        <v>770</v>
      </c>
      <c r="C49" s="835"/>
      <c r="D49" s="835"/>
      <c r="E49" s="751">
        <f>SUM(E25:E48)</f>
        <v>1424773.8019999999</v>
      </c>
      <c r="F49" s="751">
        <f>SUM(F25:F48)</f>
        <v>225.59500000000003</v>
      </c>
    </row>
    <row r="50" spans="2:6">
      <c r="B50" s="608"/>
      <c r="C50" s="608"/>
      <c r="D50" s="752" t="s">
        <v>771</v>
      </c>
      <c r="E50" s="833">
        <f>M25</f>
        <v>0.93026822099870443</v>
      </c>
      <c r="F50" s="834"/>
    </row>
    <row r="51" spans="2:6">
      <c r="B51" s="835" t="s">
        <v>772</v>
      </c>
      <c r="C51" s="835"/>
      <c r="D51" s="835"/>
      <c r="E51" s="751">
        <f>E49*E50</f>
        <v>1325421.7901121003</v>
      </c>
      <c r="F51" s="751">
        <f>F49*E50</f>
        <v>209.86385931620276</v>
      </c>
    </row>
  </sheetData>
  <sortState ref="B25:F48">
    <sortCondition ref="C41:C48"/>
    <sortCondition ref="D41:D48"/>
  </sortState>
  <mergeCells count="13">
    <mergeCell ref="E50:F50"/>
    <mergeCell ref="B51:D51"/>
    <mergeCell ref="B18:U18"/>
    <mergeCell ref="B23:C23"/>
    <mergeCell ref="E23:F23"/>
    <mergeCell ref="B49:D49"/>
    <mergeCell ref="D23:D24"/>
    <mergeCell ref="I23:L23"/>
    <mergeCell ref="I24:L24"/>
    <mergeCell ref="I25:L25"/>
    <mergeCell ref="N23:U23"/>
    <mergeCell ref="N24:U24"/>
    <mergeCell ref="N25:U25"/>
  </mergeCells>
  <pageMargins left="0.7" right="0.7" top="0.75" bottom="0.75" header="0.3" footer="0.3"/>
  <pageSetup scale="46"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C35" sqref="C35"/>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64" t="s">
        <v>504</v>
      </c>
      <c r="D16" s="765"/>
      <c r="E16" s="765"/>
      <c r="F16" s="765"/>
      <c r="G16" s="765"/>
      <c r="H16" s="765"/>
      <c r="I16" s="765"/>
      <c r="J16" s="765"/>
      <c r="K16" s="765"/>
      <c r="L16" s="765"/>
      <c r="M16" s="765"/>
      <c r="N16" s="765"/>
      <c r="O16" s="765"/>
      <c r="P16" s="765"/>
      <c r="Q16" s="765"/>
      <c r="R16" s="765"/>
      <c r="S16" s="765"/>
      <c r="T16" s="765"/>
      <c r="U16" s="765"/>
    </row>
    <row r="17" spans="2:21" ht="55.5" customHeight="1">
      <c r="B17" s="706" t="s">
        <v>636</v>
      </c>
      <c r="C17" s="766" t="s">
        <v>706</v>
      </c>
      <c r="D17" s="766"/>
      <c r="E17" s="766"/>
      <c r="F17" s="766"/>
      <c r="G17" s="766"/>
      <c r="H17" s="766"/>
      <c r="I17" s="766"/>
      <c r="J17" s="766"/>
      <c r="K17" s="766"/>
      <c r="L17" s="766"/>
      <c r="M17" s="766"/>
      <c r="N17" s="766"/>
      <c r="O17" s="766"/>
      <c r="P17" s="766"/>
      <c r="Q17" s="766"/>
      <c r="R17" s="766"/>
      <c r="S17" s="766"/>
      <c r="T17" s="766"/>
      <c r="U17" s="767"/>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3" t="s">
        <v>638</v>
      </c>
      <c r="D23" s="763"/>
      <c r="E23" s="763"/>
      <c r="F23" s="763"/>
      <c r="G23" s="763"/>
      <c r="H23" s="763"/>
      <c r="I23" s="763"/>
      <c r="J23" s="763"/>
      <c r="K23" s="763"/>
      <c r="L23" s="763"/>
      <c r="M23" s="763"/>
      <c r="N23" s="763"/>
      <c r="O23" s="763"/>
      <c r="P23" s="763"/>
      <c r="Q23" s="763"/>
      <c r="R23" s="763"/>
      <c r="S23" s="763"/>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3" t="s">
        <v>639</v>
      </c>
      <c r="D27" s="763"/>
      <c r="E27" s="763"/>
      <c r="F27" s="763"/>
      <c r="G27" s="763"/>
      <c r="H27" s="763"/>
      <c r="I27" s="763"/>
      <c r="J27" s="763"/>
      <c r="K27" s="763"/>
      <c r="L27" s="763"/>
      <c r="M27" s="763"/>
      <c r="N27" s="763"/>
      <c r="O27" s="763"/>
      <c r="P27" s="763"/>
      <c r="Q27" s="763"/>
      <c r="R27" s="763"/>
      <c r="S27" s="763"/>
      <c r="T27" s="763"/>
      <c r="U27" s="768"/>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3" t="s">
        <v>642</v>
      </c>
      <c r="D29" s="763"/>
      <c r="E29" s="763"/>
      <c r="F29" s="763"/>
      <c r="G29" s="763"/>
      <c r="H29" s="763"/>
      <c r="I29" s="763"/>
      <c r="J29" s="763"/>
      <c r="K29" s="763"/>
      <c r="L29" s="763"/>
      <c r="M29" s="763"/>
      <c r="N29" s="763"/>
      <c r="O29" s="763"/>
      <c r="P29" s="763"/>
      <c r="Q29" s="763"/>
      <c r="R29" s="763"/>
      <c r="S29" s="763"/>
      <c r="T29" s="763"/>
      <c r="U29" s="768"/>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769" t="s">
        <v>645</v>
      </c>
      <c r="D33" s="769"/>
      <c r="E33" s="769"/>
      <c r="F33" s="769"/>
      <c r="G33" s="769"/>
      <c r="H33" s="769"/>
      <c r="I33" s="769"/>
      <c r="J33" s="769"/>
      <c r="K33" s="769"/>
      <c r="L33" s="769"/>
      <c r="M33" s="769"/>
      <c r="N33" s="769"/>
      <c r="O33" s="769"/>
      <c r="P33" s="769"/>
      <c r="Q33" s="769"/>
      <c r="R33" s="769"/>
      <c r="S33" s="769"/>
      <c r="T33" s="769"/>
      <c r="U33" s="77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771" t="s">
        <v>649</v>
      </c>
      <c r="D37" s="771"/>
      <c r="E37" s="771"/>
      <c r="F37" s="771"/>
      <c r="G37" s="771"/>
      <c r="H37" s="771"/>
      <c r="I37" s="771"/>
      <c r="J37" s="771"/>
      <c r="K37" s="771"/>
      <c r="L37" s="771"/>
      <c r="M37" s="771"/>
      <c r="N37" s="771"/>
      <c r="O37" s="771"/>
      <c r="P37" s="771"/>
      <c r="Q37" s="771"/>
      <c r="R37" s="771"/>
      <c r="S37" s="771"/>
      <c r="T37" s="771"/>
      <c r="U37" s="77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773" t="s">
        <v>653</v>
      </c>
      <c r="D41" s="773"/>
      <c r="E41" s="773"/>
      <c r="F41" s="773"/>
      <c r="G41" s="773"/>
      <c r="H41" s="773"/>
      <c r="I41" s="773"/>
      <c r="J41" s="773"/>
      <c r="K41" s="773"/>
      <c r="L41" s="773"/>
      <c r="M41" s="773"/>
      <c r="N41" s="773"/>
      <c r="O41" s="773"/>
      <c r="P41" s="773"/>
      <c r="Q41" s="773"/>
      <c r="R41" s="773"/>
      <c r="S41" s="773"/>
      <c r="T41" s="773"/>
      <c r="U41" s="77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1" t="s">
        <v>671</v>
      </c>
      <c r="D45" s="761"/>
      <c r="E45" s="761"/>
      <c r="F45" s="761"/>
      <c r="G45" s="761"/>
      <c r="H45" s="761"/>
      <c r="I45" s="761"/>
      <c r="J45" s="761"/>
      <c r="K45" s="761"/>
      <c r="L45" s="761"/>
      <c r="M45" s="761"/>
      <c r="N45" s="761"/>
      <c r="O45" s="761"/>
      <c r="P45" s="761"/>
      <c r="Q45" s="761"/>
      <c r="R45" s="761"/>
      <c r="S45" s="761"/>
      <c r="T45" s="761"/>
      <c r="U45" s="76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1" t="s">
        <v>656</v>
      </c>
      <c r="D47" s="761"/>
      <c r="E47" s="761"/>
      <c r="F47" s="761"/>
      <c r="G47" s="761"/>
      <c r="H47" s="761"/>
      <c r="I47" s="761"/>
      <c r="J47" s="761"/>
      <c r="K47" s="761"/>
      <c r="L47" s="761"/>
      <c r="M47" s="761"/>
      <c r="N47" s="761"/>
      <c r="O47" s="761"/>
      <c r="P47" s="761"/>
      <c r="Q47" s="761"/>
      <c r="R47" s="761"/>
      <c r="S47" s="761"/>
      <c r="T47" s="761"/>
      <c r="U47" s="76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1" t="s">
        <v>657</v>
      </c>
      <c r="D49" s="761"/>
      <c r="E49" s="761"/>
      <c r="F49" s="761"/>
      <c r="G49" s="761"/>
      <c r="H49" s="761"/>
      <c r="I49" s="761"/>
      <c r="J49" s="761"/>
      <c r="K49" s="761"/>
      <c r="L49" s="761"/>
      <c r="M49" s="761"/>
      <c r="N49" s="761"/>
      <c r="O49" s="761"/>
      <c r="P49" s="761"/>
      <c r="Q49" s="761"/>
      <c r="R49" s="761"/>
      <c r="S49" s="761"/>
      <c r="T49" s="761"/>
      <c r="U49" s="76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1" t="s">
        <v>658</v>
      </c>
      <c r="D51" s="761"/>
      <c r="E51" s="761"/>
      <c r="F51" s="761"/>
      <c r="G51" s="761"/>
      <c r="H51" s="761"/>
      <c r="I51" s="761"/>
      <c r="J51" s="761"/>
      <c r="K51" s="761"/>
      <c r="L51" s="761"/>
      <c r="M51" s="761"/>
      <c r="N51" s="761"/>
      <c r="O51" s="761"/>
      <c r="P51" s="761"/>
      <c r="Q51" s="761"/>
      <c r="R51" s="761"/>
      <c r="S51" s="761"/>
      <c r="T51" s="761"/>
      <c r="U51" s="762"/>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3" t="s">
        <v>670</v>
      </c>
      <c r="D53" s="763"/>
      <c r="E53" s="763"/>
      <c r="F53" s="763"/>
      <c r="G53" s="763"/>
      <c r="H53" s="763"/>
      <c r="I53" s="763"/>
      <c r="J53" s="763"/>
      <c r="K53" s="763"/>
      <c r="L53" s="763"/>
      <c r="M53" s="763"/>
      <c r="N53" s="763"/>
      <c r="O53" s="763"/>
      <c r="P53" s="763"/>
      <c r="Q53" s="763"/>
      <c r="R53" s="763"/>
      <c r="S53" s="763"/>
      <c r="T53" s="763"/>
      <c r="U53" s="768"/>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771" t="s">
        <v>660</v>
      </c>
      <c r="D55" s="771"/>
      <c r="E55" s="771"/>
      <c r="F55" s="771"/>
      <c r="G55" s="771"/>
      <c r="H55" s="771"/>
      <c r="I55" s="771"/>
      <c r="J55" s="771"/>
      <c r="K55" s="771"/>
      <c r="L55" s="771"/>
      <c r="M55" s="771"/>
      <c r="N55" s="771"/>
      <c r="O55" s="771"/>
      <c r="P55" s="771"/>
      <c r="Q55" s="771"/>
      <c r="R55" s="771"/>
      <c r="S55" s="771"/>
      <c r="T55" s="771"/>
      <c r="U55" s="77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771" t="s">
        <v>662</v>
      </c>
      <c r="D57" s="771"/>
      <c r="E57" s="771"/>
      <c r="F57" s="771"/>
      <c r="G57" s="771"/>
      <c r="H57" s="771"/>
      <c r="I57" s="771"/>
      <c r="J57" s="771"/>
      <c r="K57" s="771"/>
      <c r="L57" s="771"/>
      <c r="M57" s="771"/>
      <c r="N57" s="771"/>
      <c r="O57" s="771"/>
      <c r="P57" s="771"/>
      <c r="Q57" s="771"/>
      <c r="R57" s="771"/>
      <c r="S57" s="771"/>
      <c r="T57" s="771"/>
      <c r="U57" s="77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140625" defaultRowHeight="15.75"/>
  <cols>
    <col min="1" max="1" width="3.140625"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5703125" style="25" customWidth="1"/>
    <col min="14" max="14" width="29.5703125" style="17" customWidth="1"/>
    <col min="15" max="16384" width="9.140625" style="12"/>
  </cols>
  <sheetData>
    <row r="1" spans="2:20" ht="146.25" customHeight="1"/>
    <row r="3" spans="2:20" ht="25.5" customHeight="1">
      <c r="B3" s="776" t="s">
        <v>701</v>
      </c>
      <c r="C3" s="777"/>
      <c r="D3" s="777"/>
      <c r="E3" s="777"/>
      <c r="F3" s="778"/>
      <c r="G3" s="122"/>
    </row>
    <row r="4" spans="2:20" ht="16.5" customHeight="1">
      <c r="B4" s="779"/>
      <c r="C4" s="780"/>
      <c r="D4" s="780"/>
      <c r="E4" s="780"/>
      <c r="F4" s="781"/>
      <c r="G4" s="122"/>
    </row>
    <row r="5" spans="2:20" ht="71.25" customHeight="1">
      <c r="B5" s="779"/>
      <c r="C5" s="780"/>
      <c r="D5" s="780"/>
      <c r="E5" s="780"/>
      <c r="F5" s="781"/>
      <c r="G5" s="122"/>
    </row>
    <row r="6" spans="2:20" ht="21.6" customHeight="1">
      <c r="B6" s="782"/>
      <c r="C6" s="783"/>
      <c r="D6" s="783"/>
      <c r="E6" s="783"/>
      <c r="F6" s="784"/>
      <c r="G6" s="122"/>
    </row>
    <row r="8" spans="2:20" ht="21">
      <c r="B8" s="775" t="s">
        <v>480</v>
      </c>
      <c r="C8" s="775"/>
      <c r="D8" s="775"/>
      <c r="E8" s="775"/>
      <c r="F8" s="775"/>
      <c r="G8" s="77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629</v>
      </c>
      <c r="G13" s="109"/>
      <c r="L13" s="33"/>
      <c r="M13" s="33"/>
      <c r="N13" s="33"/>
      <c r="O13" s="33"/>
      <c r="P13" s="33"/>
      <c r="Q13" s="68"/>
      <c r="S13" s="8"/>
      <c r="T13" s="8"/>
    </row>
    <row r="14" spans="2:20" s="9" customFormat="1" ht="26.25" customHeight="1" thickBot="1">
      <c r="B14" s="102"/>
      <c r="C14" s="172" t="s">
        <v>624</v>
      </c>
      <c r="G14" s="123"/>
      <c r="L14" s="33"/>
      <c r="M14" s="33"/>
      <c r="N14" s="33"/>
      <c r="O14" s="33"/>
      <c r="P14" s="33"/>
      <c r="Q14" s="68"/>
      <c r="S14" s="8"/>
      <c r="T14" s="8"/>
    </row>
    <row r="15" spans="2:20" s="9" customFormat="1" ht="26.25" customHeight="1" thickBot="1">
      <c r="B15" s="102"/>
      <c r="C15" s="172" t="s">
        <v>625</v>
      </c>
      <c r="G15" s="123"/>
      <c r="L15" s="33"/>
      <c r="M15" s="33"/>
      <c r="N15" s="33"/>
      <c r="O15" s="33"/>
      <c r="P15" s="33"/>
      <c r="Q15" s="68"/>
      <c r="S15" s="8"/>
      <c r="T15" s="8"/>
    </row>
    <row r="16" spans="2:20" s="9" customFormat="1" ht="26.25" customHeight="1" thickBot="1">
      <c r="B16" s="102"/>
      <c r="C16" s="172" t="s">
        <v>626</v>
      </c>
      <c r="G16" s="123"/>
      <c r="L16" s="33"/>
      <c r="M16" s="33"/>
      <c r="N16" s="33"/>
      <c r="O16" s="33"/>
      <c r="P16" s="33"/>
      <c r="Q16" s="68"/>
      <c r="S16" s="8"/>
      <c r="T16" s="8"/>
    </row>
    <row r="17" spans="2:20" s="9" customFormat="1" ht="26.25" customHeight="1" thickBot="1">
      <c r="B17" s="102"/>
      <c r="C17" s="124" t="s">
        <v>627</v>
      </c>
      <c r="G17" s="109"/>
      <c r="L17" s="33"/>
      <c r="M17" s="33"/>
      <c r="N17" s="33"/>
      <c r="O17" s="33"/>
      <c r="P17" s="33"/>
      <c r="Q17" s="68"/>
      <c r="S17" s="8"/>
      <c r="T17" s="8"/>
    </row>
    <row r="18" spans="2:20" s="9" customFormat="1" ht="26.25" customHeight="1" thickBot="1">
      <c r="B18" s="102"/>
      <c r="C18" s="124" t="s">
        <v>628</v>
      </c>
      <c r="G18" s="123"/>
      <c r="L18" s="33"/>
      <c r="M18" s="33"/>
      <c r="N18" s="33"/>
      <c r="O18" s="33"/>
      <c r="P18" s="33"/>
      <c r="Q18" s="68"/>
      <c r="S18" s="8"/>
      <c r="T18" s="8"/>
    </row>
    <row r="19" spans="2:20" s="9" customFormat="1" ht="26.25" customHeight="1" thickBot="1">
      <c r="B19" s="102"/>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589</v>
      </c>
      <c r="F22" s="656" t="s">
        <v>447</v>
      </c>
      <c r="G22" s="174"/>
      <c r="M22" s="645"/>
      <c r="T22" s="645"/>
    </row>
    <row r="23" spans="2:20" s="103" customFormat="1" ht="35.25" customHeight="1">
      <c r="B23" s="648" t="s">
        <v>457</v>
      </c>
      <c r="C23" s="654" t="s">
        <v>437</v>
      </c>
      <c r="D23" s="657" t="s">
        <v>443</v>
      </c>
      <c r="E23" s="661" t="s">
        <v>589</v>
      </c>
      <c r="F23" s="657" t="s">
        <v>447</v>
      </c>
      <c r="G23" s="174"/>
      <c r="M23" s="645"/>
      <c r="T23" s="645"/>
    </row>
    <row r="24" spans="2:20" s="103" customFormat="1" ht="34.5" customHeight="1">
      <c r="B24" s="648" t="s">
        <v>454</v>
      </c>
      <c r="C24" s="654" t="s">
        <v>437</v>
      </c>
      <c r="D24" s="657" t="s">
        <v>444</v>
      </c>
      <c r="E24" s="661" t="s">
        <v>589</v>
      </c>
      <c r="F24" s="657" t="s">
        <v>447</v>
      </c>
      <c r="G24" s="174"/>
      <c r="M24" s="645"/>
      <c r="T24" s="645"/>
    </row>
    <row r="25" spans="2:20" s="103" customFormat="1" ht="32.25" customHeight="1">
      <c r="B25" s="649" t="s">
        <v>455</v>
      </c>
      <c r="C25" s="654" t="s">
        <v>436</v>
      </c>
      <c r="D25" s="657" t="s">
        <v>445</v>
      </c>
      <c r="E25" s="662" t="s">
        <v>608</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5703125" style="12" customWidth="1"/>
    <col min="3" max="3" width="9.140625" style="10"/>
    <col min="4" max="4" width="15" style="12" customWidth="1"/>
    <col min="5" max="5" width="11.5703125" style="10" customWidth="1"/>
    <col min="6" max="6" width="24.140625" style="12" customWidth="1"/>
    <col min="7" max="7" width="32" style="12" customWidth="1"/>
    <col min="8" max="8" width="14.5703125" style="12" customWidth="1"/>
    <col min="9" max="16384" width="9.140625" style="12"/>
  </cols>
  <sheetData>
    <row r="1" spans="1:8">
      <c r="A1" s="8" t="s">
        <v>410</v>
      </c>
      <c r="B1" s="8" t="s">
        <v>41</v>
      </c>
      <c r="C1" s="120" t="s">
        <v>234</v>
      </c>
      <c r="D1" s="8" t="s">
        <v>414</v>
      </c>
      <c r="E1" s="120" t="s">
        <v>449</v>
      </c>
      <c r="F1" s="120" t="s">
        <v>548</v>
      </c>
      <c r="G1" s="120" t="s">
        <v>572</v>
      </c>
      <c r="H1" s="120" t="s">
        <v>583</v>
      </c>
    </row>
    <row r="2" spans="1:8">
      <c r="A2" s="12" t="s">
        <v>29</v>
      </c>
      <c r="B2" s="12" t="s">
        <v>27</v>
      </c>
      <c r="C2" s="10">
        <v>2006</v>
      </c>
      <c r="D2" s="12" t="s">
        <v>415</v>
      </c>
      <c r="E2" s="10">
        <f>'2. LRAMVA Threshold'!D9</f>
        <v>2017</v>
      </c>
      <c r="F2" s="26" t="s">
        <v>170</v>
      </c>
      <c r="G2" s="12" t="s">
        <v>573</v>
      </c>
      <c r="H2" s="12" t="s">
        <v>591</v>
      </c>
    </row>
    <row r="3" spans="1:8">
      <c r="A3" s="12" t="s">
        <v>371</v>
      </c>
      <c r="B3" s="12" t="s">
        <v>27</v>
      </c>
      <c r="C3" s="10">
        <v>2007</v>
      </c>
      <c r="D3" s="12" t="s">
        <v>416</v>
      </c>
      <c r="E3" s="10">
        <f>'2. LRAMVA Threshold'!D24</f>
        <v>2013</v>
      </c>
      <c r="F3" s="12" t="s">
        <v>549</v>
      </c>
      <c r="G3" s="12" t="s">
        <v>574</v>
      </c>
      <c r="H3" s="12" t="s">
        <v>584</v>
      </c>
    </row>
    <row r="4" spans="1:8">
      <c r="A4" s="12" t="s">
        <v>372</v>
      </c>
      <c r="B4" s="12" t="s">
        <v>28</v>
      </c>
      <c r="C4" s="10">
        <v>2008</v>
      </c>
      <c r="D4" s="12" t="s">
        <v>417</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46" zoomScale="85" zoomScaleNormal="85" workbookViewId="0">
      <selection activeCell="D84" sqref="D84"/>
    </sheetView>
  </sheetViews>
  <sheetFormatPr defaultColWidth="9.140625"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5703125" style="9" customWidth="1"/>
    <col min="12" max="12" width="21.570312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5703125" style="8" customWidth="1"/>
    <col min="21" max="21" width="6.42578125" style="8" customWidth="1"/>
    <col min="22" max="22" width="13.5703125" style="9" customWidth="1"/>
    <col min="23" max="23" width="15.425781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722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723</v>
      </c>
      <c r="E14" s="130"/>
      <c r="F14" s="124" t="s">
        <v>547</v>
      </c>
      <c r="H14" s="542" t="s">
        <v>740</v>
      </c>
      <c r="J14" s="124" t="s">
        <v>514</v>
      </c>
      <c r="L14" s="132">
        <v>181790.60557388063</v>
      </c>
      <c r="N14" s="103"/>
      <c r="Q14" s="99"/>
      <c r="R14" s="96"/>
    </row>
    <row r="15" spans="2:22" ht="26.25" customHeight="1" thickBot="1">
      <c r="B15" s="124" t="s">
        <v>423</v>
      </c>
      <c r="C15" s="106"/>
      <c r="D15" s="542" t="s">
        <v>724</v>
      </c>
      <c r="F15" s="124" t="s">
        <v>413</v>
      </c>
      <c r="G15" s="127"/>
      <c r="H15" s="542" t="s">
        <v>741</v>
      </c>
      <c r="I15" s="17"/>
      <c r="J15" s="124" t="s">
        <v>515</v>
      </c>
      <c r="L15" s="132"/>
      <c r="M15" s="103"/>
      <c r="Q15" s="108"/>
      <c r="R15" s="96"/>
    </row>
    <row r="16" spans="2:22" ht="28.5" customHeight="1" thickBot="1">
      <c r="B16" s="124" t="s">
        <v>453</v>
      </c>
      <c r="C16" s="106"/>
      <c r="D16" s="543" t="s">
        <v>725</v>
      </c>
      <c r="E16" s="103"/>
      <c r="F16" s="124" t="s">
        <v>433</v>
      </c>
      <c r="G16" s="125"/>
      <c r="H16" s="543" t="s">
        <v>735</v>
      </c>
      <c r="I16" s="103"/>
      <c r="K16" s="195"/>
      <c r="L16" s="195"/>
      <c r="M16" s="195"/>
      <c r="N16" s="195"/>
      <c r="Q16" s="115"/>
      <c r="R16" s="96"/>
    </row>
    <row r="17" spans="1:21" ht="29.25" customHeight="1">
      <c r="B17" s="124" t="s">
        <v>420</v>
      </c>
      <c r="C17" s="106"/>
      <c r="D17" s="733">
        <v>388921</v>
      </c>
      <c r="E17" s="121"/>
      <c r="F17" s="740" t="s">
        <v>674</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935371.57228140149</v>
      </c>
      <c r="I19" s="17"/>
      <c r="J19" s="115"/>
      <c r="K19" s="115"/>
      <c r="L19" s="115"/>
      <c r="M19" s="115"/>
      <c r="N19" s="115"/>
      <c r="P19" s="115"/>
      <c r="Q19" s="115"/>
      <c r="R19" s="96"/>
    </row>
    <row r="20" spans="1:21" ht="27.75" customHeight="1" thickBot="1">
      <c r="E20" s="9"/>
      <c r="F20" s="124" t="s">
        <v>435</v>
      </c>
      <c r="G20" s="603" t="s">
        <v>364</v>
      </c>
      <c r="H20" s="131">
        <f>-SUM(R55,R58,R61,R64,R67,R70,R73,R76,R79)</f>
        <v>750390.01529999997</v>
      </c>
      <c r="I20" s="17"/>
      <c r="J20" s="115"/>
      <c r="P20" s="115"/>
      <c r="Q20" s="115"/>
      <c r="R20" s="96"/>
    </row>
    <row r="21" spans="1:21" ht="27.75" customHeight="1" thickBot="1">
      <c r="C21" s="32"/>
      <c r="D21" s="32"/>
      <c r="E21" s="32"/>
      <c r="F21" s="124" t="s">
        <v>408</v>
      </c>
      <c r="G21" s="603" t="s">
        <v>365</v>
      </c>
      <c r="H21" s="188">
        <f>R84</f>
        <v>7872.563853241445</v>
      </c>
      <c r="I21" s="103"/>
      <c r="P21" s="115"/>
      <c r="Q21" s="115"/>
      <c r="R21" s="96"/>
    </row>
    <row r="22" spans="1:21" ht="27.75" customHeight="1">
      <c r="C22" s="32"/>
      <c r="D22" s="32"/>
      <c r="E22" s="32"/>
      <c r="F22" s="124" t="s">
        <v>509</v>
      </c>
      <c r="G22" s="603" t="s">
        <v>448</v>
      </c>
      <c r="H22" s="188">
        <f>H19-H20+H21</f>
        <v>192854.12083464296</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87" t="s">
        <v>681</v>
      </c>
      <c r="C26" s="787"/>
      <c r="D26" s="787"/>
      <c r="E26" s="787"/>
      <c r="F26" s="787"/>
      <c r="G26" s="787"/>
    </row>
    <row r="27" spans="1:21" ht="14.25" customHeight="1">
      <c r="A27" s="28"/>
      <c r="B27" s="548"/>
      <c r="C27" s="548"/>
      <c r="D27" s="538"/>
      <c r="E27" s="538"/>
      <c r="F27" s="538"/>
      <c r="G27" s="548"/>
    </row>
    <row r="28" spans="1:21" s="17" customFormat="1" ht="27" customHeight="1">
      <c r="B28" s="788" t="s">
        <v>506</v>
      </c>
      <c r="C28" s="789"/>
      <c r="D28" s="133" t="s">
        <v>41</v>
      </c>
      <c r="E28" s="134" t="s">
        <v>672</v>
      </c>
      <c r="F28" s="134" t="s">
        <v>408</v>
      </c>
      <c r="G28" s="135" t="s">
        <v>409</v>
      </c>
      <c r="T28" s="136"/>
      <c r="U28" s="136"/>
    </row>
    <row r="29" spans="1:21" ht="20.25" customHeight="1">
      <c r="B29" s="785" t="s">
        <v>29</v>
      </c>
      <c r="C29" s="786"/>
      <c r="D29" s="638" t="s">
        <v>27</v>
      </c>
      <c r="E29" s="138">
        <f>SUM(D54:D80)</f>
        <v>144537.69212196211</v>
      </c>
      <c r="F29" s="139">
        <f>D84</f>
        <v>5901.6222067861008</v>
      </c>
      <c r="G29" s="138">
        <f>E29+F29</f>
        <v>150439.31432874821</v>
      </c>
    </row>
    <row r="30" spans="1:21" ht="20.25" customHeight="1">
      <c r="B30" s="785" t="s">
        <v>371</v>
      </c>
      <c r="C30" s="786"/>
      <c r="D30" s="638" t="s">
        <v>27</v>
      </c>
      <c r="E30" s="140">
        <f>SUM(E54:E80)</f>
        <v>269553.49126428063</v>
      </c>
      <c r="F30" s="141">
        <f>E84</f>
        <v>9109.1126347291665</v>
      </c>
      <c r="G30" s="140">
        <f>E30+F30</f>
        <v>278662.60389900982</v>
      </c>
    </row>
    <row r="31" spans="1:21" ht="20.25" customHeight="1">
      <c r="B31" s="785" t="s">
        <v>372</v>
      </c>
      <c r="C31" s="786"/>
      <c r="D31" s="638" t="s">
        <v>28</v>
      </c>
      <c r="E31" s="140">
        <f>SUM(F54:F80)</f>
        <v>-283121.4365934144</v>
      </c>
      <c r="F31" s="141">
        <f>F84</f>
        <v>-8749.3931023737423</v>
      </c>
      <c r="G31" s="140">
        <f t="shared" ref="G31:G34" si="0">E31+F31</f>
        <v>-291870.82969578815</v>
      </c>
    </row>
    <row r="32" spans="1:21" ht="20.25" customHeight="1">
      <c r="B32" s="785" t="s">
        <v>726</v>
      </c>
      <c r="C32" s="786"/>
      <c r="D32" s="638" t="s">
        <v>28</v>
      </c>
      <c r="E32" s="140">
        <f>SUM(G54:G80)</f>
        <v>54011.810188573087</v>
      </c>
      <c r="F32" s="141">
        <f>G84</f>
        <v>1611.2221140999206</v>
      </c>
      <c r="G32" s="140">
        <f t="shared" si="0"/>
        <v>55623.032302673004</v>
      </c>
    </row>
    <row r="33" spans="2:22" ht="20.25" customHeight="1">
      <c r="B33" s="785"/>
      <c r="C33" s="786"/>
      <c r="D33" s="638"/>
      <c r="E33" s="140">
        <f>SUM(H54:H80)</f>
        <v>0</v>
      </c>
      <c r="F33" s="141">
        <f>H84</f>
        <v>0</v>
      </c>
      <c r="G33" s="140">
        <f>E33+F33</f>
        <v>0</v>
      </c>
    </row>
    <row r="34" spans="2:22" ht="20.25" customHeight="1">
      <c r="B34" s="785"/>
      <c r="C34" s="786"/>
      <c r="D34" s="638"/>
      <c r="E34" s="140">
        <f>SUM(I54:I80)</f>
        <v>0</v>
      </c>
      <c r="F34" s="141">
        <f>I84</f>
        <v>0</v>
      </c>
      <c r="G34" s="140">
        <f t="shared" si="0"/>
        <v>0</v>
      </c>
    </row>
    <row r="35" spans="2:22" ht="20.25" customHeight="1">
      <c r="B35" s="785"/>
      <c r="C35" s="786"/>
      <c r="D35" s="638"/>
      <c r="E35" s="140">
        <f>SUM(J54:J80)</f>
        <v>0</v>
      </c>
      <c r="F35" s="141">
        <f>J84</f>
        <v>0</v>
      </c>
      <c r="G35" s="140">
        <f>E35+F35</f>
        <v>0</v>
      </c>
    </row>
    <row r="36" spans="2:22" ht="20.25" customHeight="1">
      <c r="B36" s="785"/>
      <c r="C36" s="786"/>
      <c r="D36" s="638"/>
      <c r="E36" s="140">
        <f>SUM(K54:K80)</f>
        <v>0</v>
      </c>
      <c r="F36" s="141">
        <f>K84</f>
        <v>0</v>
      </c>
      <c r="G36" s="140">
        <f t="shared" ref="G36:G42" si="1">E36+F36</f>
        <v>0</v>
      </c>
    </row>
    <row r="37" spans="2:22" ht="20.25" customHeight="1">
      <c r="B37" s="785"/>
      <c r="C37" s="786"/>
      <c r="D37" s="638"/>
      <c r="E37" s="140">
        <f>SUM(L54:L80)</f>
        <v>0</v>
      </c>
      <c r="F37" s="141">
        <f>L84</f>
        <v>0</v>
      </c>
      <c r="G37" s="140">
        <f t="shared" si="1"/>
        <v>0</v>
      </c>
    </row>
    <row r="38" spans="2:22" ht="20.25" customHeight="1">
      <c r="B38" s="785"/>
      <c r="C38" s="786"/>
      <c r="D38" s="638"/>
      <c r="E38" s="140">
        <f>SUM(M54:M80)</f>
        <v>0</v>
      </c>
      <c r="F38" s="141">
        <f>M84</f>
        <v>0</v>
      </c>
      <c r="G38" s="140">
        <f t="shared" si="1"/>
        <v>0</v>
      </c>
    </row>
    <row r="39" spans="2:22" ht="20.25" customHeight="1">
      <c r="B39" s="785"/>
      <c r="C39" s="786"/>
      <c r="D39" s="638"/>
      <c r="E39" s="140">
        <f>SUM(N54:N80)</f>
        <v>0</v>
      </c>
      <c r="F39" s="141">
        <f>N84</f>
        <v>0</v>
      </c>
      <c r="G39" s="140">
        <f t="shared" si="1"/>
        <v>0</v>
      </c>
    </row>
    <row r="40" spans="2:22" ht="20.25" customHeight="1">
      <c r="B40" s="785"/>
      <c r="C40" s="786"/>
      <c r="D40" s="638"/>
      <c r="E40" s="140">
        <f>SUM(O54:O80)</f>
        <v>0</v>
      </c>
      <c r="F40" s="141">
        <f>O84</f>
        <v>0</v>
      </c>
      <c r="G40" s="140">
        <f t="shared" si="1"/>
        <v>0</v>
      </c>
    </row>
    <row r="41" spans="2:22" ht="20.25" customHeight="1">
      <c r="B41" s="785"/>
      <c r="C41" s="786"/>
      <c r="D41" s="638"/>
      <c r="E41" s="140">
        <f>SUM(P54:P80)</f>
        <v>0</v>
      </c>
      <c r="F41" s="141">
        <f>P84</f>
        <v>0</v>
      </c>
      <c r="G41" s="140">
        <f t="shared" si="1"/>
        <v>0</v>
      </c>
    </row>
    <row r="42" spans="2:22" ht="20.25" customHeight="1">
      <c r="B42" s="785"/>
      <c r="C42" s="786"/>
      <c r="D42" s="639"/>
      <c r="E42" s="142">
        <f>SUM(Q54:Q80)</f>
        <v>0</v>
      </c>
      <c r="F42" s="143">
        <f>Q84</f>
        <v>0</v>
      </c>
      <c r="G42" s="142">
        <f t="shared" si="1"/>
        <v>0</v>
      </c>
    </row>
    <row r="43" spans="2:22" s="8" customFormat="1" ht="21" customHeight="1">
      <c r="B43" s="790" t="s">
        <v>26</v>
      </c>
      <c r="C43" s="791"/>
      <c r="D43" s="137"/>
      <c r="E43" s="144">
        <f>SUM(E29:E42)</f>
        <v>184981.5569814014</v>
      </c>
      <c r="F43" s="144">
        <f>SUM(F29:F42)</f>
        <v>7872.563853241445</v>
      </c>
      <c r="G43" s="144">
        <f>SUM(G29:G42)</f>
        <v>192854.12083464288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7" t="s">
        <v>611</v>
      </c>
      <c r="C48" s="787"/>
      <c r="D48" s="787"/>
      <c r="E48" s="787"/>
      <c r="F48" s="787"/>
      <c r="G48" s="787"/>
      <c r="H48" s="787"/>
      <c r="I48" s="787"/>
      <c r="J48" s="787"/>
      <c r="K48" s="787"/>
      <c r="L48" s="787"/>
      <c r="M48" s="617"/>
      <c r="N48" s="105"/>
      <c r="O48" s="105"/>
      <c r="P48" s="105"/>
      <c r="Q48" s="105"/>
      <c r="R48" s="105"/>
      <c r="T48" s="37"/>
      <c r="U48" s="19"/>
      <c r="V48" s="38"/>
    </row>
    <row r="49" spans="2:22" s="28" customFormat="1" ht="41.1" customHeight="1">
      <c r="B49" s="787" t="s">
        <v>561</v>
      </c>
      <c r="C49" s="787"/>
      <c r="D49" s="787"/>
      <c r="E49" s="787"/>
      <c r="F49" s="787"/>
      <c r="G49" s="787"/>
      <c r="H49" s="787"/>
      <c r="I49" s="787"/>
      <c r="J49" s="787"/>
      <c r="K49" s="787"/>
      <c r="L49" s="787"/>
      <c r="M49" s="617"/>
      <c r="N49" s="105"/>
      <c r="O49" s="105"/>
      <c r="P49" s="105"/>
      <c r="Q49" s="105"/>
      <c r="R49" s="105"/>
      <c r="T49" s="37"/>
      <c r="U49" s="19"/>
      <c r="V49" s="38"/>
    </row>
    <row r="50" spans="2:22" s="28" customFormat="1" ht="18" customHeight="1">
      <c r="B50" s="787" t="s">
        <v>680</v>
      </c>
      <c r="C50" s="787"/>
      <c r="D50" s="787"/>
      <c r="E50" s="787"/>
      <c r="F50" s="787"/>
      <c r="G50" s="787"/>
      <c r="H50" s="787"/>
      <c r="I50" s="787"/>
      <c r="J50" s="787"/>
      <c r="K50" s="787"/>
      <c r="L50" s="78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Street Light</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33670.401599999997</v>
      </c>
      <c r="E69" s="156">
        <f>'5.  2015-2020 LRAM'!Z388</f>
        <v>60368.211319999995</v>
      </c>
      <c r="F69" s="156">
        <f>'5.  2015-2020 LRAM'!AA388</f>
        <v>23369.12453592</v>
      </c>
      <c r="G69" s="156">
        <f>'5.  2015-2020 LRAM'!AB388</f>
        <v>892.69535992604847</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118300.43281584603</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74877.591700477962</v>
      </c>
      <c r="E72" s="156">
        <f>'5.  2015-2020 LRAM'!Z572</f>
        <v>83506.897678257825</v>
      </c>
      <c r="F72" s="156">
        <f>'5.  2015-2020 LRAM'!AA572</f>
        <v>46334.541032386187</v>
      </c>
      <c r="G72" s="156">
        <f>'5.  2015-2020 LRAM'!AB572</f>
        <v>38568.227425889025</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243287.25783701098</v>
      </c>
      <c r="U72" s="152"/>
      <c r="V72" s="153"/>
    </row>
    <row r="73" spans="2:22" s="163" customFormat="1">
      <c r="B73" s="154" t="s">
        <v>226</v>
      </c>
      <c r="C73" s="155"/>
      <c r="D73" s="156">
        <f>-'5.  2015-2020 LRAM'!Y573</f>
        <v>-20105.600000000002</v>
      </c>
      <c r="E73" s="156">
        <f>-'5.  2015-2020 LRAM'!Z573</f>
        <v>-32012.800000000003</v>
      </c>
      <c r="F73" s="156">
        <f>-'5.  2015-2020 LRAM'!AA573</f>
        <v>-181435.83780000001</v>
      </c>
      <c r="G73" s="156">
        <f>-'5.  2015-2020 LRAM'!AB573</f>
        <v>-21189.294000000002</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-254743.5318</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50908.292814177257</v>
      </c>
      <c r="E75" s="156">
        <f>'5.  2015-2020 LRAM'!Z756</f>
        <v>106183.39535247537</v>
      </c>
      <c r="F75" s="156">
        <f>'5.  2015-2020 LRAM'!AA756</f>
        <v>88332.065529031548</v>
      </c>
      <c r="G75" s="156">
        <f>'5.  2015-2020 LRAM'!AB756</f>
        <v>39124.856163131823</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284548.60985881602</v>
      </c>
      <c r="U75" s="152"/>
      <c r="V75" s="153"/>
    </row>
    <row r="76" spans="2:22" s="163" customFormat="1" ht="16.5" customHeight="1">
      <c r="B76" s="154" t="s">
        <v>228</v>
      </c>
      <c r="C76" s="155"/>
      <c r="D76" s="156">
        <f>-'5.  2015-2020 LRAM'!Y757</f>
        <v>-13513.6</v>
      </c>
      <c r="E76" s="156">
        <f>-'5.  2015-2020 LRAM'!Z757</f>
        <v>-32275.200000000001</v>
      </c>
      <c r="F76" s="156">
        <f>-'5.  2015-2020 LRAM'!AA757</f>
        <v>-182795.56949999998</v>
      </c>
      <c r="G76" s="156">
        <f>-'5.  2015-2020 LRAM'!AB757</f>
        <v>-21348.111000000001</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-249932.48049999998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25457.406007306876</v>
      </c>
      <c r="E78" s="156">
        <f>'5.  2015-2020 LRAM'!Z940</f>
        <v>116451.78691354743</v>
      </c>
      <c r="F78" s="156">
        <f>'5.  2015-2020 LRAM'!AA940</f>
        <v>107790.33410924787</v>
      </c>
      <c r="G78" s="156">
        <f>'5.  2015-2020 LRAM'!AB940</f>
        <v>39535.7447396262</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289235.2717697284</v>
      </c>
      <c r="U78" s="152"/>
      <c r="V78" s="153"/>
    </row>
    <row r="79" spans="2:22" s="163" customFormat="1">
      <c r="B79" s="154" t="s">
        <v>230</v>
      </c>
      <c r="C79" s="155"/>
      <c r="D79" s="156">
        <f>-'5.  2015-2020 LRAM'!Y941</f>
        <v>-6756.8</v>
      </c>
      <c r="E79" s="156">
        <f>-'5.  2015-2020 LRAM'!Z941</f>
        <v>-32668.799999999999</v>
      </c>
      <c r="F79" s="156">
        <f>-'5.  2015-2020 LRAM'!AA941</f>
        <v>-184716.09450000001</v>
      </c>
      <c r="G79" s="156">
        <f>-'5.  2015-2020 LRAM'!AB941</f>
        <v>-21572.308500000003</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-245714.00300000003</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114283.03962831837</v>
      </c>
      <c r="F81" s="156">
        <f>'5.  2015-2020 LRAM'!AA1124</f>
        <v>109320.32892789957</v>
      </c>
      <c r="G81" s="156">
        <f>'5.  2015-2020 LRAM'!AB1124</f>
        <v>40145.113812058735</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263748.48236827669</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5901.6222067861008</v>
      </c>
      <c r="E84" s="679">
        <f>'6.  Carrying Charges'!J237</f>
        <v>9109.1126347291665</v>
      </c>
      <c r="F84" s="679">
        <f>'6.  Carrying Charges'!K237</f>
        <v>-8749.3931023737423</v>
      </c>
      <c r="G84" s="679">
        <f>'6.  Carrying Charges'!L237</f>
        <v>1611.2221140999206</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7872.563853241445</v>
      </c>
      <c r="U84" s="152"/>
      <c r="V84" s="153"/>
    </row>
    <row r="85" spans="2:22" s="163" customFormat="1" ht="21.75" customHeight="1">
      <c r="B85" s="623" t="s">
        <v>240</v>
      </c>
      <c r="C85" s="624"/>
      <c r="D85" s="623">
        <f>SUM(D54:D80)+D84</f>
        <v>150439.31432874821</v>
      </c>
      <c r="E85" s="623">
        <f t="shared" ref="E85:Q85" si="2">SUM(E54:E80)+E84</f>
        <v>278662.60389900982</v>
      </c>
      <c r="F85" s="623">
        <f t="shared" si="2"/>
        <v>-291870.82969578815</v>
      </c>
      <c r="G85" s="623">
        <f t="shared" si="2"/>
        <v>55623.032302673004</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192854.12083464285</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118300.43281584603</v>
      </c>
      <c r="I98" s="557">
        <f>SUM('5.  2015-2020 LRAM'!Y570:AL570)</f>
        <v>116586.08845987609</v>
      </c>
      <c r="J98" s="556">
        <f>SUM('5.  2015-2020 LRAM'!Y753:AL753)</f>
        <v>108287.7149815415</v>
      </c>
      <c r="K98" s="556">
        <f>SUM('5.  2015-2020 LRAM'!Y936:AL936)</f>
        <v>97899.811931997989</v>
      </c>
      <c r="L98" s="556">
        <f>SUM('5.  2015-2020 LRAM'!Y1119:AL1119)</f>
        <v>86894.409453881482</v>
      </c>
      <c r="M98" s="556">
        <f>SUM(H98:L98)</f>
        <v>527968.45764314313</v>
      </c>
      <c r="T98" s="197"/>
      <c r="U98" s="197"/>
    </row>
    <row r="99" spans="2:21" s="90" customFormat="1" ht="23.25" hidden="1" customHeight="1">
      <c r="B99" s="198">
        <v>2017</v>
      </c>
      <c r="C99" s="559"/>
      <c r="D99" s="559"/>
      <c r="E99" s="559"/>
      <c r="F99" s="559"/>
      <c r="G99" s="559"/>
      <c r="H99" s="559"/>
      <c r="I99" s="556">
        <f>SUM('5.  2015-2020 LRAM'!Y571:AL571)</f>
        <v>126701.16937713489</v>
      </c>
      <c r="J99" s="556">
        <f>SUM('5.  2015-2020 LRAM'!Y754:AL754)</f>
        <v>106008.87637857842</v>
      </c>
      <c r="K99" s="556">
        <f>SUM('5.  2015-2020 LRAM'!Y937:AL937)</f>
        <v>93752.853741096071</v>
      </c>
      <c r="L99" s="556">
        <f>SUM('5.  2015-2020 LRAM'!Y1120:AL1120)</f>
        <v>81336.60221473682</v>
      </c>
      <c r="M99" s="556">
        <f>SUM(I99:L99)</f>
        <v>407799.50171154615</v>
      </c>
      <c r="T99" s="197"/>
      <c r="U99" s="197"/>
    </row>
    <row r="100" spans="2:21" s="90" customFormat="1" ht="23.25" hidden="1" customHeight="1">
      <c r="B100" s="198">
        <v>2018</v>
      </c>
      <c r="C100" s="559"/>
      <c r="D100" s="559"/>
      <c r="E100" s="559"/>
      <c r="F100" s="559"/>
      <c r="G100" s="559"/>
      <c r="H100" s="559"/>
      <c r="I100" s="559"/>
      <c r="J100" s="556">
        <f>SUM('5.  2015-2020 LRAM'!Y755:AL755)</f>
        <v>70252.018498696081</v>
      </c>
      <c r="K100" s="556">
        <f>SUM('5.  2015-2020 LRAM'!Y938:AL938)</f>
        <v>67395.603421076288</v>
      </c>
      <c r="L100" s="556">
        <f>SUM('5.  2015-2020 LRAM'!Y1121:AL1121)</f>
        <v>64875.150739855366</v>
      </c>
      <c r="M100" s="556">
        <f>SUM(J100:L100)</f>
        <v>202522.77265962772</v>
      </c>
      <c r="T100" s="197"/>
      <c r="U100" s="197"/>
    </row>
    <row r="101" spans="2:21" s="90" customFormat="1" ht="23.25" hidden="1" customHeight="1">
      <c r="B101" s="198">
        <v>2019</v>
      </c>
      <c r="C101" s="559"/>
      <c r="D101" s="559"/>
      <c r="E101" s="559"/>
      <c r="F101" s="559"/>
      <c r="G101" s="559"/>
      <c r="H101" s="559"/>
      <c r="I101" s="559"/>
      <c r="J101" s="559"/>
      <c r="K101" s="556">
        <f>SUM('5.  2015-2020 LRAM'!Y939:AL939)</f>
        <v>30187.002675557989</v>
      </c>
      <c r="L101" s="556">
        <f>SUM('5.  2015-2020 LRAM'!Y1122:AL1122)</f>
        <v>30642.319959802982</v>
      </c>
      <c r="M101" s="556">
        <f>SUM(K101:L101)</f>
        <v>60829.322635360972</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118300.43281584603</v>
      </c>
      <c r="I103" s="556">
        <f>I93+I94+I95+I96+I97+I98+I99</f>
        <v>243287.25783701098</v>
      </c>
      <c r="J103" s="556">
        <f>J93+J94+J95+J96+J97+J98+J99+J100</f>
        <v>284548.60985881602</v>
      </c>
      <c r="K103" s="556">
        <f>K93+K94+K95+K96+K97+K98+K99+K100+K101</f>
        <v>289235.27176972834</v>
      </c>
      <c r="L103" s="556">
        <f>SUM(L93:L102)</f>
        <v>263748.48236827663</v>
      </c>
      <c r="M103" s="556">
        <f>SUM(M93:M102)</f>
        <v>1199120.0546496781</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254743.5318</v>
      </c>
      <c r="J104" s="554">
        <f>'5.  2015-2020 LRAM'!AM757</f>
        <v>249932.48049999998</v>
      </c>
      <c r="K104" s="554">
        <f>'5.  2015-2020 LRAM'!AM941</f>
        <v>245714.00300000003</v>
      </c>
      <c r="L104" s="554">
        <f>'5.  2015-2020 LRAM'!AM1125</f>
        <v>0</v>
      </c>
      <c r="M104" s="556">
        <f>SUM(C104:L104)</f>
        <v>750390.01529999997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596.43134877989041</v>
      </c>
      <c r="I105" s="554">
        <f>'6.  Carrying Charges'!W117</f>
        <v>1948.7309330374824</v>
      </c>
      <c r="J105" s="554">
        <f>'6.  Carrying Charges'!W132</f>
        <v>4255.94579385826</v>
      </c>
      <c r="K105" s="554">
        <f>'6.  Carrying Charges'!W147</f>
        <v>7872.563853241445</v>
      </c>
      <c r="L105" s="554">
        <f>'6.  Carrying Charges'!W162</f>
        <v>7872.563853241445</v>
      </c>
      <c r="M105" s="556">
        <f>SUM(C105:L105)</f>
        <v>22546.235782158525</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118896.86416462592</v>
      </c>
      <c r="I106" s="554">
        <f t="shared" si="3"/>
        <v>-9507.5430299515301</v>
      </c>
      <c r="J106" s="554">
        <f t="shared" si="3"/>
        <v>38872.075152674312</v>
      </c>
      <c r="K106" s="554">
        <f>K103-K104+K105</f>
        <v>51393.832622969756</v>
      </c>
      <c r="L106" s="554">
        <f>L103-L104+L105</f>
        <v>271621.04622151807</v>
      </c>
      <c r="M106" s="554">
        <f>M103-M104+M105</f>
        <v>471276.27513183659</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E26" sqref="E26:F26"/>
    </sheetView>
  </sheetViews>
  <sheetFormatPr defaultColWidth="9.140625" defaultRowHeight="15"/>
  <cols>
    <col min="1" max="1" width="5.42578125" style="12" customWidth="1"/>
    <col min="2" max="2" width="27" style="12" customWidth="1"/>
    <col min="3" max="3" width="24.42578125" style="12" customWidth="1"/>
    <col min="4" max="4" width="23.42578125" style="12" customWidth="1"/>
    <col min="5" max="5" width="28.5703125" style="12" customWidth="1"/>
    <col min="6" max="6" width="43.85546875" style="12" customWidth="1"/>
    <col min="7" max="7" width="72.570312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616</v>
      </c>
    </row>
    <row r="20" spans="2:8" ht="13.5" customHeight="1"/>
    <row r="21" spans="2:8" ht="41.1" customHeight="1">
      <c r="B21" s="787" t="s">
        <v>679</v>
      </c>
      <c r="C21" s="787"/>
      <c r="D21" s="787"/>
      <c r="E21" s="787"/>
      <c r="F21" s="787"/>
      <c r="G21" s="787"/>
      <c r="H21" s="787"/>
    </row>
    <row r="23" spans="2:8" s="609" customFormat="1" ht="15.75">
      <c r="B23" s="619" t="s">
        <v>545</v>
      </c>
      <c r="C23" s="619" t="s">
        <v>560</v>
      </c>
      <c r="D23" s="619" t="s">
        <v>544</v>
      </c>
      <c r="E23" s="794" t="s">
        <v>34</v>
      </c>
      <c r="F23" s="795"/>
      <c r="G23" s="794" t="s">
        <v>543</v>
      </c>
      <c r="H23" s="795"/>
    </row>
    <row r="24" spans="2:8">
      <c r="B24" s="608">
        <v>1</v>
      </c>
      <c r="C24" s="644"/>
      <c r="D24" s="607" t="s">
        <v>788</v>
      </c>
      <c r="E24" s="792" t="s">
        <v>787</v>
      </c>
      <c r="F24" s="793"/>
      <c r="G24" s="796" t="s">
        <v>752</v>
      </c>
      <c r="H24" s="797"/>
    </row>
    <row r="25" spans="2:8">
      <c r="B25" s="608">
        <v>2</v>
      </c>
      <c r="C25" s="644" t="s">
        <v>557</v>
      </c>
      <c r="D25" s="607" t="s">
        <v>785</v>
      </c>
      <c r="E25" s="792" t="s">
        <v>786</v>
      </c>
      <c r="F25" s="793"/>
      <c r="G25" s="796"/>
      <c r="H25" s="797"/>
    </row>
    <row r="26" spans="2:8">
      <c r="B26" s="608">
        <v>3</v>
      </c>
      <c r="C26" s="644" t="s">
        <v>370</v>
      </c>
      <c r="D26" s="607" t="s">
        <v>789</v>
      </c>
      <c r="E26" s="792" t="s">
        <v>790</v>
      </c>
      <c r="F26" s="793"/>
      <c r="G26" s="796" t="s">
        <v>791</v>
      </c>
      <c r="H26" s="797"/>
    </row>
    <row r="27" spans="2:8">
      <c r="B27" s="608">
        <v>4</v>
      </c>
      <c r="C27" s="644"/>
      <c r="D27" s="607"/>
      <c r="E27" s="792"/>
      <c r="F27" s="793"/>
      <c r="G27" s="796"/>
      <c r="H27" s="797"/>
    </row>
    <row r="28" spans="2:8">
      <c r="B28" s="608">
        <v>5</v>
      </c>
      <c r="C28" s="644"/>
      <c r="D28" s="607"/>
      <c r="E28" s="792"/>
      <c r="F28" s="793"/>
      <c r="G28" s="796"/>
      <c r="H28" s="797"/>
    </row>
    <row r="29" spans="2:8">
      <c r="B29" s="608">
        <v>6</v>
      </c>
      <c r="C29" s="644"/>
      <c r="D29" s="607"/>
      <c r="E29" s="792"/>
      <c r="F29" s="793"/>
      <c r="G29" s="796"/>
      <c r="H29" s="797"/>
    </row>
    <row r="30" spans="2:8">
      <c r="B30" s="608">
        <v>7</v>
      </c>
      <c r="C30" s="644"/>
      <c r="D30" s="607"/>
      <c r="E30" s="792"/>
      <c r="F30" s="793"/>
      <c r="G30" s="796"/>
      <c r="H30" s="797"/>
    </row>
    <row r="31" spans="2:8">
      <c r="B31" s="608">
        <v>8</v>
      </c>
      <c r="C31" s="644"/>
      <c r="D31" s="607"/>
      <c r="E31" s="792"/>
      <c r="F31" s="793"/>
      <c r="G31" s="796"/>
      <c r="H31" s="797"/>
    </row>
    <row r="32" spans="2:8">
      <c r="B32" s="608">
        <v>9</v>
      </c>
      <c r="C32" s="644"/>
      <c r="D32" s="607"/>
      <c r="E32" s="792"/>
      <c r="F32" s="793"/>
      <c r="G32" s="796"/>
      <c r="H32" s="797"/>
    </row>
    <row r="33" spans="2:8">
      <c r="B33" s="608">
        <v>10</v>
      </c>
      <c r="C33" s="644"/>
      <c r="D33" s="607"/>
      <c r="E33" s="792"/>
      <c r="F33" s="793"/>
      <c r="G33" s="796"/>
      <c r="H33" s="797"/>
    </row>
    <row r="34" spans="2:8">
      <c r="B34" s="608" t="s">
        <v>479</v>
      </c>
      <c r="C34" s="644"/>
      <c r="D34" s="607"/>
      <c r="E34" s="792"/>
      <c r="F34" s="793"/>
      <c r="G34" s="796"/>
      <c r="H34" s="797"/>
    </row>
    <row r="36" spans="2:8" ht="30.75" customHeight="1">
      <c r="B36" s="537" t="s">
        <v>612</v>
      </c>
    </row>
    <row r="37" spans="2:8" ht="23.25" customHeight="1">
      <c r="B37" s="568" t="s">
        <v>617</v>
      </c>
      <c r="C37" s="605"/>
      <c r="D37" s="605"/>
      <c r="E37" s="605"/>
      <c r="F37" s="605"/>
      <c r="G37" s="605"/>
      <c r="H37" s="605"/>
    </row>
    <row r="39" spans="2:8" s="90" customFormat="1" ht="15.75">
      <c r="B39" s="619" t="s">
        <v>545</v>
      </c>
      <c r="C39" s="619" t="s">
        <v>560</v>
      </c>
      <c r="D39" s="619" t="s">
        <v>544</v>
      </c>
      <c r="E39" s="794" t="s">
        <v>34</v>
      </c>
      <c r="F39" s="795"/>
      <c r="G39" s="794" t="s">
        <v>543</v>
      </c>
      <c r="H39" s="795"/>
    </row>
    <row r="40" spans="2:8">
      <c r="B40" s="608">
        <v>1</v>
      </c>
      <c r="C40" s="644"/>
      <c r="D40" s="607"/>
      <c r="E40" s="792"/>
      <c r="F40" s="793"/>
      <c r="G40" s="796"/>
      <c r="H40" s="797"/>
    </row>
    <row r="41" spans="2:8">
      <c r="B41" s="608">
        <v>2</v>
      </c>
      <c r="C41" s="644"/>
      <c r="D41" s="607"/>
      <c r="E41" s="792"/>
      <c r="F41" s="793"/>
      <c r="G41" s="796"/>
      <c r="H41" s="797"/>
    </row>
    <row r="42" spans="2:8">
      <c r="B42" s="608">
        <v>3</v>
      </c>
      <c r="C42" s="644"/>
      <c r="D42" s="607"/>
      <c r="E42" s="792"/>
      <c r="F42" s="793"/>
      <c r="G42" s="796"/>
      <c r="H42" s="797"/>
    </row>
    <row r="43" spans="2:8">
      <c r="B43" s="608">
        <v>4</v>
      </c>
      <c r="C43" s="644"/>
      <c r="D43" s="607"/>
      <c r="E43" s="792"/>
      <c r="F43" s="793"/>
      <c r="G43" s="796"/>
      <c r="H43" s="797"/>
    </row>
    <row r="44" spans="2:8">
      <c r="B44" s="608">
        <v>5</v>
      </c>
      <c r="C44" s="644"/>
      <c r="D44" s="607"/>
      <c r="E44" s="792"/>
      <c r="F44" s="793"/>
      <c r="G44" s="796"/>
      <c r="H44" s="797"/>
    </row>
    <row r="45" spans="2:8">
      <c r="B45" s="608">
        <v>6</v>
      </c>
      <c r="C45" s="644"/>
      <c r="D45" s="607"/>
      <c r="E45" s="792"/>
      <c r="F45" s="793"/>
      <c r="G45" s="796"/>
      <c r="H45" s="797"/>
    </row>
    <row r="46" spans="2:8">
      <c r="B46" s="608">
        <v>7</v>
      </c>
      <c r="C46" s="644"/>
      <c r="D46" s="607"/>
      <c r="E46" s="792"/>
      <c r="F46" s="793"/>
      <c r="G46" s="796"/>
      <c r="H46" s="797"/>
    </row>
    <row r="47" spans="2:8">
      <c r="B47" s="608">
        <v>8</v>
      </c>
      <c r="C47" s="644"/>
      <c r="D47" s="607"/>
      <c r="E47" s="792"/>
      <c r="F47" s="793"/>
      <c r="G47" s="796"/>
      <c r="H47" s="797"/>
    </row>
    <row r="48" spans="2:8">
      <c r="B48" s="608">
        <v>9</v>
      </c>
      <c r="C48" s="644"/>
      <c r="D48" s="607"/>
      <c r="E48" s="792"/>
      <c r="F48" s="793"/>
      <c r="G48" s="796"/>
      <c r="H48" s="797"/>
    </row>
    <row r="49" spans="2:8">
      <c r="B49" s="608">
        <v>10</v>
      </c>
      <c r="C49" s="644"/>
      <c r="D49" s="607"/>
      <c r="E49" s="792"/>
      <c r="F49" s="793"/>
      <c r="G49" s="796"/>
      <c r="H49" s="797"/>
    </row>
    <row r="50" spans="2:8">
      <c r="B50" s="608" t="s">
        <v>479</v>
      </c>
      <c r="C50" s="644"/>
      <c r="D50" s="607"/>
      <c r="E50" s="792"/>
      <c r="F50" s="793"/>
      <c r="G50" s="796"/>
      <c r="H50" s="79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E60" sqref="E60"/>
    </sheetView>
  </sheetViews>
  <sheetFormatPr defaultColWidth="9.140625" defaultRowHeight="15"/>
  <cols>
    <col min="1" max="1" width="5.42578125" style="12" customWidth="1"/>
    <col min="2" max="2" width="27.42578125" style="10" customWidth="1"/>
    <col min="3" max="3" width="23" style="10" customWidth="1"/>
    <col min="4" max="4" width="32.42578125" style="12" customWidth="1"/>
    <col min="5" max="5" width="26.425781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425781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798" t="s">
        <v>721</v>
      </c>
      <c r="C11" s="798"/>
      <c r="D11" s="798"/>
      <c r="E11" s="798"/>
      <c r="F11" s="798"/>
      <c r="G11" s="798"/>
      <c r="H11" s="798"/>
      <c r="I11" s="798"/>
      <c r="J11" s="798"/>
      <c r="K11" s="798"/>
      <c r="L11" s="798"/>
      <c r="M11" s="79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 Light</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11752000</v>
      </c>
      <c r="D15" s="451">
        <v>1648000</v>
      </c>
      <c r="E15" s="451">
        <v>1312000</v>
      </c>
      <c r="F15" s="451">
        <v>7981000</v>
      </c>
      <c r="G15" s="451">
        <v>811000</v>
      </c>
      <c r="H15" s="451"/>
      <c r="I15" s="451"/>
      <c r="J15" s="451"/>
      <c r="K15" s="451"/>
      <c r="L15" s="451"/>
      <c r="M15" s="451"/>
      <c r="N15" s="451"/>
      <c r="O15" s="451"/>
      <c r="P15" s="452"/>
      <c r="Q15" s="452"/>
    </row>
    <row r="16" spans="2:17" s="456" customFormat="1" ht="15.75" customHeight="1">
      <c r="B16" s="461" t="s">
        <v>28</v>
      </c>
      <c r="C16" s="626">
        <f>SUM(D16:Q16)</f>
        <v>28112</v>
      </c>
      <c r="D16" s="450"/>
      <c r="E16" s="450"/>
      <c r="F16" s="450">
        <v>25607</v>
      </c>
      <c r="G16" s="450">
        <v>2505</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1648000</v>
      </c>
      <c r="E18" s="192">
        <f t="shared" si="0"/>
        <v>1312000</v>
      </c>
      <c r="F18" s="192">
        <f>IF(F14="kw",HLOOKUP(F14,F14:F16,3,FALSE),HLOOKUP(F14,F14:F16,2,FALSE))</f>
        <v>25607</v>
      </c>
      <c r="G18" s="192">
        <f t="shared" ref="G18:Q18" si="1">IF(G14="kw",HLOOKUP(G14,G14:G16,3,FALSE),HLOOKUP(G14,G14:G16,2,FALSE))</f>
        <v>2505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727</v>
      </c>
      <c r="D20" s="454"/>
    </row>
    <row r="21" spans="2:17" s="438" customFormat="1" ht="21" customHeight="1">
      <c r="B21" s="460" t="s">
        <v>366</v>
      </c>
      <c r="C21" s="453" t="s">
        <v>728</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2013</v>
      </c>
    </row>
    <row r="25" spans="2:17" s="2" customFormat="1" ht="15.75" customHeight="1">
      <c r="D25" s="20"/>
    </row>
    <row r="26" spans="2:17" s="2" customFormat="1" ht="42" customHeight="1">
      <c r="B26" s="798" t="s">
        <v>721</v>
      </c>
      <c r="C26" s="798"/>
      <c r="D26" s="798"/>
      <c r="E26" s="798"/>
      <c r="F26" s="798"/>
      <c r="G26" s="798"/>
      <c r="H26" s="798"/>
      <c r="I26" s="798"/>
      <c r="J26" s="798"/>
      <c r="K26" s="798"/>
      <c r="L26" s="798"/>
      <c r="M26" s="79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 Light</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v>0</v>
      </c>
      <c r="E30" s="462">
        <v>0</v>
      </c>
      <c r="F30" s="462">
        <v>0</v>
      </c>
      <c r="G30" s="462">
        <v>0</v>
      </c>
      <c r="H30" s="462"/>
      <c r="I30" s="462"/>
      <c r="J30" s="462"/>
      <c r="K30" s="462"/>
      <c r="L30" s="462"/>
      <c r="M30" s="462"/>
      <c r="N30" s="462"/>
      <c r="O30" s="462"/>
      <c r="P30" s="462"/>
      <c r="Q30" s="452"/>
    </row>
    <row r="31" spans="2:17" s="463" customFormat="1" ht="15" customHeight="1">
      <c r="B31" s="461" t="s">
        <v>28</v>
      </c>
      <c r="C31" s="626">
        <f>SUM(D31:Q31)</f>
        <v>0</v>
      </c>
      <c r="D31" s="450">
        <v>0</v>
      </c>
      <c r="E31" s="450">
        <v>0</v>
      </c>
      <c r="F31" s="450">
        <v>0</v>
      </c>
      <c r="G31" s="450">
        <v>0</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733</v>
      </c>
      <c r="D35" s="454"/>
      <c r="E35" s="93"/>
      <c r="F35" s="93"/>
      <c r="G35" s="93"/>
      <c r="H35" s="93"/>
      <c r="I35" s="93"/>
      <c r="J35" s="93"/>
      <c r="K35" s="93"/>
      <c r="L35" s="93"/>
      <c r="M35" s="93"/>
      <c r="N35" s="93"/>
      <c r="O35" s="93"/>
      <c r="P35" s="93"/>
      <c r="Q35" s="93"/>
    </row>
    <row r="36" spans="2:32" s="438" customFormat="1" ht="21" customHeight="1">
      <c r="B36" s="460" t="s">
        <v>366</v>
      </c>
      <c r="C36" s="453" t="s">
        <v>734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798" t="s">
        <v>610</v>
      </c>
      <c r="C40" s="798"/>
      <c r="D40" s="798"/>
      <c r="E40" s="798"/>
      <c r="F40" s="798"/>
      <c r="G40" s="798"/>
      <c r="H40" s="798"/>
      <c r="I40" s="798"/>
      <c r="J40" s="798"/>
      <c r="K40" s="798"/>
      <c r="L40" s="798"/>
      <c r="M40" s="79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GS&gt;50 kW</v>
      </c>
      <c r="G42" s="243" t="str">
        <f>'1.  LRAMVA Summary'!G52</f>
        <v>Street Light</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1648000</v>
      </c>
      <c r="E50" s="190">
        <f t="shared" si="9"/>
        <v>1312000</v>
      </c>
      <c r="F50" s="190">
        <f t="shared" si="9"/>
        <v>25607</v>
      </c>
      <c r="G50" s="190">
        <f t="shared" si="9"/>
        <v>2505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2017</v>
      </c>
      <c r="D51" s="190">
        <f t="shared" ref="D51:Q51" si="11">IF(ISBLANK($C$51),0,IF($C$51=$D$9,HLOOKUP(D43,D14:D18,5,FALSE),HLOOKUP(D43,D29:D33,5,FALSE)))</f>
        <v>1648000</v>
      </c>
      <c r="E51" s="190">
        <f t="shared" si="11"/>
        <v>1312000</v>
      </c>
      <c r="F51" s="190">
        <f t="shared" si="11"/>
        <v>25607</v>
      </c>
      <c r="G51" s="190">
        <f t="shared" si="11"/>
        <v>2505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2017</v>
      </c>
      <c r="D52" s="190">
        <f t="shared" ref="D52:Q52" si="12">IF(ISBLANK($C$52),0,IF($C$52=$D$9,HLOOKUP(D43,D14:D18,5,FALSE),HLOOKUP(D43,D29:D33,5,FALSE)))</f>
        <v>1648000</v>
      </c>
      <c r="E52" s="190">
        <f t="shared" si="12"/>
        <v>1312000</v>
      </c>
      <c r="F52" s="190">
        <f t="shared" si="12"/>
        <v>25607</v>
      </c>
      <c r="G52" s="190">
        <f t="shared" si="12"/>
        <v>2505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A46" sqref="A46:XFD11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5703125" style="5" customWidth="1"/>
    <col min="7" max="8" width="15.42578125" style="5" customWidth="1"/>
    <col min="9" max="9" width="17.425781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9" t="s">
        <v>171</v>
      </c>
      <c r="C4" s="85" t="s">
        <v>175</v>
      </c>
      <c r="D4" s="85"/>
      <c r="E4" s="49"/>
    </row>
    <row r="5" spans="1:26" s="18" customFormat="1" ht="26.25" hidden="1" customHeight="1" outlineLevel="1" thickBot="1">
      <c r="A5" s="4"/>
      <c r="B5" s="799"/>
      <c r="C5" s="86" t="s">
        <v>172</v>
      </c>
      <c r="D5" s="86"/>
      <c r="E5" s="49"/>
    </row>
    <row r="6" spans="1:26" ht="26.25" hidden="1" customHeight="1" outlineLevel="1" thickBot="1">
      <c r="B6" s="799"/>
      <c r="C6" s="805" t="s">
        <v>550</v>
      </c>
      <c r="D6" s="80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07" t="s">
        <v>618</v>
      </c>
      <c r="C12" s="807"/>
      <c r="D12" s="807"/>
      <c r="E12" s="807"/>
      <c r="F12" s="807"/>
      <c r="G12" s="807"/>
      <c r="H12" s="807"/>
      <c r="I12" s="807"/>
      <c r="J12" s="807"/>
      <c r="K12" s="807"/>
      <c r="L12" s="807"/>
      <c r="M12" s="807"/>
      <c r="N12" s="807"/>
      <c r="O12" s="80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732</v>
      </c>
      <c r="K14" s="472" t="s">
        <v>723</v>
      </c>
      <c r="L14" s="472" t="s">
        <v>729</v>
      </c>
      <c r="M14" s="472" t="s">
        <v>731</v>
      </c>
      <c r="N14" s="472" t="s">
        <v>730</v>
      </c>
      <c r="O14" s="472" t="s">
        <v>568</v>
      </c>
      <c r="P14" s="7"/>
    </row>
    <row r="15" spans="1:26" s="7" customFormat="1" ht="18.7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01"/>
      <c r="D16" s="477"/>
      <c r="E16" s="477"/>
      <c r="F16" s="477"/>
      <c r="G16" s="477"/>
      <c r="H16" s="477"/>
      <c r="I16" s="477"/>
      <c r="J16" s="477"/>
      <c r="K16" s="477">
        <v>4</v>
      </c>
      <c r="L16" s="477"/>
      <c r="M16" s="477"/>
      <c r="N16" s="477"/>
      <c r="O16" s="478"/>
    </row>
    <row r="17" spans="1:15" s="111" customFormat="1" ht="17.25" customHeight="1">
      <c r="B17" s="479" t="s">
        <v>559</v>
      </c>
      <c r="C17" s="802"/>
      <c r="D17" s="112">
        <f>12-D16</f>
        <v>12</v>
      </c>
      <c r="E17" s="112">
        <f>12-E16</f>
        <v>12</v>
      </c>
      <c r="F17" s="112">
        <f t="shared" ref="F17:J17" si="0">12-F16</f>
        <v>12</v>
      </c>
      <c r="G17" s="112">
        <f t="shared" si="0"/>
        <v>12</v>
      </c>
      <c r="H17" s="112">
        <f t="shared" si="0"/>
        <v>12</v>
      </c>
      <c r="I17" s="112">
        <f t="shared" si="0"/>
        <v>12</v>
      </c>
      <c r="J17" s="112">
        <f t="shared" si="0"/>
        <v>12</v>
      </c>
      <c r="K17" s="112">
        <v>8</v>
      </c>
      <c r="L17" s="112">
        <f t="shared" ref="L17:O17" si="1">12-L16</f>
        <v>12</v>
      </c>
      <c r="M17" s="112">
        <f t="shared" si="1"/>
        <v>12</v>
      </c>
      <c r="N17" s="112">
        <f t="shared" si="1"/>
        <v>12</v>
      </c>
      <c r="O17" s="113">
        <f t="shared" si="1"/>
        <v>12</v>
      </c>
    </row>
    <row r="18" spans="1:15" s="7" customFormat="1" ht="17.25" customHeight="1">
      <c r="B18" s="480" t="str">
        <f>'1.  LRAMVA Summary'!B29</f>
        <v>Residential</v>
      </c>
      <c r="C18" s="803" t="str">
        <f>'2. LRAMVA Threshold'!D43</f>
        <v>kWh</v>
      </c>
      <c r="D18" s="46"/>
      <c r="E18" s="46"/>
      <c r="F18" s="46"/>
      <c r="G18" s="46"/>
      <c r="H18" s="46"/>
      <c r="I18" s="46"/>
      <c r="J18" s="46">
        <v>1.52E-2</v>
      </c>
      <c r="K18" s="46">
        <v>1.2200000000000001E-2</v>
      </c>
      <c r="L18" s="46">
        <v>8.2000000000000007E-3</v>
      </c>
      <c r="M18" s="46">
        <v>4.1000000000000003E-3</v>
      </c>
      <c r="N18" s="46">
        <v>0</v>
      </c>
      <c r="O18" s="69"/>
    </row>
    <row r="19" spans="1:15" s="7" customFormat="1" ht="15" customHeight="1" outlineLevel="1">
      <c r="B19" s="536" t="s">
        <v>510</v>
      </c>
      <c r="C19" s="801"/>
      <c r="D19" s="46"/>
      <c r="E19" s="46"/>
      <c r="F19" s="46"/>
      <c r="G19" s="46"/>
      <c r="H19" s="46"/>
      <c r="I19" s="46"/>
      <c r="J19" s="46"/>
      <c r="K19" s="46"/>
      <c r="L19" s="46"/>
      <c r="M19" s="46"/>
      <c r="N19" s="46"/>
      <c r="O19" s="69"/>
    </row>
    <row r="20" spans="1:15" s="7" customFormat="1" ht="15" customHeight="1" outlineLevel="1">
      <c r="B20" s="536" t="s">
        <v>511</v>
      </c>
      <c r="C20" s="801"/>
      <c r="D20" s="46"/>
      <c r="E20" s="46"/>
      <c r="F20" s="46"/>
      <c r="G20" s="46"/>
      <c r="H20" s="46"/>
      <c r="I20" s="46"/>
      <c r="J20" s="46"/>
      <c r="K20" s="46">
        <v>-1.5E-3</v>
      </c>
      <c r="L20" s="46"/>
      <c r="M20" s="46"/>
      <c r="N20" s="46"/>
      <c r="O20" s="69"/>
    </row>
    <row r="21" spans="1:15" s="7" customFormat="1" ht="15" customHeight="1" outlineLevel="1">
      <c r="B21" s="536" t="s">
        <v>489</v>
      </c>
      <c r="C21" s="801"/>
      <c r="D21" s="46"/>
      <c r="E21" s="46"/>
      <c r="F21" s="46"/>
      <c r="G21" s="46"/>
      <c r="H21" s="46"/>
      <c r="I21" s="46"/>
      <c r="J21" s="46"/>
      <c r="K21" s="46"/>
      <c r="L21" s="46"/>
      <c r="M21" s="46"/>
      <c r="N21" s="46"/>
      <c r="O21" s="69"/>
    </row>
    <row r="22" spans="1:15" s="7" customFormat="1" ht="14.25" customHeight="1">
      <c r="B22" s="536" t="s">
        <v>512</v>
      </c>
      <c r="C22" s="804"/>
      <c r="D22" s="65">
        <f>SUM(D18:D21)</f>
        <v>0</v>
      </c>
      <c r="E22" s="65">
        <f>SUM(E18:E21)</f>
        <v>0</v>
      </c>
      <c r="F22" s="65">
        <f>SUM(F18:F21)</f>
        <v>0</v>
      </c>
      <c r="G22" s="65">
        <f t="shared" ref="G22:N22" si="2">SUM(G18:G21)</f>
        <v>0</v>
      </c>
      <c r="H22" s="65">
        <f t="shared" si="2"/>
        <v>0</v>
      </c>
      <c r="I22" s="65">
        <f t="shared" si="2"/>
        <v>0</v>
      </c>
      <c r="J22" s="65">
        <f t="shared" si="2"/>
        <v>1.52E-2</v>
      </c>
      <c r="K22" s="65">
        <f t="shared" si="2"/>
        <v>1.0700000000000001E-2</v>
      </c>
      <c r="L22" s="65">
        <f t="shared" si="2"/>
        <v>8.2000000000000007E-3</v>
      </c>
      <c r="M22" s="65">
        <f t="shared" si="2"/>
        <v>4.1000000000000003E-3</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1.52E-2</v>
      </c>
      <c r="K23" s="484">
        <f t="shared" si="3"/>
        <v>1.2200000000000001E-2</v>
      </c>
      <c r="L23" s="484">
        <f t="shared" si="3"/>
        <v>8.2000000000000007E-3</v>
      </c>
      <c r="M23" s="484">
        <f t="shared" si="3"/>
        <v>4.1000000000000003E-3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3" t="str">
        <f>'2. LRAMVA Threshold'!E43</f>
        <v>kWh</v>
      </c>
      <c r="D25" s="46"/>
      <c r="E25" s="46"/>
      <c r="F25" s="46"/>
      <c r="G25" s="46"/>
      <c r="H25" s="46"/>
      <c r="I25" s="46"/>
      <c r="J25" s="46">
        <v>2.3E-2</v>
      </c>
      <c r="K25" s="46">
        <v>2.4400000000000002E-2</v>
      </c>
      <c r="L25" s="46">
        <v>2.46E-2</v>
      </c>
      <c r="M25" s="46">
        <v>2.4899999999999999E-2</v>
      </c>
      <c r="N25" s="46">
        <v>2.53E-2</v>
      </c>
      <c r="O25" s="69"/>
    </row>
    <row r="26" spans="1:15" s="18" customFormat="1" outlineLevel="1">
      <c r="A26" s="4"/>
      <c r="B26" s="536" t="s">
        <v>510</v>
      </c>
      <c r="C26" s="801"/>
      <c r="D26" s="46"/>
      <c r="E26" s="46"/>
      <c r="F26" s="46"/>
      <c r="G26" s="46"/>
      <c r="H26" s="46"/>
      <c r="I26" s="46"/>
      <c r="J26" s="46"/>
      <c r="K26" s="46"/>
      <c r="L26" s="46"/>
      <c r="M26" s="46"/>
      <c r="N26" s="46"/>
      <c r="O26" s="69"/>
    </row>
    <row r="27" spans="1:15" s="18" customFormat="1" outlineLevel="1">
      <c r="A27" s="4"/>
      <c r="B27" s="536" t="s">
        <v>511</v>
      </c>
      <c r="C27" s="801"/>
      <c r="D27" s="46"/>
      <c r="E27" s="46"/>
      <c r="F27" s="46"/>
      <c r="G27" s="46"/>
      <c r="H27" s="46"/>
      <c r="I27" s="46"/>
      <c r="J27" s="46"/>
      <c r="K27" s="46">
        <v>6.9999999999999999E-4</v>
      </c>
      <c r="L27" s="46"/>
      <c r="M27" s="46"/>
      <c r="N27" s="46"/>
      <c r="O27" s="69"/>
    </row>
    <row r="28" spans="1:15" s="18" customFormat="1" outlineLevel="1">
      <c r="A28" s="4"/>
      <c r="B28" s="536" t="s">
        <v>489</v>
      </c>
      <c r="C28" s="801"/>
      <c r="D28" s="46"/>
      <c r="E28" s="46"/>
      <c r="F28" s="46"/>
      <c r="G28" s="46"/>
      <c r="H28" s="46"/>
      <c r="I28" s="46"/>
      <c r="J28" s="46"/>
      <c r="K28" s="46"/>
      <c r="L28" s="46"/>
      <c r="M28" s="46"/>
      <c r="N28" s="46"/>
      <c r="O28" s="69"/>
    </row>
    <row r="29" spans="1:15" s="18" customFormat="1">
      <c r="A29" s="4"/>
      <c r="B29" s="536" t="s">
        <v>512</v>
      </c>
      <c r="C29" s="804"/>
      <c r="D29" s="65">
        <f>SUM(D25:D28)</f>
        <v>0</v>
      </c>
      <c r="E29" s="65">
        <f t="shared" ref="E29:N29" si="4">SUM(E25:E28)</f>
        <v>0</v>
      </c>
      <c r="F29" s="65">
        <f t="shared" si="4"/>
        <v>0</v>
      </c>
      <c r="G29" s="65">
        <f t="shared" si="4"/>
        <v>0</v>
      </c>
      <c r="H29" s="65">
        <f t="shared" si="4"/>
        <v>0</v>
      </c>
      <c r="I29" s="65">
        <f t="shared" si="4"/>
        <v>0</v>
      </c>
      <c r="J29" s="65">
        <f t="shared" si="4"/>
        <v>2.3E-2</v>
      </c>
      <c r="K29" s="65">
        <f t="shared" si="4"/>
        <v>2.5100000000000001E-2</v>
      </c>
      <c r="L29" s="65">
        <f t="shared" si="4"/>
        <v>2.46E-2</v>
      </c>
      <c r="M29" s="65">
        <f t="shared" si="4"/>
        <v>2.4899999999999999E-2</v>
      </c>
      <c r="N29" s="65">
        <f t="shared" si="4"/>
        <v>2.53E-2</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2.3E-2</v>
      </c>
      <c r="K30" s="484">
        <f t="shared" si="5"/>
        <v>2.4400000000000002E-2</v>
      </c>
      <c r="L30" s="484">
        <f t="shared" si="5"/>
        <v>2.46E-2</v>
      </c>
      <c r="M30" s="484">
        <f t="shared" si="5"/>
        <v>2.4899999999999999E-2</v>
      </c>
      <c r="N30" s="484">
        <f t="shared" si="5"/>
        <v>2.53E-2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03" t="str">
        <f>'2. LRAMVA Threshold'!F43</f>
        <v>kW</v>
      </c>
      <c r="D32" s="46"/>
      <c r="E32" s="46"/>
      <c r="F32" s="46"/>
      <c r="G32" s="46"/>
      <c r="H32" s="46"/>
      <c r="I32" s="46"/>
      <c r="J32" s="46">
        <v>6.6886999999999999</v>
      </c>
      <c r="K32" s="46">
        <v>7.0853999999999999</v>
      </c>
      <c r="L32" s="46">
        <v>7.1384999999999996</v>
      </c>
      <c r="M32" s="46">
        <v>7.2134999999999998</v>
      </c>
      <c r="N32" s="46">
        <v>7.3253000000000004</v>
      </c>
      <c r="O32" s="69"/>
    </row>
    <row r="33" spans="1:15" s="18" customFormat="1" outlineLevel="1">
      <c r="A33" s="4"/>
      <c r="B33" s="536" t="s">
        <v>510</v>
      </c>
      <c r="C33" s="801"/>
      <c r="D33" s="46"/>
      <c r="E33" s="46"/>
      <c r="F33" s="46"/>
      <c r="G33" s="46"/>
      <c r="H33" s="46"/>
      <c r="I33" s="46"/>
      <c r="J33" s="46"/>
      <c r="K33" s="46"/>
      <c r="L33" s="46"/>
      <c r="M33" s="46"/>
      <c r="N33" s="46"/>
      <c r="O33" s="69"/>
    </row>
    <row r="34" spans="1:15" s="18" customFormat="1" outlineLevel="1">
      <c r="A34" s="4"/>
      <c r="B34" s="536" t="s">
        <v>511</v>
      </c>
      <c r="C34" s="801"/>
      <c r="D34" s="46"/>
      <c r="E34" s="46"/>
      <c r="F34" s="46"/>
      <c r="G34" s="46"/>
      <c r="H34" s="46"/>
      <c r="I34" s="46"/>
      <c r="J34" s="46"/>
      <c r="K34" s="46">
        <v>0.19839999999999999</v>
      </c>
      <c r="L34" s="46"/>
      <c r="M34" s="46"/>
      <c r="N34" s="46"/>
      <c r="O34" s="69"/>
    </row>
    <row r="35" spans="1:15" s="18" customFormat="1" outlineLevel="1">
      <c r="A35" s="4"/>
      <c r="B35" s="536" t="s">
        <v>489</v>
      </c>
      <c r="C35" s="801"/>
      <c r="D35" s="46"/>
      <c r="E35" s="46"/>
      <c r="F35" s="46"/>
      <c r="G35" s="46"/>
      <c r="H35" s="46"/>
      <c r="I35" s="46"/>
      <c r="J35" s="46"/>
      <c r="K35" s="46"/>
      <c r="L35" s="46"/>
      <c r="M35" s="46"/>
      <c r="N35" s="46"/>
      <c r="O35" s="69"/>
    </row>
    <row r="36" spans="1:15" s="18" customFormat="1">
      <c r="A36" s="4"/>
      <c r="B36" s="536" t="s">
        <v>512</v>
      </c>
      <c r="C36" s="804"/>
      <c r="D36" s="65">
        <f>SUM(D32:D35)</f>
        <v>0</v>
      </c>
      <c r="E36" s="65">
        <f>SUM(E32:E35)</f>
        <v>0</v>
      </c>
      <c r="F36" s="65">
        <f t="shared" ref="F36:M36" si="6">SUM(F32:F35)</f>
        <v>0</v>
      </c>
      <c r="G36" s="65">
        <f t="shared" si="6"/>
        <v>0</v>
      </c>
      <c r="H36" s="65">
        <f t="shared" si="6"/>
        <v>0</v>
      </c>
      <c r="I36" s="65">
        <f t="shared" si="6"/>
        <v>0</v>
      </c>
      <c r="J36" s="65">
        <f t="shared" si="6"/>
        <v>6.6886999999999999</v>
      </c>
      <c r="K36" s="65">
        <f t="shared" si="6"/>
        <v>7.2838000000000003</v>
      </c>
      <c r="L36" s="65">
        <f t="shared" si="6"/>
        <v>7.1384999999999996</v>
      </c>
      <c r="M36" s="65">
        <f t="shared" si="6"/>
        <v>7.2134999999999998</v>
      </c>
      <c r="N36" s="65">
        <f>SUM(N32:N35)</f>
        <v>7.3253000000000004</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6.6886999999999999</v>
      </c>
      <c r="K37" s="484">
        <f t="shared" si="7"/>
        <v>7.0853999999999999</v>
      </c>
      <c r="L37" s="484">
        <f t="shared" si="7"/>
        <v>7.1384999999999996</v>
      </c>
      <c r="M37" s="484">
        <f t="shared" si="7"/>
        <v>7.2134999999999998</v>
      </c>
      <c r="N37" s="484">
        <f t="shared" si="7"/>
        <v>7.3253000000000004</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v>
      </c>
      <c r="C39" s="803" t="str">
        <f>'2. LRAMVA Threshold'!G43</f>
        <v>kW</v>
      </c>
      <c r="D39" s="46"/>
      <c r="E39" s="46"/>
      <c r="F39" s="46"/>
      <c r="G39" s="46"/>
      <c r="H39" s="46"/>
      <c r="I39" s="46"/>
      <c r="J39" s="46">
        <v>10.7965</v>
      </c>
      <c r="K39" s="46">
        <v>8.4588000000000001</v>
      </c>
      <c r="L39" s="46">
        <v>8.5221999999999998</v>
      </c>
      <c r="M39" s="46">
        <v>8.6117000000000008</v>
      </c>
      <c r="N39" s="46">
        <v>8.7452000000000005</v>
      </c>
      <c r="O39" s="69"/>
    </row>
    <row r="40" spans="1:15" s="18" customFormat="1" outlineLevel="1">
      <c r="A40" s="4"/>
      <c r="B40" s="536" t="s">
        <v>510</v>
      </c>
      <c r="C40" s="801"/>
      <c r="D40" s="46"/>
      <c r="E40" s="46"/>
      <c r="F40" s="46"/>
      <c r="G40" s="46"/>
      <c r="H40" s="46"/>
      <c r="I40" s="46"/>
      <c r="J40" s="46"/>
      <c r="K40" s="46"/>
      <c r="L40" s="46"/>
      <c r="M40" s="46"/>
      <c r="N40" s="46"/>
      <c r="O40" s="69"/>
    </row>
    <row r="41" spans="1:15" s="18" customFormat="1" outlineLevel="1">
      <c r="A41" s="4"/>
      <c r="B41" s="536" t="s">
        <v>511</v>
      </c>
      <c r="C41" s="801"/>
      <c r="D41" s="46"/>
      <c r="E41" s="46"/>
      <c r="F41" s="46"/>
      <c r="G41" s="46"/>
      <c r="H41" s="46"/>
      <c r="I41" s="46"/>
      <c r="J41" s="46"/>
      <c r="K41" s="46">
        <v>-1.1689000000000001</v>
      </c>
      <c r="L41" s="46"/>
      <c r="M41" s="46"/>
      <c r="N41" s="46"/>
      <c r="O41" s="69"/>
    </row>
    <row r="42" spans="1:15" s="18" customFormat="1" outlineLevel="1">
      <c r="A42" s="4"/>
      <c r="B42" s="536" t="s">
        <v>489</v>
      </c>
      <c r="C42" s="801"/>
      <c r="D42" s="46"/>
      <c r="E42" s="46"/>
      <c r="F42" s="46"/>
      <c r="G42" s="46"/>
      <c r="H42" s="46"/>
      <c r="I42" s="46"/>
      <c r="J42" s="46"/>
      <c r="K42" s="46"/>
      <c r="L42" s="46"/>
      <c r="M42" s="46"/>
      <c r="N42" s="46"/>
      <c r="O42" s="69"/>
    </row>
    <row r="43" spans="1:15" s="18" customFormat="1">
      <c r="A43" s="4"/>
      <c r="B43" s="536" t="s">
        <v>512</v>
      </c>
      <c r="C43" s="804"/>
      <c r="D43" s="65">
        <f>SUM(D39:D42)</f>
        <v>0</v>
      </c>
      <c r="E43" s="65">
        <f t="shared" ref="E43:N43" si="8">SUM(E39:E42)</f>
        <v>0</v>
      </c>
      <c r="F43" s="65">
        <f t="shared" si="8"/>
        <v>0</v>
      </c>
      <c r="G43" s="65">
        <f t="shared" si="8"/>
        <v>0</v>
      </c>
      <c r="H43" s="65">
        <f t="shared" si="8"/>
        <v>0</v>
      </c>
      <c r="I43" s="65">
        <f t="shared" si="8"/>
        <v>0</v>
      </c>
      <c r="J43" s="65">
        <f t="shared" si="8"/>
        <v>10.7965</v>
      </c>
      <c r="K43" s="65">
        <f t="shared" si="8"/>
        <v>7.2899000000000003</v>
      </c>
      <c r="L43" s="65">
        <f t="shared" si="8"/>
        <v>8.5221999999999998</v>
      </c>
      <c r="M43" s="65">
        <f t="shared" si="8"/>
        <v>8.6117000000000008</v>
      </c>
      <c r="N43" s="65">
        <f t="shared" si="8"/>
        <v>8.7452000000000005</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10.7965</v>
      </c>
      <c r="K44" s="484">
        <f t="shared" si="9"/>
        <v>8.4588000000000001</v>
      </c>
      <c r="L44" s="484">
        <f t="shared" si="9"/>
        <v>8.5221999999999998</v>
      </c>
      <c r="M44" s="484">
        <f t="shared" si="9"/>
        <v>8.6117000000000008</v>
      </c>
      <c r="N44" s="484">
        <f t="shared" si="9"/>
        <v>8.7452000000000005</v>
      </c>
      <c r="O44" s="489"/>
    </row>
    <row r="45" spans="1:15" s="70" customFormat="1" ht="14.25">
      <c r="A45" s="72"/>
      <c r="B45" s="492"/>
      <c r="C45" s="488"/>
      <c r="D45" s="71"/>
      <c r="E45" s="71"/>
      <c r="F45" s="71"/>
      <c r="G45" s="71"/>
      <c r="H45" s="71"/>
      <c r="I45" s="71"/>
      <c r="J45" s="71"/>
      <c r="K45" s="71"/>
      <c r="L45" s="487"/>
      <c r="M45" s="487"/>
      <c r="N45" s="487"/>
      <c r="O45" s="493"/>
    </row>
    <row r="46" spans="1:15" s="64" customFormat="1" hidden="1">
      <c r="A46" s="62"/>
      <c r="B46" s="604">
        <f>'1.  LRAMVA Summary'!B33</f>
        <v>0</v>
      </c>
      <c r="C46" s="803">
        <f>'2. LRAMVA Threshold'!H43</f>
        <v>0</v>
      </c>
      <c r="D46" s="46"/>
      <c r="E46" s="46"/>
      <c r="F46" s="46"/>
      <c r="G46" s="46"/>
      <c r="H46" s="46"/>
      <c r="I46" s="46"/>
      <c r="J46" s="46"/>
      <c r="K46" s="46"/>
      <c r="L46" s="46"/>
      <c r="M46" s="46"/>
      <c r="N46" s="46"/>
      <c r="O46" s="69"/>
    </row>
    <row r="47" spans="1:15" s="18" customFormat="1" hidden="1" outlineLevel="1">
      <c r="A47" s="4"/>
      <c r="B47" s="536" t="s">
        <v>510</v>
      </c>
      <c r="C47" s="801"/>
      <c r="D47" s="46"/>
      <c r="E47" s="46"/>
      <c r="F47" s="46"/>
      <c r="G47" s="46"/>
      <c r="H47" s="46"/>
      <c r="I47" s="46"/>
      <c r="J47" s="46"/>
      <c r="K47" s="46"/>
      <c r="L47" s="46"/>
      <c r="M47" s="46"/>
      <c r="N47" s="46"/>
      <c r="O47" s="69"/>
    </row>
    <row r="48" spans="1:15" s="18" customFormat="1" hidden="1" outlineLevel="1">
      <c r="A48" s="4"/>
      <c r="B48" s="536" t="s">
        <v>511</v>
      </c>
      <c r="C48" s="801"/>
      <c r="D48" s="46"/>
      <c r="E48" s="46"/>
      <c r="F48" s="46"/>
      <c r="G48" s="46"/>
      <c r="H48" s="46"/>
      <c r="I48" s="46"/>
      <c r="J48" s="46"/>
      <c r="K48" s="46"/>
      <c r="L48" s="46"/>
      <c r="M48" s="46"/>
      <c r="N48" s="46"/>
      <c r="O48" s="69"/>
    </row>
    <row r="49" spans="1:15" s="18" customFormat="1" hidden="1" outlineLevel="1">
      <c r="A49" s="4"/>
      <c r="B49" s="536" t="s">
        <v>489</v>
      </c>
      <c r="C49" s="801"/>
      <c r="D49" s="46"/>
      <c r="E49" s="46"/>
      <c r="F49" s="46"/>
      <c r="G49" s="46"/>
      <c r="H49" s="46"/>
      <c r="I49" s="46"/>
      <c r="J49" s="46"/>
      <c r="K49" s="46"/>
      <c r="L49" s="46"/>
      <c r="M49" s="46"/>
      <c r="N49" s="46"/>
      <c r="O49" s="69"/>
    </row>
    <row r="50" spans="1:15" s="18" customFormat="1" hidden="1" collapsed="1">
      <c r="A50" s="4"/>
      <c r="B50" s="536" t="s">
        <v>512</v>
      </c>
      <c r="C50" s="80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hidden="1">
      <c r="A52" s="72"/>
      <c r="B52" s="492"/>
      <c r="C52" s="488"/>
      <c r="D52" s="71"/>
      <c r="E52" s="71"/>
      <c r="F52" s="71"/>
      <c r="G52" s="71"/>
      <c r="H52" s="71"/>
      <c r="I52" s="71"/>
      <c r="J52" s="71"/>
      <c r="K52" s="71"/>
      <c r="L52" s="494"/>
      <c r="M52" s="494"/>
      <c r="N52" s="494"/>
      <c r="O52" s="493"/>
    </row>
    <row r="53" spans="1:15" s="64" customFormat="1" hidden="1">
      <c r="A53" s="62"/>
      <c r="B53" s="604">
        <f>'1.  LRAMVA Summary'!B34</f>
        <v>0</v>
      </c>
      <c r="C53" s="803">
        <f>'2. LRAMVA Threshold'!I43</f>
        <v>0</v>
      </c>
      <c r="D53" s="46"/>
      <c r="E53" s="46"/>
      <c r="F53" s="46"/>
      <c r="G53" s="46"/>
      <c r="H53" s="46"/>
      <c r="I53" s="46"/>
      <c r="J53" s="46"/>
      <c r="K53" s="46"/>
      <c r="L53" s="46"/>
      <c r="M53" s="46"/>
      <c r="N53" s="46"/>
      <c r="O53" s="69"/>
    </row>
    <row r="54" spans="1:15" s="18" customFormat="1" hidden="1" outlineLevel="1">
      <c r="A54" s="4"/>
      <c r="B54" s="536" t="s">
        <v>510</v>
      </c>
      <c r="C54" s="801"/>
      <c r="D54" s="46"/>
      <c r="E54" s="46"/>
      <c r="F54" s="46"/>
      <c r="G54" s="46"/>
      <c r="H54" s="46"/>
      <c r="I54" s="46"/>
      <c r="J54" s="46"/>
      <c r="K54" s="46"/>
      <c r="L54" s="46"/>
      <c r="M54" s="46"/>
      <c r="N54" s="46"/>
      <c r="O54" s="69"/>
    </row>
    <row r="55" spans="1:15" s="18" customFormat="1" hidden="1" outlineLevel="1">
      <c r="A55" s="4"/>
      <c r="B55" s="536" t="s">
        <v>511</v>
      </c>
      <c r="C55" s="801"/>
      <c r="D55" s="46"/>
      <c r="E55" s="46"/>
      <c r="F55" s="46"/>
      <c r="G55" s="46"/>
      <c r="H55" s="46"/>
      <c r="I55" s="46"/>
      <c r="J55" s="46"/>
      <c r="K55" s="46"/>
      <c r="L55" s="46"/>
      <c r="M55" s="46"/>
      <c r="N55" s="46"/>
      <c r="O55" s="69"/>
    </row>
    <row r="56" spans="1:15" s="18" customFormat="1" hidden="1" outlineLevel="1">
      <c r="A56" s="4"/>
      <c r="B56" s="536" t="s">
        <v>489</v>
      </c>
      <c r="C56" s="801"/>
      <c r="D56" s="46"/>
      <c r="E56" s="46"/>
      <c r="F56" s="46"/>
      <c r="G56" s="46"/>
      <c r="H56" s="46"/>
      <c r="I56" s="46"/>
      <c r="J56" s="46"/>
      <c r="K56" s="46"/>
      <c r="L56" s="46"/>
      <c r="M56" s="46"/>
      <c r="N56" s="46"/>
      <c r="O56" s="69"/>
    </row>
    <row r="57" spans="1:15" s="18" customFormat="1" hidden="1" collapsed="1">
      <c r="A57" s="4"/>
      <c r="B57" s="536" t="s">
        <v>512</v>
      </c>
      <c r="C57" s="80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03">
        <f>'2. LRAMVA Threshold'!J43</f>
        <v>0</v>
      </c>
      <c r="D60" s="46"/>
      <c r="E60" s="46"/>
      <c r="F60" s="46"/>
      <c r="G60" s="46"/>
      <c r="H60" s="46"/>
      <c r="I60" s="46"/>
      <c r="J60" s="46"/>
      <c r="K60" s="46"/>
      <c r="L60" s="46"/>
      <c r="M60" s="46"/>
      <c r="N60" s="46"/>
      <c r="O60" s="69"/>
    </row>
    <row r="61" spans="1:15" s="18" customFormat="1" hidden="1" outlineLevel="1">
      <c r="A61" s="4"/>
      <c r="B61" s="536" t="s">
        <v>510</v>
      </c>
      <c r="C61" s="801"/>
      <c r="D61" s="46"/>
      <c r="E61" s="46"/>
      <c r="F61" s="46"/>
      <c r="G61" s="46"/>
      <c r="H61" s="46"/>
      <c r="I61" s="46"/>
      <c r="J61" s="46"/>
      <c r="K61" s="46"/>
      <c r="L61" s="46"/>
      <c r="M61" s="46"/>
      <c r="N61" s="46"/>
      <c r="O61" s="69"/>
    </row>
    <row r="62" spans="1:15" s="18" customFormat="1" hidden="1" outlineLevel="1">
      <c r="A62" s="4"/>
      <c r="B62" s="536" t="s">
        <v>511</v>
      </c>
      <c r="C62" s="801"/>
      <c r="D62" s="46"/>
      <c r="E62" s="46"/>
      <c r="F62" s="46"/>
      <c r="G62" s="46"/>
      <c r="H62" s="46"/>
      <c r="I62" s="46"/>
      <c r="J62" s="46"/>
      <c r="K62" s="46"/>
      <c r="L62" s="46"/>
      <c r="M62" s="46"/>
      <c r="N62" s="46"/>
      <c r="O62" s="69"/>
    </row>
    <row r="63" spans="1:15" s="18" customFormat="1" hidden="1" outlineLevel="1">
      <c r="A63" s="4"/>
      <c r="B63" s="536" t="s">
        <v>489</v>
      </c>
      <c r="C63" s="801"/>
      <c r="D63" s="46"/>
      <c r="E63" s="46"/>
      <c r="F63" s="46"/>
      <c r="G63" s="46"/>
      <c r="H63" s="46"/>
      <c r="I63" s="46"/>
      <c r="J63" s="46"/>
      <c r="K63" s="46"/>
      <c r="L63" s="46"/>
      <c r="M63" s="46"/>
      <c r="N63" s="46"/>
      <c r="O63" s="69"/>
    </row>
    <row r="64" spans="1:15" s="18" customFormat="1" hidden="1" collapsed="1">
      <c r="A64" s="4"/>
      <c r="B64" s="536" t="s">
        <v>512</v>
      </c>
      <c r="C64" s="80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03">
        <f>'2. LRAMVA Threshold'!K43</f>
        <v>0</v>
      </c>
      <c r="D67" s="46"/>
      <c r="E67" s="46"/>
      <c r="F67" s="46"/>
      <c r="G67" s="46"/>
      <c r="H67" s="46"/>
      <c r="I67" s="46"/>
      <c r="J67" s="46"/>
      <c r="K67" s="46"/>
      <c r="L67" s="46"/>
      <c r="M67" s="46"/>
      <c r="N67" s="46"/>
      <c r="O67" s="69"/>
    </row>
    <row r="68" spans="1:15" s="18" customFormat="1" hidden="1" outlineLevel="1">
      <c r="A68" s="4"/>
      <c r="B68" s="536" t="s">
        <v>510</v>
      </c>
      <c r="C68" s="801"/>
      <c r="D68" s="46"/>
      <c r="E68" s="46"/>
      <c r="F68" s="46"/>
      <c r="G68" s="46"/>
      <c r="H68" s="46"/>
      <c r="I68" s="46"/>
      <c r="J68" s="46"/>
      <c r="K68" s="46"/>
      <c r="L68" s="46"/>
      <c r="M68" s="46"/>
      <c r="N68" s="46"/>
      <c r="O68" s="69"/>
    </row>
    <row r="69" spans="1:15" s="18" customFormat="1" hidden="1" outlineLevel="1">
      <c r="A69" s="4"/>
      <c r="B69" s="536" t="s">
        <v>511</v>
      </c>
      <c r="C69" s="801"/>
      <c r="D69" s="46"/>
      <c r="E69" s="46"/>
      <c r="F69" s="46"/>
      <c r="G69" s="46"/>
      <c r="H69" s="46"/>
      <c r="I69" s="46"/>
      <c r="J69" s="46"/>
      <c r="K69" s="46"/>
      <c r="L69" s="46"/>
      <c r="M69" s="46"/>
      <c r="N69" s="46"/>
      <c r="O69" s="69"/>
    </row>
    <row r="70" spans="1:15" s="18" customFormat="1" hidden="1" outlineLevel="1">
      <c r="A70" s="4"/>
      <c r="B70" s="536" t="s">
        <v>489</v>
      </c>
      <c r="C70" s="801"/>
      <c r="D70" s="46"/>
      <c r="E70" s="46"/>
      <c r="F70" s="46"/>
      <c r="G70" s="46"/>
      <c r="H70" s="46"/>
      <c r="I70" s="46"/>
      <c r="J70" s="46"/>
      <c r="K70" s="46"/>
      <c r="L70" s="46"/>
      <c r="M70" s="46"/>
      <c r="N70" s="46"/>
      <c r="O70" s="69"/>
    </row>
    <row r="71" spans="1:15" s="18" customFormat="1" hidden="1" collapsed="1">
      <c r="A71" s="4"/>
      <c r="B71" s="536" t="s">
        <v>512</v>
      </c>
      <c r="C71" s="80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03">
        <f>'2. LRAMVA Threshold'!L43</f>
        <v>0</v>
      </c>
      <c r="D74" s="46"/>
      <c r="E74" s="46"/>
      <c r="F74" s="46"/>
      <c r="G74" s="46"/>
      <c r="H74" s="46"/>
      <c r="I74" s="46"/>
      <c r="J74" s="46"/>
      <c r="K74" s="46"/>
      <c r="L74" s="46"/>
      <c r="M74" s="46"/>
      <c r="N74" s="46"/>
      <c r="O74" s="69"/>
    </row>
    <row r="75" spans="1:15" s="18" customFormat="1" hidden="1" outlineLevel="1">
      <c r="A75" s="4"/>
      <c r="B75" s="536" t="s">
        <v>510</v>
      </c>
      <c r="C75" s="801"/>
      <c r="D75" s="46"/>
      <c r="E75" s="46"/>
      <c r="F75" s="46"/>
      <c r="G75" s="46"/>
      <c r="H75" s="46"/>
      <c r="I75" s="46"/>
      <c r="J75" s="46"/>
      <c r="K75" s="46"/>
      <c r="L75" s="46"/>
      <c r="M75" s="46"/>
      <c r="N75" s="46"/>
      <c r="O75" s="69"/>
    </row>
    <row r="76" spans="1:15" s="18" customFormat="1" hidden="1" outlineLevel="1">
      <c r="A76" s="4"/>
      <c r="B76" s="536" t="s">
        <v>511</v>
      </c>
      <c r="C76" s="801"/>
      <c r="D76" s="46"/>
      <c r="E76" s="46"/>
      <c r="F76" s="46"/>
      <c r="G76" s="46"/>
      <c r="H76" s="46"/>
      <c r="I76" s="46"/>
      <c r="J76" s="46"/>
      <c r="K76" s="46"/>
      <c r="L76" s="46"/>
      <c r="M76" s="46"/>
      <c r="N76" s="46"/>
      <c r="O76" s="69"/>
    </row>
    <row r="77" spans="1:15" s="18" customFormat="1" hidden="1" outlineLevel="1">
      <c r="A77" s="4"/>
      <c r="B77" s="536" t="s">
        <v>489</v>
      </c>
      <c r="C77" s="801"/>
      <c r="D77" s="46"/>
      <c r="E77" s="46"/>
      <c r="F77" s="46"/>
      <c r="G77" s="46"/>
      <c r="H77" s="46"/>
      <c r="I77" s="46"/>
      <c r="J77" s="46"/>
      <c r="K77" s="46"/>
      <c r="L77" s="46"/>
      <c r="M77" s="46"/>
      <c r="N77" s="46"/>
      <c r="O77" s="69"/>
    </row>
    <row r="78" spans="1:15" s="18" customFormat="1" hidden="1" collapsed="1">
      <c r="A78" s="4"/>
      <c r="B78" s="536" t="s">
        <v>512</v>
      </c>
      <c r="C78" s="80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03">
        <f>'2. LRAMVA Threshold'!M43</f>
        <v>0</v>
      </c>
      <c r="D81" s="46"/>
      <c r="E81" s="46"/>
      <c r="F81" s="46"/>
      <c r="G81" s="46"/>
      <c r="H81" s="46"/>
      <c r="I81" s="46"/>
      <c r="J81" s="46"/>
      <c r="K81" s="46"/>
      <c r="L81" s="46"/>
      <c r="M81" s="46"/>
      <c r="N81" s="46"/>
      <c r="O81" s="69"/>
    </row>
    <row r="82" spans="1:15" s="18" customFormat="1" hidden="1" outlineLevel="1">
      <c r="A82" s="4"/>
      <c r="B82" s="536" t="s">
        <v>510</v>
      </c>
      <c r="C82" s="801"/>
      <c r="D82" s="46"/>
      <c r="E82" s="46"/>
      <c r="F82" s="46"/>
      <c r="G82" s="46"/>
      <c r="H82" s="46"/>
      <c r="I82" s="46"/>
      <c r="J82" s="46"/>
      <c r="K82" s="46"/>
      <c r="L82" s="46"/>
      <c r="M82" s="46"/>
      <c r="N82" s="46"/>
      <c r="O82" s="69"/>
    </row>
    <row r="83" spans="1:15" s="18" customFormat="1" hidden="1" outlineLevel="1">
      <c r="A83" s="4"/>
      <c r="B83" s="536" t="s">
        <v>511</v>
      </c>
      <c r="C83" s="801"/>
      <c r="D83" s="46"/>
      <c r="E83" s="46"/>
      <c r="F83" s="46"/>
      <c r="G83" s="46"/>
      <c r="H83" s="46"/>
      <c r="I83" s="46"/>
      <c r="J83" s="46"/>
      <c r="K83" s="46"/>
      <c r="L83" s="46"/>
      <c r="M83" s="46"/>
      <c r="N83" s="46"/>
      <c r="O83" s="69"/>
    </row>
    <row r="84" spans="1:15" s="18" customFormat="1" hidden="1" outlineLevel="1">
      <c r="A84" s="4"/>
      <c r="B84" s="536" t="s">
        <v>489</v>
      </c>
      <c r="C84" s="801"/>
      <c r="D84" s="46"/>
      <c r="E84" s="46"/>
      <c r="F84" s="46"/>
      <c r="G84" s="46"/>
      <c r="H84" s="46"/>
      <c r="I84" s="46"/>
      <c r="J84" s="46"/>
      <c r="K84" s="46"/>
      <c r="L84" s="46"/>
      <c r="M84" s="46"/>
      <c r="N84" s="46"/>
      <c r="O84" s="69"/>
    </row>
    <row r="85" spans="1:15" s="18" customFormat="1" hidden="1" collapsed="1">
      <c r="A85" s="4"/>
      <c r="B85" s="536" t="s">
        <v>512</v>
      </c>
      <c r="C85" s="80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03">
        <f>'2. LRAMVA Threshold'!N43</f>
        <v>0</v>
      </c>
      <c r="D88" s="46"/>
      <c r="E88" s="46"/>
      <c r="F88" s="46"/>
      <c r="G88" s="46"/>
      <c r="H88" s="46"/>
      <c r="I88" s="46"/>
      <c r="J88" s="46"/>
      <c r="K88" s="46"/>
      <c r="L88" s="46"/>
      <c r="M88" s="46"/>
      <c r="N88" s="46"/>
      <c r="O88" s="69"/>
    </row>
    <row r="89" spans="1:15" s="18" customFormat="1" hidden="1" outlineLevel="1">
      <c r="A89" s="4"/>
      <c r="B89" s="536" t="s">
        <v>510</v>
      </c>
      <c r="C89" s="801"/>
      <c r="D89" s="46"/>
      <c r="E89" s="46"/>
      <c r="F89" s="46"/>
      <c r="G89" s="46"/>
      <c r="H89" s="46"/>
      <c r="I89" s="46"/>
      <c r="J89" s="46"/>
      <c r="K89" s="46"/>
      <c r="L89" s="46"/>
      <c r="M89" s="46"/>
      <c r="N89" s="46"/>
      <c r="O89" s="69"/>
    </row>
    <row r="90" spans="1:15" s="18" customFormat="1" hidden="1" outlineLevel="1">
      <c r="A90" s="4"/>
      <c r="B90" s="536" t="s">
        <v>511</v>
      </c>
      <c r="C90" s="801"/>
      <c r="D90" s="46"/>
      <c r="E90" s="46"/>
      <c r="F90" s="46"/>
      <c r="G90" s="46"/>
      <c r="H90" s="46"/>
      <c r="I90" s="46"/>
      <c r="J90" s="46"/>
      <c r="K90" s="46"/>
      <c r="L90" s="46"/>
      <c r="M90" s="46"/>
      <c r="N90" s="46"/>
      <c r="O90" s="69"/>
    </row>
    <row r="91" spans="1:15" s="18" customFormat="1" hidden="1" outlineLevel="1">
      <c r="A91" s="4"/>
      <c r="B91" s="536" t="s">
        <v>489</v>
      </c>
      <c r="C91" s="801"/>
      <c r="D91" s="46"/>
      <c r="E91" s="46"/>
      <c r="F91" s="46"/>
      <c r="G91" s="46"/>
      <c r="H91" s="46"/>
      <c r="I91" s="46"/>
      <c r="J91" s="46"/>
      <c r="K91" s="46"/>
      <c r="L91" s="46"/>
      <c r="M91" s="46"/>
      <c r="N91" s="46"/>
      <c r="O91" s="69"/>
    </row>
    <row r="92" spans="1:15" s="18" customFormat="1" hidden="1" collapsed="1">
      <c r="A92" s="4"/>
      <c r="B92" s="536" t="s">
        <v>512</v>
      </c>
      <c r="C92" s="80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03">
        <f>'2. LRAMVA Threshold'!O43</f>
        <v>0</v>
      </c>
      <c r="D95" s="46"/>
      <c r="E95" s="46"/>
      <c r="F95" s="46"/>
      <c r="G95" s="46"/>
      <c r="H95" s="46"/>
      <c r="I95" s="46"/>
      <c r="J95" s="46"/>
      <c r="K95" s="46"/>
      <c r="L95" s="46"/>
      <c r="M95" s="46"/>
      <c r="N95" s="46"/>
      <c r="O95" s="69"/>
    </row>
    <row r="96" spans="1:15" s="18" customFormat="1" hidden="1" outlineLevel="1">
      <c r="A96" s="4"/>
      <c r="B96" s="536" t="s">
        <v>510</v>
      </c>
      <c r="C96" s="801"/>
      <c r="D96" s="46"/>
      <c r="E96" s="46"/>
      <c r="F96" s="46"/>
      <c r="G96" s="46"/>
      <c r="H96" s="46"/>
      <c r="I96" s="46"/>
      <c r="J96" s="46"/>
      <c r="K96" s="46"/>
      <c r="L96" s="46"/>
      <c r="M96" s="46"/>
      <c r="N96" s="46"/>
      <c r="O96" s="69"/>
    </row>
    <row r="97" spans="1:15" s="18" customFormat="1" hidden="1" outlineLevel="1">
      <c r="A97" s="4"/>
      <c r="B97" s="536" t="s">
        <v>511</v>
      </c>
      <c r="C97" s="801"/>
      <c r="D97" s="46"/>
      <c r="E97" s="46"/>
      <c r="F97" s="46"/>
      <c r="G97" s="46"/>
      <c r="H97" s="46"/>
      <c r="I97" s="46"/>
      <c r="J97" s="46"/>
      <c r="K97" s="46"/>
      <c r="L97" s="46"/>
      <c r="M97" s="46"/>
      <c r="N97" s="46"/>
      <c r="O97" s="69"/>
    </row>
    <row r="98" spans="1:15" s="18" customFormat="1" hidden="1" outlineLevel="1">
      <c r="A98" s="4"/>
      <c r="B98" s="536" t="s">
        <v>489</v>
      </c>
      <c r="C98" s="801"/>
      <c r="D98" s="46"/>
      <c r="E98" s="46"/>
      <c r="F98" s="46"/>
      <c r="G98" s="46"/>
      <c r="H98" s="46"/>
      <c r="I98" s="46"/>
      <c r="J98" s="46"/>
      <c r="K98" s="46"/>
      <c r="L98" s="46"/>
      <c r="M98" s="46"/>
      <c r="N98" s="46"/>
      <c r="O98" s="69"/>
    </row>
    <row r="99" spans="1:15" s="18" customFormat="1" hidden="1" collapsed="1">
      <c r="A99" s="4"/>
      <c r="B99" s="536" t="s">
        <v>512</v>
      </c>
      <c r="C99" s="80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03">
        <f>'2. LRAMVA Threshold'!P43</f>
        <v>0</v>
      </c>
      <c r="D102" s="46"/>
      <c r="E102" s="46"/>
      <c r="F102" s="46"/>
      <c r="G102" s="46"/>
      <c r="H102" s="46"/>
      <c r="I102" s="46"/>
      <c r="J102" s="46"/>
      <c r="K102" s="46"/>
      <c r="L102" s="46"/>
      <c r="M102" s="46"/>
      <c r="N102" s="46"/>
      <c r="O102" s="69"/>
    </row>
    <row r="103" spans="1:15" s="18" customFormat="1" hidden="1" outlineLevel="1">
      <c r="A103" s="4"/>
      <c r="B103" s="536" t="s">
        <v>510</v>
      </c>
      <c r="C103" s="801"/>
      <c r="D103" s="46"/>
      <c r="E103" s="46"/>
      <c r="F103" s="46"/>
      <c r="G103" s="46"/>
      <c r="H103" s="46"/>
      <c r="I103" s="46"/>
      <c r="J103" s="46"/>
      <c r="K103" s="46"/>
      <c r="L103" s="46"/>
      <c r="M103" s="46"/>
      <c r="N103" s="46"/>
      <c r="O103" s="69"/>
    </row>
    <row r="104" spans="1:15" s="18" customFormat="1" hidden="1" outlineLevel="1">
      <c r="A104" s="4"/>
      <c r="B104" s="536" t="s">
        <v>511</v>
      </c>
      <c r="C104" s="801"/>
      <c r="D104" s="46"/>
      <c r="E104" s="46"/>
      <c r="F104" s="46"/>
      <c r="G104" s="46"/>
      <c r="H104" s="46"/>
      <c r="I104" s="46"/>
      <c r="J104" s="46"/>
      <c r="K104" s="46"/>
      <c r="L104" s="46"/>
      <c r="M104" s="46"/>
      <c r="N104" s="46"/>
      <c r="O104" s="69"/>
    </row>
    <row r="105" spans="1:15" s="18" customFormat="1" hidden="1" outlineLevel="1">
      <c r="A105" s="4"/>
      <c r="B105" s="536" t="s">
        <v>489</v>
      </c>
      <c r="C105" s="801"/>
      <c r="D105" s="46"/>
      <c r="E105" s="46"/>
      <c r="F105" s="46"/>
      <c r="G105" s="46"/>
      <c r="H105" s="46"/>
      <c r="I105" s="46"/>
      <c r="J105" s="46"/>
      <c r="K105" s="46"/>
      <c r="L105" s="46"/>
      <c r="M105" s="46"/>
      <c r="N105" s="46"/>
      <c r="O105" s="69"/>
    </row>
    <row r="106" spans="1:15" s="18" customFormat="1" hidden="1" collapsed="1">
      <c r="A106" s="4"/>
      <c r="B106" s="536" t="s">
        <v>512</v>
      </c>
      <c r="C106" s="80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03">
        <f>'2. LRAMVA Threshold'!Q43</f>
        <v>0</v>
      </c>
      <c r="D109" s="46"/>
      <c r="E109" s="46"/>
      <c r="F109" s="46"/>
      <c r="G109" s="46"/>
      <c r="H109" s="46"/>
      <c r="I109" s="46"/>
      <c r="J109" s="46"/>
      <c r="K109" s="46"/>
      <c r="L109" s="46"/>
      <c r="M109" s="46"/>
      <c r="N109" s="46"/>
      <c r="O109" s="69"/>
    </row>
    <row r="110" spans="1:15" s="18" customFormat="1" hidden="1" outlineLevel="1">
      <c r="A110" s="4"/>
      <c r="B110" s="536" t="s">
        <v>510</v>
      </c>
      <c r="C110" s="801"/>
      <c r="D110" s="46"/>
      <c r="E110" s="46"/>
      <c r="F110" s="46"/>
      <c r="G110" s="46"/>
      <c r="H110" s="46"/>
      <c r="I110" s="46"/>
      <c r="J110" s="46"/>
      <c r="K110" s="46"/>
      <c r="L110" s="46"/>
      <c r="M110" s="46"/>
      <c r="N110" s="46"/>
      <c r="O110" s="69"/>
    </row>
    <row r="111" spans="1:15" s="18" customFormat="1" hidden="1" outlineLevel="1">
      <c r="A111" s="4"/>
      <c r="B111" s="536" t="s">
        <v>511</v>
      </c>
      <c r="C111" s="801"/>
      <c r="D111" s="46"/>
      <c r="E111" s="46"/>
      <c r="F111" s="46"/>
      <c r="G111" s="46"/>
      <c r="H111" s="46"/>
      <c r="I111" s="46"/>
      <c r="J111" s="46"/>
      <c r="K111" s="46"/>
      <c r="L111" s="46"/>
      <c r="M111" s="46"/>
      <c r="N111" s="46"/>
      <c r="O111" s="69"/>
    </row>
    <row r="112" spans="1:15" s="18" customFormat="1" hidden="1" outlineLevel="1">
      <c r="A112" s="4"/>
      <c r="B112" s="536" t="s">
        <v>489</v>
      </c>
      <c r="C112" s="801"/>
      <c r="D112" s="46"/>
      <c r="E112" s="46"/>
      <c r="F112" s="46"/>
      <c r="G112" s="46"/>
      <c r="H112" s="46"/>
      <c r="I112" s="46"/>
      <c r="J112" s="46"/>
      <c r="K112" s="46"/>
      <c r="L112" s="46"/>
      <c r="M112" s="46"/>
      <c r="N112" s="46"/>
      <c r="O112" s="69"/>
    </row>
    <row r="113" spans="1:17" s="18" customFormat="1" hidden="1" collapsed="1">
      <c r="A113" s="4"/>
      <c r="B113" s="536" t="s">
        <v>512</v>
      </c>
      <c r="C113" s="80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08" t="s">
        <v>675</v>
      </c>
      <c r="C120" s="808"/>
      <c r="D120" s="808"/>
      <c r="E120" s="808"/>
      <c r="F120" s="808"/>
      <c r="G120" s="808"/>
      <c r="H120" s="808"/>
      <c r="I120" s="808"/>
      <c r="J120" s="808"/>
      <c r="K120" s="808"/>
      <c r="L120" s="808"/>
      <c r="M120" s="808"/>
      <c r="N120" s="808"/>
      <c r="O120" s="808"/>
      <c r="P120" s="80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 Light</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1.52E-2</v>
      </c>
      <c r="D129" s="685">
        <f t="shared" si="32"/>
        <v>2.3E-2</v>
      </c>
      <c r="E129" s="686">
        <f t="shared" si="33"/>
        <v>6.6886999999999999</v>
      </c>
      <c r="F129" s="685">
        <f t="shared" si="34"/>
        <v>10.7965</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1.2200000000000001E-2</v>
      </c>
      <c r="D130" s="685">
        <f t="shared" si="32"/>
        <v>2.4400000000000002E-2</v>
      </c>
      <c r="E130" s="686">
        <f t="shared" si="33"/>
        <v>7.0853999999999999</v>
      </c>
      <c r="F130" s="685">
        <f t="shared" si="34"/>
        <v>8.4588000000000001</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8.2000000000000007E-3</v>
      </c>
      <c r="D131" s="685">
        <f t="shared" si="32"/>
        <v>2.46E-2</v>
      </c>
      <c r="E131" s="686">
        <f t="shared" si="33"/>
        <v>7.1384999999999996</v>
      </c>
      <c r="F131" s="685">
        <f t="shared" si="34"/>
        <v>8.5221999999999998</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4.1000000000000003E-3</v>
      </c>
      <c r="D132" s="685">
        <f t="shared" si="32"/>
        <v>2.4899999999999999E-2</v>
      </c>
      <c r="E132" s="686">
        <f t="shared" si="33"/>
        <v>7.2134999999999998</v>
      </c>
      <c r="F132" s="685">
        <f t="shared" si="34"/>
        <v>8.6117000000000008</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2.53E-2</v>
      </c>
      <c r="E133" s="689">
        <f t="shared" si="33"/>
        <v>7.3253000000000004</v>
      </c>
      <c r="F133" s="688">
        <f t="shared" si="34"/>
        <v>8.7452000000000005</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42"/>
  <sheetViews>
    <sheetView topLeftCell="A16" zoomScale="90" zoomScaleNormal="90" workbookViewId="0">
      <selection activeCell="E33" sqref="E33"/>
    </sheetView>
  </sheetViews>
  <sheetFormatPr defaultColWidth="9.140625" defaultRowHeight="15"/>
  <cols>
    <col min="1" max="5" width="9.140625" style="12"/>
    <col min="6" max="6" width="11" style="12" bestFit="1" customWidth="1"/>
    <col min="7" max="16384" width="9.140625" style="12"/>
  </cols>
  <sheetData>
    <row r="14" spans="2:24" ht="15.75">
      <c r="B14" s="588" t="s">
        <v>504</v>
      </c>
    </row>
    <row r="15" spans="2:24" ht="15.75">
      <c r="B15" s="588"/>
    </row>
    <row r="16" spans="2:24" s="668" customFormat="1" ht="28.5" customHeight="1">
      <c r="B16" s="809" t="s">
        <v>634</v>
      </c>
      <c r="C16" s="809"/>
      <c r="D16" s="809"/>
      <c r="E16" s="809"/>
      <c r="F16" s="809"/>
      <c r="G16" s="809"/>
      <c r="H16" s="809"/>
      <c r="I16" s="809"/>
      <c r="J16" s="809"/>
      <c r="K16" s="809"/>
      <c r="L16" s="809"/>
      <c r="M16" s="809"/>
      <c r="N16" s="809"/>
      <c r="O16" s="809"/>
      <c r="P16" s="809"/>
      <c r="Q16" s="809"/>
      <c r="R16" s="809"/>
      <c r="S16" s="809"/>
      <c r="T16" s="809"/>
      <c r="U16" s="809"/>
      <c r="V16" s="809"/>
      <c r="W16" s="809"/>
      <c r="X16" s="809"/>
    </row>
    <row r="18" spans="2:24" ht="35.25" customHeight="1">
      <c r="B18" s="810" t="s">
        <v>742</v>
      </c>
      <c r="C18" s="810"/>
      <c r="D18" s="810"/>
      <c r="E18" s="810"/>
      <c r="F18" s="810"/>
      <c r="G18" s="810"/>
      <c r="H18" s="810"/>
      <c r="I18" s="810"/>
      <c r="J18" s="810"/>
      <c r="K18" s="810"/>
      <c r="L18" s="810"/>
      <c r="M18" s="810"/>
      <c r="N18" s="810"/>
      <c r="O18" s="810"/>
      <c r="P18" s="810"/>
      <c r="Q18" s="810"/>
      <c r="R18" s="810"/>
      <c r="S18" s="810"/>
      <c r="T18" s="810"/>
      <c r="U18" s="810"/>
      <c r="V18" s="810"/>
      <c r="W18" s="810"/>
      <c r="X18" s="810"/>
    </row>
    <row r="20" spans="2:24" ht="30.75" customHeight="1">
      <c r="B20" s="810" t="s">
        <v>743</v>
      </c>
      <c r="C20" s="810"/>
      <c r="D20" s="810"/>
      <c r="E20" s="810"/>
      <c r="F20" s="810"/>
      <c r="G20" s="810"/>
      <c r="H20" s="810"/>
      <c r="I20" s="810"/>
      <c r="J20" s="810"/>
      <c r="K20" s="810"/>
      <c r="L20" s="810"/>
      <c r="M20" s="810"/>
      <c r="N20" s="810"/>
      <c r="O20" s="810"/>
      <c r="P20" s="810"/>
      <c r="Q20" s="810"/>
      <c r="R20" s="810"/>
      <c r="S20" s="810"/>
      <c r="T20" s="810"/>
      <c r="U20" s="810"/>
      <c r="V20" s="810"/>
      <c r="W20" s="810"/>
      <c r="X20" s="810"/>
    </row>
    <row r="22" spans="2:24">
      <c r="B22" s="810" t="s">
        <v>744</v>
      </c>
      <c r="C22" s="810"/>
      <c r="D22" s="810"/>
      <c r="E22" s="810"/>
      <c r="F22" s="810"/>
      <c r="G22" s="810"/>
      <c r="H22" s="810"/>
      <c r="I22" s="810"/>
      <c r="J22" s="810"/>
      <c r="K22" s="810"/>
      <c r="L22" s="810"/>
      <c r="M22" s="810"/>
      <c r="N22" s="810"/>
      <c r="O22" s="810"/>
      <c r="P22" s="810"/>
      <c r="Q22" s="810"/>
      <c r="R22" s="810"/>
      <c r="S22" s="810"/>
      <c r="T22" s="810"/>
      <c r="U22" s="810"/>
      <c r="V22" s="810"/>
      <c r="W22" s="810"/>
      <c r="X22" s="810"/>
    </row>
    <row r="24" spans="2:24" ht="61.5" customHeight="1">
      <c r="B24" s="810" t="s">
        <v>781</v>
      </c>
      <c r="C24" s="810"/>
      <c r="D24" s="810"/>
      <c r="E24" s="810"/>
      <c r="F24" s="810"/>
      <c r="G24" s="810"/>
      <c r="H24" s="810"/>
      <c r="I24" s="810"/>
      <c r="J24" s="810"/>
      <c r="K24" s="810"/>
      <c r="L24" s="810"/>
      <c r="M24" s="810"/>
      <c r="N24" s="810"/>
      <c r="O24" s="810"/>
      <c r="P24" s="810"/>
      <c r="Q24" s="810"/>
      <c r="R24" s="810"/>
      <c r="S24" s="810"/>
      <c r="T24" s="810"/>
      <c r="U24" s="810"/>
      <c r="V24" s="810"/>
      <c r="W24" s="810"/>
      <c r="X24" s="810"/>
    </row>
    <row r="26" spans="2:24">
      <c r="B26" s="745" t="s">
        <v>748</v>
      </c>
      <c r="C26" s="11"/>
    </row>
    <row r="27" spans="2:24">
      <c r="B27" s="745"/>
      <c r="C27" s="11"/>
    </row>
    <row r="28" spans="2:24">
      <c r="F28" s="813">
        <v>2016</v>
      </c>
      <c r="G28" s="813"/>
      <c r="H28" s="813">
        <v>2017</v>
      </c>
      <c r="I28" s="813"/>
      <c r="J28" s="813">
        <v>2018</v>
      </c>
      <c r="K28" s="813"/>
      <c r="L28" s="813">
        <v>2019</v>
      </c>
      <c r="M28" s="813"/>
      <c r="N28" s="8" t="s">
        <v>749</v>
      </c>
    </row>
    <row r="29" spans="2:24">
      <c r="B29" s="12" t="s">
        <v>745</v>
      </c>
      <c r="F29" s="814">
        <v>4384500</v>
      </c>
      <c r="G29" s="814"/>
      <c r="H29" s="814">
        <v>3500824.6042176089</v>
      </c>
      <c r="I29" s="814"/>
      <c r="J29" s="814">
        <v>3220984</v>
      </c>
      <c r="K29" s="814"/>
      <c r="L29" s="814">
        <f>397114+'8.  Streetlighting'!E51</f>
        <v>1722535.7901121003</v>
      </c>
      <c r="M29" s="814"/>
      <c r="N29" s="12" t="s">
        <v>750</v>
      </c>
    </row>
    <row r="30" spans="2:24">
      <c r="B30" s="12" t="s">
        <v>746</v>
      </c>
      <c r="F30" s="814">
        <v>77264.92</v>
      </c>
      <c r="G30" s="814"/>
      <c r="H30" s="814">
        <v>1845321.44</v>
      </c>
      <c r="I30" s="814"/>
      <c r="J30" s="814">
        <v>0</v>
      </c>
      <c r="K30" s="814"/>
      <c r="L30" s="815">
        <v>0</v>
      </c>
      <c r="M30" s="815"/>
    </row>
    <row r="31" spans="2:24">
      <c r="B31" s="12" t="s">
        <v>747</v>
      </c>
      <c r="F31" s="811">
        <f>F30/F29</f>
        <v>1.7622287604059754E-2</v>
      </c>
      <c r="G31" s="811"/>
      <c r="H31" s="811">
        <f t="shared" ref="H31" si="0">H30/H29</f>
        <v>0.52711050927168812</v>
      </c>
      <c r="I31" s="811"/>
      <c r="J31" s="811">
        <f>J30/J29</f>
        <v>0</v>
      </c>
      <c r="K31" s="811"/>
      <c r="L31" s="811">
        <f>L30/L29</f>
        <v>0</v>
      </c>
      <c r="M31" s="811"/>
    </row>
    <row r="32" spans="2:24">
      <c r="B32" s="12" t="s">
        <v>776</v>
      </c>
      <c r="F32" s="811">
        <f>(100%-F$31)*$G40</f>
        <v>0.25259233429360134</v>
      </c>
      <c r="G32" s="811"/>
      <c r="H32" s="811">
        <f>(100%-H31)*$G40</f>
        <v>0.1215909713939376</v>
      </c>
      <c r="I32" s="811"/>
      <c r="J32" s="811">
        <f>(100%-J31)*$G40</f>
        <v>0.25712343745823479</v>
      </c>
      <c r="K32" s="811"/>
      <c r="L32" s="811">
        <f>(100%-L31)*$G40</f>
        <v>0.25712343745823479</v>
      </c>
      <c r="M32" s="811"/>
    </row>
    <row r="33" spans="2:13">
      <c r="B33" s="12" t="s">
        <v>777</v>
      </c>
      <c r="F33" s="811">
        <f>(100%-F$31)*$G41</f>
        <v>0.7297853781023389</v>
      </c>
      <c r="G33" s="811"/>
      <c r="H33" s="811">
        <f>(100%-H$31)*$G41</f>
        <v>0.35129851933437423</v>
      </c>
      <c r="I33" s="811"/>
      <c r="J33" s="811">
        <f>(100%-J$31)*$G41</f>
        <v>0.74287656254176515</v>
      </c>
      <c r="K33" s="811"/>
      <c r="L33" s="811">
        <f>(100%-L$31)*$G41</f>
        <v>0.74287656254176515</v>
      </c>
      <c r="M33" s="811"/>
    </row>
    <row r="34" spans="2:13">
      <c r="B34" s="8" t="s">
        <v>26</v>
      </c>
      <c r="C34" s="8"/>
      <c r="D34" s="8"/>
      <c r="E34" s="8"/>
      <c r="F34" s="812">
        <f>SUM(F31:F33)</f>
        <v>1</v>
      </c>
      <c r="G34" s="812"/>
      <c r="H34" s="812">
        <f t="shared" ref="H34" si="1">SUM(H31:H33)</f>
        <v>1</v>
      </c>
      <c r="I34" s="812"/>
      <c r="J34" s="812">
        <f t="shared" ref="J34" si="2">SUM(J31:J33)</f>
        <v>1</v>
      </c>
      <c r="K34" s="812"/>
      <c r="L34" s="812">
        <f t="shared" ref="L34" si="3">SUM(L31:L33)</f>
        <v>1</v>
      </c>
      <c r="M34" s="812"/>
    </row>
    <row r="37" spans="2:13">
      <c r="B37" s="745" t="s">
        <v>778</v>
      </c>
    </row>
    <row r="39" spans="2:13">
      <c r="F39" s="239" t="s">
        <v>27</v>
      </c>
      <c r="G39" s="239" t="s">
        <v>782</v>
      </c>
    </row>
    <row r="40" spans="2:13">
      <c r="B40" s="12" t="s">
        <v>779</v>
      </c>
      <c r="F40" s="753">
        <f>[2]LRAMVA!$D$351</f>
        <v>3586434.2580000008</v>
      </c>
      <c r="G40" s="746">
        <f>F40/$F$42</f>
        <v>0.25712343745823479</v>
      </c>
    </row>
    <row r="41" spans="2:13">
      <c r="B41" s="12" t="s">
        <v>780</v>
      </c>
      <c r="F41" s="753">
        <f>[2]LRAMVA!$D$354</f>
        <v>10361863.468000002</v>
      </c>
      <c r="G41" s="746">
        <f>F41/$F$42</f>
        <v>0.74287656254176515</v>
      </c>
    </row>
    <row r="42" spans="2:13">
      <c r="B42" s="8" t="s">
        <v>783</v>
      </c>
      <c r="F42" s="754">
        <f>SUM(F40:F41)</f>
        <v>13948297.726000004</v>
      </c>
      <c r="G42" s="755">
        <f>SUM(G40:G41)</f>
        <v>1</v>
      </c>
    </row>
  </sheetData>
  <mergeCells count="33">
    <mergeCell ref="J32:K32"/>
    <mergeCell ref="J33:K33"/>
    <mergeCell ref="J34:K34"/>
    <mergeCell ref="L31:M31"/>
    <mergeCell ref="L32:M32"/>
    <mergeCell ref="L33:M33"/>
    <mergeCell ref="L34:M34"/>
    <mergeCell ref="J28:K28"/>
    <mergeCell ref="L28:M28"/>
    <mergeCell ref="J29:K29"/>
    <mergeCell ref="J30:K30"/>
    <mergeCell ref="J31:K31"/>
    <mergeCell ref="L29:M29"/>
    <mergeCell ref="L30:M30"/>
    <mergeCell ref="F33:G33"/>
    <mergeCell ref="F34:G34"/>
    <mergeCell ref="H28:I28"/>
    <mergeCell ref="H29:I29"/>
    <mergeCell ref="H30:I30"/>
    <mergeCell ref="H31:I31"/>
    <mergeCell ref="H32:I32"/>
    <mergeCell ref="H33:I33"/>
    <mergeCell ref="H34:I34"/>
    <mergeCell ref="F29:G29"/>
    <mergeCell ref="F28:G28"/>
    <mergeCell ref="F30:G30"/>
    <mergeCell ref="F31:G31"/>
    <mergeCell ref="F32:G32"/>
    <mergeCell ref="B16:X16"/>
    <mergeCell ref="B18:X18"/>
    <mergeCell ref="B20:X20"/>
    <mergeCell ref="B22:X22"/>
    <mergeCell ref="B24:X24"/>
  </mergeCells>
  <pageMargins left="0.7" right="0.7" top="0.75" bottom="0.75" header="0.3" footer="0.3"/>
  <pageSetup scale="5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2020-07-30T12:41:10Z</cp:lastPrinted>
  <dcterms:created xsi:type="dcterms:W3CDTF">2012-03-05T18:56:04Z</dcterms:created>
  <dcterms:modified xsi:type="dcterms:W3CDTF">2020-07-30T20:46:54Z</dcterms:modified>
</cp:coreProperties>
</file>