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6805" windowHeight="12285" tabRatio="800"/>
  </bookViews>
  <sheets>
    <sheet name="Whitby - 2019Jan-Apr" sheetId="5" r:id="rId1"/>
    <sheet name="Whitby 2019 RPP 2nd TU" sheetId="6" r:id="rId2"/>
    <sheet name="WH Settlement Comparison" sheetId="7" r:id="rId3"/>
    <sheet name="Final RSVA Balances" sheetId="9" r:id="rId4"/>
  </sheets>
  <externalReferences>
    <externalReference r:id="rId5"/>
  </externalReferences>
  <definedNames>
    <definedName name="_xlnm.Print_Area" localSheetId="2">'WH Settlement Comparison'!$A$1:$O$100</definedName>
    <definedName name="_xlnm.Print_Area" localSheetId="0">'Whitby - 2019Jan-Apr'!$B$1:$E$86</definedName>
    <definedName name="_xlnm.Print_Area" localSheetId="1">'Whitby 2019 RPP 2nd TU'!$A$1:$K$23</definedName>
  </definedNames>
  <calcPr calcId="145621"/>
</workbook>
</file>

<file path=xl/calcChain.xml><?xml version="1.0" encoding="utf-8"?>
<calcChain xmlns="http://schemas.openxmlformats.org/spreadsheetml/2006/main">
  <c r="D78" i="5" l="1"/>
  <c r="C62" i="7" l="1"/>
  <c r="C35" i="7"/>
  <c r="C24" i="7"/>
  <c r="M61" i="7"/>
  <c r="E98" i="7"/>
  <c r="B98" i="7" s="1"/>
  <c r="E81" i="7"/>
  <c r="E13" i="7" l="1"/>
  <c r="D24" i="9" l="1"/>
  <c r="F15" i="9"/>
  <c r="N62" i="7"/>
  <c r="O62" i="7" l="1"/>
  <c r="E50" i="7" l="1"/>
  <c r="E74" i="7" l="1"/>
  <c r="C16" i="9" l="1"/>
  <c r="F8" i="9"/>
  <c r="C8" i="9"/>
  <c r="C7" i="9"/>
  <c r="B8" i="9"/>
  <c r="C25" i="9"/>
  <c r="G8" i="9" l="1"/>
  <c r="D46" i="9"/>
  <c r="E58" i="7" l="1"/>
  <c r="F58" i="7"/>
  <c r="E22" i="7" l="1"/>
  <c r="E49" i="7"/>
  <c r="C34" i="7" l="1"/>
  <c r="C38" i="7"/>
  <c r="E33" i="7"/>
  <c r="E32" i="7"/>
  <c r="E31" i="7"/>
  <c r="E30" i="7"/>
  <c r="E29" i="7"/>
  <c r="E80" i="7"/>
  <c r="F80" i="7"/>
  <c r="F57" i="7"/>
  <c r="E57" i="7"/>
  <c r="E34" i="7" l="1"/>
  <c r="E38" i="7" s="1"/>
  <c r="E59" i="7" l="1"/>
  <c r="E51" i="7"/>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7" i="5"/>
  <c r="E36" i="5"/>
  <c r="E35" i="5"/>
  <c r="E34" i="5"/>
  <c r="E33" i="5"/>
  <c r="J38" i="5"/>
  <c r="E28" i="5"/>
  <c r="H31" i="7" l="1"/>
  <c r="C69" i="5"/>
  <c r="B20" i="6" s="1"/>
  <c r="H29" i="7"/>
  <c r="C67" i="5"/>
  <c r="B18" i="6" s="1"/>
  <c r="B29" i="6" s="1"/>
  <c r="D85" i="5"/>
  <c r="H32" i="7"/>
  <c r="C70" i="5"/>
  <c r="B21" i="6" s="1"/>
  <c r="B32" i="6" s="1"/>
  <c r="H33" i="7"/>
  <c r="C71" i="5"/>
  <c r="B22" i="6" s="1"/>
  <c r="B33" i="6" s="1"/>
  <c r="H30" i="7"/>
  <c r="C68" i="5"/>
  <c r="B19" i="6" s="1"/>
  <c r="B30" i="6" s="1"/>
  <c r="K12" i="6"/>
  <c r="B31" i="6" l="1"/>
  <c r="D38" i="5"/>
  <c r="D27" i="5" s="1"/>
  <c r="D5" i="5"/>
  <c r="D6" i="5"/>
  <c r="B6" i="9" l="1"/>
  <c r="B9" i="9" s="1"/>
  <c r="C34" i="5"/>
  <c r="C37" i="5"/>
  <c r="C33" i="5"/>
  <c r="C36" i="5"/>
  <c r="C35" i="5"/>
  <c r="C38" i="5" l="1"/>
  <c r="D71" i="5" l="1"/>
  <c r="D70" i="5"/>
  <c r="D69" i="5"/>
  <c r="D68" i="5"/>
  <c r="D67" i="5"/>
  <c r="E77" i="5"/>
  <c r="F76" i="7" s="1"/>
  <c r="D29" i="5"/>
  <c r="C27" i="5" s="1"/>
  <c r="C10" i="5" s="1"/>
  <c r="E27" i="5"/>
  <c r="C6" i="9" s="1"/>
  <c r="C9" i="9" s="1"/>
  <c r="C20" i="5"/>
  <c r="C19" i="5"/>
  <c r="C18" i="5"/>
  <c r="C17" i="5"/>
  <c r="C16" i="5"/>
  <c r="G7" i="9" l="1"/>
  <c r="G9" i="9" s="1"/>
  <c r="E23" i="9"/>
  <c r="E76" i="7"/>
  <c r="C21" i="5"/>
  <c r="E68" i="5"/>
  <c r="E69" i="5"/>
  <c r="E29" i="5"/>
  <c r="E25" i="5" s="1"/>
  <c r="K56" i="5"/>
  <c r="D76" i="5"/>
  <c r="E67" i="5"/>
  <c r="E70" i="5"/>
  <c r="E71" i="5"/>
  <c r="C78" i="5"/>
  <c r="D25" i="5"/>
  <c r="C28" i="5"/>
  <c r="C11" i="5" s="1"/>
  <c r="C12" i="5" s="1"/>
  <c r="D72" i="5"/>
  <c r="D84" i="5"/>
  <c r="E78" i="5" l="1"/>
  <c r="E75" i="7" s="1"/>
  <c r="E72" i="5"/>
  <c r="E21" i="7" s="1"/>
  <c r="C29" i="5"/>
  <c r="D86" i="5"/>
  <c r="D8" i="5"/>
  <c r="M62" i="7" s="1"/>
  <c r="J78" i="5"/>
  <c r="D60" i="5"/>
  <c r="D54" i="5"/>
  <c r="C54" i="5" s="1"/>
  <c r="F75" i="7" l="1"/>
  <c r="F77" i="7" s="1"/>
  <c r="E77" i="7"/>
  <c r="F51" i="7"/>
  <c r="G51" i="7" s="1"/>
  <c r="C72" i="5"/>
  <c r="J60" i="5"/>
  <c r="C60" i="5"/>
  <c r="J54" i="5"/>
  <c r="E8" i="5"/>
  <c r="D55" i="5"/>
  <c r="J72" i="5"/>
  <c r="D10" i="5"/>
  <c r="D11" i="5"/>
  <c r="G77" i="7" l="1"/>
  <c r="B17" i="9"/>
  <c r="B24" i="9" s="1"/>
  <c r="C17" i="9"/>
  <c r="B15" i="9"/>
  <c r="J55" i="5"/>
  <c r="C55" i="5"/>
  <c r="G54" i="5"/>
  <c r="E11" i="5"/>
  <c r="D58" i="5"/>
  <c r="D12" i="5"/>
  <c r="D31" i="5" s="1"/>
  <c r="E31" i="5" s="1"/>
  <c r="D57" i="5"/>
  <c r="D17" i="5"/>
  <c r="E10" i="5"/>
  <c r="C15" i="9" s="1"/>
  <c r="D18" i="5"/>
  <c r="D19" i="5"/>
  <c r="D20" i="5"/>
  <c r="D16" i="5"/>
  <c r="B18" i="9" l="1"/>
  <c r="C33" i="9"/>
  <c r="C34" i="9"/>
  <c r="C18" i="9"/>
  <c r="C35" i="9"/>
  <c r="C36" i="9"/>
  <c r="C46" i="9"/>
  <c r="E46" i="9" s="1"/>
  <c r="C45" i="9"/>
  <c r="B25" i="9"/>
  <c r="F29" i="7"/>
  <c r="G29" i="7" s="1"/>
  <c r="G18" i="6"/>
  <c r="H18" i="6" s="1"/>
  <c r="F33" i="7"/>
  <c r="G33" i="7" s="1"/>
  <c r="I33" i="7" s="1"/>
  <c r="G22" i="6"/>
  <c r="J85" i="5"/>
  <c r="C85" i="5"/>
  <c r="F30" i="7"/>
  <c r="G30" i="7" s="1"/>
  <c r="I30" i="7" s="1"/>
  <c r="G19" i="6"/>
  <c r="F32" i="7"/>
  <c r="G32" i="7" s="1"/>
  <c r="I32" i="7" s="1"/>
  <c r="G21" i="6"/>
  <c r="F31" i="7"/>
  <c r="G31" i="7" s="1"/>
  <c r="I31" i="7" s="1"/>
  <c r="G20" i="6"/>
  <c r="D21" i="5"/>
  <c r="J84" i="5"/>
  <c r="E12" i="5"/>
  <c r="D8" i="9" l="1"/>
  <c r="E8" i="9" s="1"/>
  <c r="D7" i="9"/>
  <c r="F34" i="7"/>
  <c r="F38" i="7" s="1"/>
  <c r="G38" i="7" s="1"/>
  <c r="H19" i="6"/>
  <c r="G30" i="6"/>
  <c r="G31" i="6"/>
  <c r="H20" i="6"/>
  <c r="H21" i="6"/>
  <c r="G32" i="6"/>
  <c r="H22" i="6"/>
  <c r="G33" i="6"/>
  <c r="G29" i="6"/>
  <c r="G23" i="6"/>
  <c r="I29" i="7"/>
  <c r="I34" i="7" s="1"/>
  <c r="G34" i="7"/>
  <c r="I35" i="7" l="1"/>
  <c r="I36" i="7"/>
  <c r="E7" i="9"/>
  <c r="D36" i="9"/>
  <c r="E36" i="9" s="1"/>
  <c r="G34" i="6"/>
  <c r="H29" i="6"/>
  <c r="H23" i="6"/>
  <c r="H31" i="6"/>
  <c r="H33" i="6"/>
  <c r="H32" i="6"/>
  <c r="H30" i="6"/>
  <c r="B23" i="6" l="1"/>
  <c r="D6" i="9" s="1"/>
  <c r="F21" i="7"/>
  <c r="H34" i="6"/>
  <c r="D34" i="9" l="1"/>
  <c r="E34" i="9" s="1"/>
  <c r="E6" i="9"/>
  <c r="E9" i="9" s="1"/>
  <c r="G21" i="7"/>
  <c r="H21" i="7" l="1"/>
  <c r="K85" i="5" l="1"/>
  <c r="C44" i="5"/>
  <c r="E85" i="5"/>
  <c r="C84" i="5" s="1"/>
  <c r="C76" i="5" l="1"/>
  <c r="D16" i="9"/>
  <c r="D17" i="9"/>
  <c r="E17" i="9" s="1"/>
  <c r="I17" i="9" s="1"/>
  <c r="C43" i="5"/>
  <c r="H38" i="7"/>
  <c r="I38" i="7" s="1"/>
  <c r="I39" i="7" s="1"/>
  <c r="E86" i="5"/>
  <c r="C86" i="5" s="1"/>
  <c r="E76" i="5"/>
  <c r="K84" i="5"/>
  <c r="K86" i="5" s="1"/>
  <c r="C18" i="6" l="1"/>
  <c r="C29" i="6" s="1"/>
  <c r="D15" i="9"/>
  <c r="E15" i="9" s="1"/>
  <c r="E16" i="9"/>
  <c r="I16" i="9" s="1"/>
  <c r="D35" i="9"/>
  <c r="E35" i="9" s="1"/>
  <c r="F53" i="7"/>
  <c r="F54" i="7" s="1"/>
  <c r="E53" i="7"/>
  <c r="J73" i="5"/>
  <c r="J74" i="5" s="1"/>
  <c r="E79" i="5"/>
  <c r="C19" i="6"/>
  <c r="I40" i="7" l="1"/>
  <c r="E15" i="7"/>
  <c r="I18" i="6"/>
  <c r="I29" i="6" s="1"/>
  <c r="E18" i="9"/>
  <c r="G53" i="7"/>
  <c r="E54" i="7"/>
  <c r="C20" i="6"/>
  <c r="C30" i="6"/>
  <c r="I19" i="6"/>
  <c r="E24" i="7" l="1"/>
  <c r="G24" i="7" s="1"/>
  <c r="E99" i="7"/>
  <c r="E62" i="7"/>
  <c r="E14" i="7"/>
  <c r="E18" i="7" s="1"/>
  <c r="G54" i="7"/>
  <c r="I30" i="6"/>
  <c r="C21" i="6"/>
  <c r="C31" i="6"/>
  <c r="I20" i="6"/>
  <c r="E97" i="7" l="1"/>
  <c r="E63" i="7"/>
  <c r="E65" i="7" s="1"/>
  <c r="I31" i="6"/>
  <c r="C22" i="6"/>
  <c r="C32" i="6"/>
  <c r="I21" i="6"/>
  <c r="I32" i="6" l="1"/>
  <c r="C33" i="6"/>
  <c r="I22" i="6"/>
  <c r="I23" i="6" s="1"/>
  <c r="F22" i="7" s="1"/>
  <c r="G22" i="7" l="1"/>
  <c r="I33" i="6"/>
  <c r="H22" i="7" l="1"/>
  <c r="I34" i="6"/>
  <c r="G15" i="9" l="1"/>
  <c r="C58" i="5" l="1"/>
  <c r="G18" i="9"/>
  <c r="E24" i="9"/>
  <c r="E25" i="9" s="1"/>
  <c r="E42" i="9" s="1"/>
  <c r="D45" i="9"/>
  <c r="E45" i="9" s="1"/>
  <c r="E47" i="9" s="1"/>
  <c r="E58" i="5" l="1"/>
  <c r="E82" i="7"/>
  <c r="F81" i="7" l="1"/>
  <c r="F82" i="7" s="1"/>
  <c r="K58" i="5"/>
  <c r="K61" i="5" s="1"/>
  <c r="E23" i="7"/>
  <c r="E25" i="7" s="1"/>
  <c r="E16" i="7"/>
  <c r="E84" i="7"/>
  <c r="G82" i="7" l="1"/>
  <c r="I84" i="7"/>
  <c r="F84" i="7"/>
  <c r="G84" i="7" s="1"/>
  <c r="I85" i="7" s="1"/>
  <c r="D18" i="6" l="1"/>
  <c r="C57" i="5"/>
  <c r="E57" i="5" s="1"/>
  <c r="J57" i="5" l="1"/>
  <c r="F60" i="7"/>
  <c r="D20" i="6"/>
  <c r="D19" i="6"/>
  <c r="D22" i="6"/>
  <c r="D21" i="6"/>
  <c r="D29" i="6"/>
  <c r="E18" i="6"/>
  <c r="J18" i="6"/>
  <c r="J29" i="6" l="1"/>
  <c r="K18" i="6"/>
  <c r="D33" i="6"/>
  <c r="E22" i="6"/>
  <c r="J22" i="6"/>
  <c r="J20" i="6"/>
  <c r="D31" i="6"/>
  <c r="E20" i="6"/>
  <c r="D32" i="6"/>
  <c r="E21" i="6"/>
  <c r="J21" i="6"/>
  <c r="F18" i="6"/>
  <c r="F29" i="6" s="1"/>
  <c r="E29" i="6"/>
  <c r="E19" i="6"/>
  <c r="J19" i="6"/>
  <c r="D30" i="6"/>
  <c r="E31" i="6" l="1"/>
  <c r="F20" i="6"/>
  <c r="F31" i="6" s="1"/>
  <c r="J30" i="6"/>
  <c r="K30" i="6" s="1"/>
  <c r="K19" i="6"/>
  <c r="J23" i="6"/>
  <c r="F23" i="7" s="1"/>
  <c r="K22" i="6"/>
  <c r="J33" i="6"/>
  <c r="K33" i="6" s="1"/>
  <c r="F22" i="6"/>
  <c r="F33" i="6" s="1"/>
  <c r="E33" i="6"/>
  <c r="K29" i="6"/>
  <c r="J32" i="6"/>
  <c r="K32" i="6" s="1"/>
  <c r="K21" i="6"/>
  <c r="E30" i="6"/>
  <c r="F19" i="6"/>
  <c r="F30" i="6" s="1"/>
  <c r="E32" i="6"/>
  <c r="F21" i="6"/>
  <c r="F32" i="6" s="1"/>
  <c r="K20" i="6"/>
  <c r="J31" i="6"/>
  <c r="K31" i="6" s="1"/>
  <c r="G23" i="7" l="1"/>
  <c r="F25" i="7"/>
  <c r="K23" i="6"/>
  <c r="K34" i="6"/>
  <c r="J34" i="6"/>
  <c r="G25" i="7" l="1"/>
  <c r="H25" i="7" s="1"/>
  <c r="H15" i="9"/>
  <c r="I15" i="9" s="1"/>
  <c r="E59" i="5"/>
  <c r="F61" i="7"/>
  <c r="F63" i="7" s="1"/>
  <c r="I65" i="7" s="1"/>
  <c r="H23" i="7"/>
  <c r="B99" i="7" l="1"/>
  <c r="E61" i="5"/>
  <c r="J59" i="5"/>
  <c r="J61" i="5" s="1"/>
  <c r="L61" i="5" s="1"/>
  <c r="H18" i="9"/>
  <c r="D33" i="9"/>
  <c r="E33" i="9" s="1"/>
  <c r="E37" i="9" s="1"/>
  <c r="I18" i="9"/>
  <c r="E30" i="9" s="1"/>
  <c r="F65" i="7"/>
  <c r="G65" i="7" s="1"/>
  <c r="I66" i="7" s="1"/>
  <c r="G63" i="7"/>
  <c r="B97" i="7" s="1"/>
</calcChain>
</file>

<file path=xl/sharedStrings.xml><?xml version="1.0" encoding="utf-8"?>
<sst xmlns="http://schemas.openxmlformats.org/spreadsheetml/2006/main" count="338" uniqueCount="222">
  <si>
    <t>Table 22: Wholesale Volume data per IESO Power Bill</t>
  </si>
  <si>
    <t>GA RPP/non-RPP Ratios</t>
  </si>
  <si>
    <t>GA Volumes</t>
  </si>
  <si>
    <t>Energy Volumes</t>
  </si>
  <si>
    <t>AQEW</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</si>
  <si>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</si>
  <si>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</si>
  <si>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</si>
  <si>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</si>
  <si>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</si>
  <si>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</si>
  <si>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</si>
  <si>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</si>
  <si>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</si>
  <si>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</si>
  <si>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</si>
  <si>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</si>
  <si>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</si>
  <si>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</si>
  <si>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</si>
  <si>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</si>
  <si>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</si>
  <si>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</si>
  <si>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</si>
  <si>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</si>
  <si>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</si>
  <si>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</si>
  <si>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</si>
  <si>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</si>
  <si>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</si>
  <si>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</si>
  <si>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</si>
  <si>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</si>
  <si>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</si>
  <si>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</si>
  <si>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Commodity Cost of Power per IESO Invoice:</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</si>
  <si>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</si>
  <si>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</si>
  <si>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</si>
  <si>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</si>
  <si>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</si>
  <si>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</si>
  <si>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</si>
  <si>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</si>
  <si>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</si>
  <si>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</si>
  <si>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</si>
  <si>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</si>
  <si>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</si>
  <si>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</si>
  <si>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</si>
  <si>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</si>
  <si>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</si>
  <si>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</si>
  <si>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</si>
  <si>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</si>
  <si>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</si>
  <si>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- 2nd True-UP</t>
  </si>
  <si>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</si>
  <si>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</si>
  <si>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</si>
  <si>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</si>
  <si>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</si>
  <si>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</si>
  <si>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</si>
  <si>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</si>
  <si>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</si>
  <si>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</si>
  <si>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</si>
  <si>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</si>
  <si>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</si>
  <si>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</si>
  <si>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</si>
  <si>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</si>
  <si>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</si>
  <si>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</si>
  <si>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</si>
  <si>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</si>
  <si>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</si>
  <si>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</si>
  <si>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</si>
  <si>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</si>
  <si>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</si>
  <si>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</si>
  <si>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</si>
  <si>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</si>
  <si>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</si>
  <si>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</si>
  <si>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</si>
  <si>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</si>
  <si>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IESO Invoice Breakdown:</t>
  </si>
  <si>
    <t xml:space="preserve">        1598 regular estimate</t>
  </si>
  <si>
    <t>Closing Balance</t>
  </si>
  <si>
    <t>Total Actual IESO Settlement</t>
  </si>
  <si>
    <t>Comparison</t>
  </si>
  <si>
    <t>OEB Method</t>
  </si>
  <si>
    <t>RPP Revenue</t>
  </si>
  <si>
    <t>GA - RPP</t>
  </si>
  <si>
    <t>IESO</t>
  </si>
  <si>
    <t>nonRPP</t>
  </si>
  <si>
    <t>RPP</t>
  </si>
  <si>
    <t>kWh</t>
  </si>
  <si>
    <t>rate</t>
  </si>
  <si>
    <t>$'s</t>
  </si>
  <si>
    <t>Diff</t>
  </si>
  <si>
    <t>Non-RPP Revenue</t>
  </si>
  <si>
    <t>Energy Revenue - RPP</t>
  </si>
  <si>
    <t>RPP - Spot</t>
  </si>
  <si>
    <t>GA RPP Portion</t>
  </si>
  <si>
    <t>1598 Final Settlement</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</si>
  <si>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</si>
  <si>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</si>
  <si>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</si>
  <si>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</si>
  <si>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</si>
  <si>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</si>
  <si>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</si>
  <si>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</si>
  <si>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</si>
  <si>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</si>
  <si>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</si>
  <si>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</si>
  <si>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</si>
  <si>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</si>
  <si>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Final True-up with IESO (based on actuals)</t>
  </si>
  <si>
    <t>(A)</t>
  </si>
  <si>
    <t>(B)</t>
  </si>
  <si>
    <t>(C)</t>
  </si>
  <si>
    <t>IESO clearing account (158901)</t>
  </si>
  <si>
    <t>GA Costs (4707)</t>
  </si>
  <si>
    <t>Cost of Energy (4705)</t>
  </si>
  <si>
    <t>GA - Cost (4707)</t>
  </si>
  <si>
    <t>Power Costs (4705)</t>
  </si>
  <si>
    <t>Total $</t>
  </si>
  <si>
    <t xml:space="preserve">Opening Balance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</si>
  <si>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</si>
  <si>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</si>
  <si>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</si>
  <si>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</si>
  <si>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</si>
  <si>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</si>
  <si>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</si>
  <si>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</si>
  <si>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</si>
  <si>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</si>
  <si>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</si>
  <si>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</si>
  <si>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</si>
  <si>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</si>
  <si>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</si>
  <si>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</si>
  <si>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</si>
  <si>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</si>
  <si>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</si>
  <si>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</si>
  <si>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</si>
  <si>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</si>
  <si>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</si>
  <si>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</si>
  <si>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</si>
  <si>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</si>
  <si>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</si>
  <si>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</si>
  <si>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Account Balance - December 31, 2017</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</si>
  <si>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</si>
  <si>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</si>
  <si>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</si>
  <si>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</si>
  <si>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</si>
  <si>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</si>
  <si>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</si>
  <si>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</si>
  <si>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</si>
  <si>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</si>
  <si>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</si>
  <si>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</si>
  <si>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</si>
  <si>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</si>
  <si>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</si>
  <si>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</si>
  <si>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EW Method</t>
  </si>
  <si>
    <t>Net Energy Cost Settlement (IESO charge type 101)</t>
  </si>
  <si>
    <t xml:space="preserve">Sale of Energy </t>
  </si>
  <si>
    <t>not required</t>
  </si>
  <si>
    <t>see split below</t>
  </si>
  <si>
    <t>RPP - Class B GA actual</t>
  </si>
  <si>
    <t>Non RPP - Class B GA actual</t>
  </si>
  <si>
    <t>linked  to final 2nd true-up</t>
  </si>
  <si>
    <t>UFE</t>
  </si>
  <si>
    <t>Wholesale vs Retail Volume Differences (UFE )</t>
  </si>
  <si>
    <t xml:space="preserve">1588 Variance Account - Final(after true-up) </t>
  </si>
  <si>
    <t xml:space="preserve">        Est. GA - Class B RPP Portion</t>
  </si>
  <si>
    <t>Retail</t>
  </si>
  <si>
    <t>For Informational Purposes Only:</t>
  </si>
  <si>
    <t>Final IESO Settlement (A-B-C)</t>
  </si>
  <si>
    <t xml:space="preserve">Actual differential - Billings from CIS - Final (RPP - Spot) </t>
  </si>
  <si>
    <t xml:space="preserve">FIT/MicroFit @ spot </t>
  </si>
  <si>
    <t xml:space="preserve">GA - Class B RPP Portion - Final True Up </t>
  </si>
  <si>
    <t>RPP - actual differential - Billing from CIS Final (RPP - spot)</t>
  </si>
  <si>
    <t>2018</t>
  </si>
  <si>
    <t>W/S kWh</t>
  </si>
  <si>
    <t>EW Method:  Clearing Account - IESO A/R/AP</t>
  </si>
  <si>
    <t>Summary and Explanation of Final Balances of RSVA 1588 and 1589 -OEB Guidance</t>
  </si>
  <si>
    <t>Summary:</t>
  </si>
  <si>
    <t>Energy  Cost</t>
  </si>
  <si>
    <t>GA Cost</t>
  </si>
  <si>
    <t>Data for Final RPP Settlement based on Actual Revenue Volumes Jan -Apr 2019:</t>
  </si>
  <si>
    <t>EW Method - GA CT 148 Split Adjusted for OEB Accounting Guidance</t>
  </si>
  <si>
    <t xml:space="preserve">  Adjustment for OEB Accounting Guidance (UFE)</t>
  </si>
  <si>
    <t>Materiality Threshold</t>
  </si>
  <si>
    <t>Entry to Align to OEB Methodology Outcome:</t>
  </si>
  <si>
    <t>COMPARISON - EW AND OEB METHODOLOGY OUTCOME</t>
  </si>
  <si>
    <t>Sourced from IESO invoice</t>
  </si>
  <si>
    <t>RPP Actual Data - kWh and $ sourced from CIS billing stats (prorated by calendar period)</t>
  </si>
  <si>
    <t>Actual Average GA rates - splits based on actual kWh sourced from CIS billing stats adjusted for UFE multipied by monthly actual GA rates</t>
  </si>
  <si>
    <t>RPP Actual Data - $ sourced from CIS billing stats (prorated by calendar period)</t>
  </si>
  <si>
    <t>Data Input Items reflect actual 2018 data per IESO invoice or as per IESO monthly submissions</t>
  </si>
  <si>
    <t>Final settlement true-up with IESO (clears account to -0-)</t>
  </si>
  <si>
    <t xml:space="preserve">  As per IESO monthly settlement claim/IESO invoice</t>
  </si>
  <si>
    <t>2019  Jan - Apr</t>
  </si>
  <si>
    <t>RPP - actual differential - Billing from CIS Final (RPP - spot)*</t>
  </si>
  <si>
    <t xml:space="preserve">* This line (net of adjustment line) is effectively a combination of the net impact of GA RPP Portion plus 1598 Final Settlement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</si>
</sst>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 #,##0.00000000_-;\-* #,##0.00000000_-;_-* &quot;-&quot;??_-;_-@_-"/>
    <numFmt numFmtId="173" formatCode="_(&quot;$&quot;* #,##0.00000_);_(&quot;$&quot;* \(#,##0.00000\);_(&quot;$&quot;* &quot;-&quot;??_);_(@_)"/>
    <numFmt numFmtId="174" formatCode="_-&quot;$&quot;* #,##0.00_-;\-&quot;$&quot;* #,##0.00_-;_-&quot;$&quot;* &quot;-&quot;??_-;_-@_-"/>
    <numFmt numFmtId="175" formatCode="_-* #,##0.00_-;\-* #,##0.00_-;_-* &quot;-&quot;??_-;_-@_-"/>
    <numFmt numFmtId="176" formatCode="_-&quot;$&quot;* #,##0_-;\-&quot;$&quot;* #,##0_-;_-&quot;$&quot;* &quot;-&quot;????_-;_-@_-"/>
    <numFmt numFmtId="177" formatCode="_(&quot;$&quot;* #,##0.00000000_);_(&quot;$&quot;* \(#,##0.00000000\);_(&quot;$&quot;* &quot;-&quot;??_);_(@_)"/>
    <numFmt numFmtId="178" formatCode="_-&quot;$&quot;* #,##0_-;\-&quot;$&quot;* #,##0_-;_-&quot;$&quot;* &quot;-&quot;??_-;_-@_-"/>
    <numFmt numFmtId="179" formatCode="_-&quot;$&quot;* #,##0.00000_-;\-&quot;$&quot;* #,##0.00000_-;_-&quot;$&quot;* &quot;-&quot;??_-;_-@_-"/>
    <numFmt numFmtId="180" formatCode="0.000000"/>
    <numFmt numFmtId="181" formatCode="_(* #,##0.000_);_(* \(#,##0.000\);_(* &quot;-&quot;??_);_(@_)"/>
    <numFmt numFmtId="182" formatCode="0.00000"/>
    <numFmt numFmtId="183" formatCode="\ mm\/dd\/yyyy"/>
    <numFmt numFmtId="184" formatCode="0.0000"/>
    <numFmt numFmtId="185" formatCode="_(* #,##0.000000_);_(* \(#,##0.000000\);_(* &quot;-&quot;??_);_(@_)"/>
    <numFmt numFmtId="186" formatCode="0.0%"/>
    <numFmt numFmtId="187" formatCode="_(&quot;$&quot;* #,##0.000000_);_(&quot;$&quot;* \(#,##0.000000\);_(&quot;$&quot;* &quot;-&quot;??_);_(@_)"/>
    <numFmt numFmtId="188" formatCode="0.000%"/>
    <numFmt numFmtId="189" formatCode="_(* #,##0.0000000_);_(* \(#,##0.0000000\);_(* &quot;-&quot;??_);_(@_)"/>
    <numFmt numFmtId="190" formatCode="_-* #,##0.000000_-;\-* #,##0.000000_-;_-* &quot;-&quot;??_-;_-@_-"/>
    <numFmt numFmtId="191" formatCode="#,##0.00000_);[Red]\(#,##0.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u/>
      <sz val="11"/>
      <color theme="1"/>
      <name val="Calibri"/>
      <family val="2"/>
      <scheme val="minor"/>
    </font>
    <font>
      <sz val="12"/>
      <name val="Arial"/>
      <family val="2"/>
    </font>
    <font>
      <u/>
      <sz val="10"/>
      <name val="Arial"/>
      <family val="2"/>
    </font>
    <font>
      <b/>
      <sz val="11"/>
      <name val="Comic Sans MS"/>
      <family val="4"/>
    </font>
    <font>
      <b/>
      <sz val="11"/>
      <name val="Arial"/>
      <family val="2"/>
    </font>
    <font>
      <sz val="11"/>
      <name val="Comic Sans MS"/>
      <family val="4"/>
    </font>
    <font>
      <b/>
      <sz val="11"/>
      <name val="Calibri"/>
      <family val="2"/>
      <scheme val="minor"/>
    </font>
    <font>
      <b/>
      <u/>
      <sz val="11"/>
      <color theme="1"/>
      <name val="Calibri"/>
      <family val="2"/>
      <scheme val="minor"/>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s>
  <borders count="69">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455">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67" fontId="0" fillId="0" borderId="0" xfId="0" applyNumberFormat="1" applyFill="1"/>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3"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4" fontId="0" fillId="0" borderId="0" xfId="0" applyNumberFormat="1"/>
    <xf numFmtId="175" fontId="0" fillId="0" borderId="0" xfId="0" applyNumberFormat="1" applyFill="1"/>
    <xf numFmtId="176" fontId="0" fillId="0" borderId="0" xfId="0" applyNumberFormat="1"/>
    <xf numFmtId="176"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7" fontId="0" fillId="0" borderId="0" xfId="2" applyNumberFormat="1" applyFont="1" applyBorder="1"/>
    <xf numFmtId="175" fontId="0" fillId="0" borderId="0" xfId="0" applyNumberFormat="1"/>
    <xf numFmtId="9" fontId="0" fillId="0" borderId="0" xfId="3" applyFont="1" applyBorder="1"/>
    <xf numFmtId="166" fontId="0" fillId="0" borderId="0" xfId="1" applyNumberFormat="1" applyFont="1" applyBorder="1"/>
    <xf numFmtId="179"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3" fontId="0" fillId="0" borderId="0" xfId="3" applyNumberFormat="1" applyFont="1" applyBorder="1"/>
    <xf numFmtId="175" fontId="0" fillId="0" borderId="0" xfId="1" applyNumberFormat="1" applyFont="1" applyBorder="1"/>
    <xf numFmtId="168" fontId="0" fillId="0" borderId="0" xfId="0" applyNumberFormat="1" applyBorder="1"/>
    <xf numFmtId="173" fontId="0" fillId="0" borderId="0" xfId="2" applyNumberFormat="1" applyFont="1" applyBorder="1"/>
    <xf numFmtId="43" fontId="0" fillId="0" borderId="0" xfId="1" applyFont="1" applyBorder="1"/>
    <xf numFmtId="172" fontId="0" fillId="0" borderId="0" xfId="0" applyNumberFormat="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9" fontId="0" fillId="0" borderId="0" xfId="0" applyNumberFormat="1" applyBorder="1"/>
    <xf numFmtId="0" fontId="0" fillId="0" borderId="0" xfId="0" applyBorder="1" applyAlignment="1">
      <alignment horizontal="center"/>
    </xf>
    <xf numFmtId="174"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3"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21" fillId="0" borderId="0" xfId="0" applyFont="1" applyAlignment="1"/>
    <xf numFmtId="0" fontId="0" fillId="0" borderId="0" xfId="0" applyAlignment="1">
      <alignment wrapText="1"/>
    </xf>
    <xf numFmtId="0" fontId="21" fillId="0" borderId="0" xfId="0" applyFont="1" applyAlignment="1">
      <alignment horizontal="center"/>
    </xf>
    <xf numFmtId="0" fontId="2" fillId="0" borderId="34" xfId="0" applyFont="1" applyBorder="1"/>
    <xf numFmtId="0" fontId="2" fillId="0" borderId="35" xfId="0" applyFont="1" applyBorder="1" applyAlignment="1">
      <alignment horizontal="center" wrapText="1"/>
    </xf>
    <xf numFmtId="0" fontId="2" fillId="0" borderId="36" xfId="0" applyFont="1" applyBorder="1" applyAlignment="1">
      <alignment horizontal="center"/>
    </xf>
    <xf numFmtId="0" fontId="2" fillId="0" borderId="37" xfId="0" applyFont="1" applyBorder="1" applyAlignment="1">
      <alignment horizontal="center"/>
    </xf>
    <xf numFmtId="0" fontId="2" fillId="0" borderId="36"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9" fontId="0" fillId="0" borderId="0" xfId="0" applyNumberFormat="1" applyAlignment="1">
      <alignment wrapText="1"/>
    </xf>
    <xf numFmtId="0" fontId="0" fillId="0" borderId="3" xfId="0" applyFont="1" applyBorder="1"/>
    <xf numFmtId="164" fontId="0" fillId="0" borderId="38" xfId="0" applyNumberFormat="1" applyBorder="1"/>
    <xf numFmtId="167" fontId="0" fillId="0" borderId="38" xfId="0" applyNumberFormat="1" applyBorder="1"/>
    <xf numFmtId="0" fontId="0" fillId="0" borderId="38" xfId="0" applyBorder="1"/>
    <xf numFmtId="164" fontId="0" fillId="0" borderId="3" xfId="0" applyNumberFormat="1" applyBorder="1"/>
    <xf numFmtId="167" fontId="0" fillId="0" borderId="3" xfId="0" applyNumberFormat="1" applyBorder="1"/>
    <xf numFmtId="0" fontId="0" fillId="0" borderId="3" xfId="0" applyBorder="1"/>
    <xf numFmtId="164" fontId="0" fillId="0" borderId="39" xfId="0" applyNumberFormat="1" applyBorder="1"/>
    <xf numFmtId="167" fontId="0" fillId="0" borderId="39" xfId="0" applyNumberFormat="1" applyBorder="1"/>
    <xf numFmtId="43" fontId="0" fillId="0" borderId="0" xfId="0" applyNumberFormat="1" applyAlignment="1">
      <alignment wrapText="1"/>
    </xf>
    <xf numFmtId="164" fontId="0" fillId="0" borderId="40" xfId="0" applyNumberFormat="1" applyBorder="1"/>
    <xf numFmtId="0" fontId="0" fillId="0" borderId="31" xfId="0" applyBorder="1"/>
    <xf numFmtId="164" fontId="0" fillId="4" borderId="41" xfId="0" applyNumberFormat="1" applyFill="1"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32" xfId="0" applyFill="1" applyBorder="1"/>
    <xf numFmtId="0" fontId="2" fillId="0" borderId="43" xfId="0" applyFont="1" applyBorder="1" applyAlignment="1">
      <alignment horizontal="center" wrapText="1"/>
    </xf>
    <xf numFmtId="0" fontId="2" fillId="0" borderId="24" xfId="0" applyFont="1" applyBorder="1" applyAlignment="1">
      <alignment horizontal="center" wrapText="1"/>
    </xf>
    <xf numFmtId="0" fontId="2" fillId="0" borderId="24" xfId="0" applyFont="1" applyBorder="1" applyAlignment="1">
      <alignment horizontal="center"/>
    </xf>
    <xf numFmtId="0" fontId="0" fillId="0" borderId="21" xfId="0" applyFont="1" applyBorder="1"/>
    <xf numFmtId="164" fontId="0" fillId="0" borderId="44" xfId="0" applyNumberFormat="1" applyBorder="1"/>
    <xf numFmtId="164" fontId="0" fillId="0" borderId="45" xfId="0" applyNumberFormat="1" applyBorder="1"/>
    <xf numFmtId="167" fontId="0" fillId="0" borderId="44" xfId="0" applyNumberFormat="1" applyBorder="1"/>
    <xf numFmtId="164" fontId="0" fillId="0" borderId="46" xfId="1" applyNumberFormat="1" applyFont="1" applyBorder="1"/>
    <xf numFmtId="164" fontId="0" fillId="0" borderId="47" xfId="0" applyNumberFormat="1" applyBorder="1"/>
    <xf numFmtId="164" fontId="0" fillId="0" borderId="4" xfId="0" applyNumberFormat="1" applyBorder="1"/>
    <xf numFmtId="164" fontId="0" fillId="0" borderId="48" xfId="0" applyNumberFormat="1" applyBorder="1"/>
    <xf numFmtId="167" fontId="0" fillId="0" borderId="33" xfId="0" applyNumberFormat="1" applyBorder="1"/>
    <xf numFmtId="0" fontId="0" fillId="0" borderId="49" xfId="0" applyBorder="1"/>
    <xf numFmtId="164" fontId="0" fillId="0" borderId="29" xfId="0" applyNumberFormat="1" applyBorder="1"/>
    <xf numFmtId="170" fontId="0" fillId="0" borderId="0" xfId="0" applyNumberFormat="1" applyAlignment="1">
      <alignment wrapText="1"/>
    </xf>
    <xf numFmtId="164" fontId="0" fillId="0" borderId="50" xfId="0" applyNumberFormat="1" applyBorder="1"/>
    <xf numFmtId="167" fontId="0" fillId="0" borderId="50" xfId="0" applyNumberFormat="1" applyBorder="1"/>
    <xf numFmtId="164" fontId="0" fillId="0" borderId="48" xfId="0" applyNumberFormat="1" applyFill="1" applyBorder="1"/>
    <xf numFmtId="43" fontId="0" fillId="0" borderId="48" xfId="0" applyNumberFormat="1" applyBorder="1"/>
    <xf numFmtId="190"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51" xfId="0" applyFont="1" applyBorder="1" applyAlignment="1">
      <alignment horizontal="center"/>
    </xf>
    <xf numFmtId="0" fontId="0" fillId="0" borderId="0" xfId="0" applyBorder="1" applyAlignment="1">
      <alignment wrapText="1"/>
    </xf>
    <xf numFmtId="164" fontId="0" fillId="0" borderId="33" xfId="0" applyNumberFormat="1" applyBorder="1"/>
    <xf numFmtId="167" fontId="0" fillId="0" borderId="31" xfId="0" applyNumberFormat="1" applyBorder="1"/>
    <xf numFmtId="164" fontId="0" fillId="4" borderId="52" xfId="0" applyNumberFormat="1" applyFill="1" applyBorder="1"/>
    <xf numFmtId="164" fontId="0" fillId="0" borderId="0" xfId="0" applyNumberFormat="1" applyBorder="1" applyAlignment="1">
      <alignment wrapText="1"/>
    </xf>
    <xf numFmtId="0" fontId="0" fillId="0" borderId="4" xfId="0" applyBorder="1" applyAlignment="1"/>
    <xf numFmtId="0" fontId="0" fillId="3" borderId="27" xfId="0" applyFill="1" applyBorder="1" applyAlignment="1"/>
    <xf numFmtId="0" fontId="2" fillId="0" borderId="4" xfId="0" applyFont="1" applyBorder="1" applyAlignment="1">
      <alignment horizontal="center" wrapText="1"/>
    </xf>
    <xf numFmtId="164" fontId="0" fillId="4" borderId="53" xfId="0" applyNumberFormat="1" applyFill="1" applyBorder="1" applyAlignment="1">
      <alignment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5" xfId="0" applyFont="1" applyBorder="1"/>
    <xf numFmtId="164" fontId="2" fillId="0" borderId="36" xfId="0" applyNumberFormat="1" applyFont="1" applyFill="1" applyBorder="1" applyAlignment="1">
      <alignment horizontal="center" wrapText="1"/>
    </xf>
    <xf numFmtId="0" fontId="2" fillId="0" borderId="56" xfId="0" applyFont="1" applyBorder="1" applyAlignment="1">
      <alignment horizontal="center" wrapText="1"/>
    </xf>
    <xf numFmtId="0" fontId="2" fillId="0" borderId="42" xfId="0" applyFont="1" applyBorder="1" applyAlignment="1">
      <alignment horizontal="center"/>
    </xf>
    <xf numFmtId="0" fontId="23" fillId="0" borderId="3" xfId="0" applyFont="1" applyBorder="1"/>
    <xf numFmtId="0" fontId="23" fillId="0" borderId="33" xfId="0" applyFont="1" applyBorder="1" applyAlignment="1">
      <alignment wrapText="1"/>
    </xf>
    <xf numFmtId="164" fontId="0" fillId="0" borderId="57" xfId="0" applyNumberFormat="1" applyFill="1" applyBorder="1" applyAlignment="1">
      <alignment wrapText="1"/>
    </xf>
    <xf numFmtId="167" fontId="0" fillId="0" borderId="58" xfId="2" applyNumberFormat="1" applyFont="1" applyFill="1" applyBorder="1" applyAlignment="1">
      <alignment wrapText="1"/>
    </xf>
    <xf numFmtId="165" fontId="0" fillId="0" borderId="59" xfId="0" applyNumberFormat="1" applyFill="1" applyBorder="1" applyAlignment="1">
      <alignment wrapText="1"/>
    </xf>
    <xf numFmtId="164" fontId="0" fillId="0" borderId="15" xfId="0" applyNumberFormat="1" applyBorder="1" applyAlignment="1">
      <alignment wrapText="1"/>
    </xf>
    <xf numFmtId="167" fontId="0" fillId="0" borderId="60" xfId="2" applyNumberFormat="1" applyFont="1" applyFill="1" applyBorder="1" applyAlignment="1">
      <alignment wrapText="1"/>
    </xf>
    <xf numFmtId="165" fontId="0" fillId="0" borderId="61" xfId="0" applyNumberFormat="1" applyBorder="1" applyAlignment="1">
      <alignment wrapText="1"/>
    </xf>
    <xf numFmtId="0" fontId="23" fillId="0" borderId="3" xfId="0" applyFont="1" applyBorder="1" applyAlignment="1">
      <alignment wrapText="1"/>
    </xf>
    <xf numFmtId="167" fontId="0" fillId="0" borderId="60" xfId="0" applyNumberFormat="1" applyBorder="1" applyAlignment="1">
      <alignment wrapText="1"/>
    </xf>
    <xf numFmtId="0" fontId="0" fillId="0" borderId="0" xfId="0" applyAlignment="1"/>
    <xf numFmtId="164" fontId="0" fillId="0" borderId="62" xfId="1" applyNumberFormat="1" applyFont="1" applyBorder="1" applyAlignment="1">
      <alignment wrapText="1"/>
    </xf>
    <xf numFmtId="167" fontId="0" fillId="0" borderId="63" xfId="2" applyNumberFormat="1" applyFont="1" applyBorder="1" applyAlignment="1">
      <alignment wrapText="1"/>
    </xf>
    <xf numFmtId="165" fontId="0" fillId="0" borderId="64" xfId="0" applyNumberFormat="1" applyBorder="1" applyAlignment="1">
      <alignment wrapText="1"/>
    </xf>
    <xf numFmtId="0" fontId="0" fillId="0" borderId="3" xfId="0" applyBorder="1" applyAlignment="1">
      <alignment wrapText="1"/>
    </xf>
    <xf numFmtId="0" fontId="0" fillId="0" borderId="30" xfId="0" applyBorder="1" applyAlignment="1">
      <alignment horizontal="left"/>
    </xf>
    <xf numFmtId="0" fontId="0" fillId="0" borderId="30" xfId="0" applyBorder="1"/>
    <xf numFmtId="164" fontId="0" fillId="0" borderId="65" xfId="0" applyNumberFormat="1" applyFill="1" applyBorder="1"/>
    <xf numFmtId="0" fontId="0" fillId="0" borderId="5" xfId="0" applyBorder="1" applyAlignment="1"/>
    <xf numFmtId="0" fontId="2" fillId="0" borderId="6" xfId="0" applyFont="1" applyBorder="1" applyAlignment="1">
      <alignment horizontal="center" wrapText="1"/>
    </xf>
    <xf numFmtId="0" fontId="23" fillId="0" borderId="21" xfId="0" applyFont="1" applyBorder="1"/>
    <xf numFmtId="0" fontId="23" fillId="0" borderId="7" xfId="0" applyFont="1" applyBorder="1" applyAlignment="1">
      <alignment wrapText="1"/>
    </xf>
    <xf numFmtId="164" fontId="0" fillId="0" borderId="57" xfId="1" applyNumberFormat="1" applyFont="1" applyBorder="1" applyAlignment="1">
      <alignment wrapText="1"/>
    </xf>
    <xf numFmtId="167" fontId="0" fillId="0" borderId="58" xfId="2" applyNumberFormat="1" applyFont="1" applyBorder="1" applyAlignment="1">
      <alignment wrapText="1"/>
    </xf>
    <xf numFmtId="165" fontId="0" fillId="0" borderId="59" xfId="0" applyNumberFormat="1" applyBorder="1" applyAlignment="1">
      <alignment wrapText="1"/>
    </xf>
    <xf numFmtId="44" fontId="0" fillId="0" borderId="0" xfId="0" applyNumberFormat="1" applyAlignment="1">
      <alignment wrapText="1"/>
    </xf>
    <xf numFmtId="164" fontId="0" fillId="0" borderId="62" xfId="0" applyNumberFormat="1" applyBorder="1" applyAlignment="1">
      <alignment wrapText="1"/>
    </xf>
    <xf numFmtId="167" fontId="0" fillId="0" borderId="63" xfId="2" applyNumberFormat="1" applyFont="1" applyFill="1" applyBorder="1" applyAlignment="1">
      <alignment wrapText="1"/>
    </xf>
    <xf numFmtId="165" fontId="0" fillId="0" borderId="64"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3" fontId="0" fillId="0" borderId="0" xfId="2" applyNumberFormat="1" applyFont="1" applyFill="1"/>
    <xf numFmtId="173" fontId="0" fillId="0" borderId="0" xfId="2" applyNumberFormat="1" applyFont="1" applyFill="1" applyAlignment="1">
      <alignment horizontal="right"/>
    </xf>
    <xf numFmtId="165" fontId="0" fillId="2" borderId="0" xfId="2" applyNumberFormat="1" applyFont="1" applyFill="1"/>
    <xf numFmtId="178"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8" xfId="2" applyNumberFormat="1" applyFont="1" applyBorder="1"/>
    <xf numFmtId="164" fontId="2" fillId="0" borderId="6" xfId="1" applyNumberFormat="1" applyFont="1" applyBorder="1" applyAlignment="1">
      <alignment horizontal="center"/>
    </xf>
    <xf numFmtId="165" fontId="2" fillId="0" borderId="28" xfId="2" applyNumberFormat="1" applyFont="1" applyBorder="1" applyAlignment="1">
      <alignment horizontal="center"/>
    </xf>
    <xf numFmtId="164" fontId="0" fillId="0" borderId="6" xfId="0" applyNumberFormat="1" applyFill="1" applyBorder="1"/>
    <xf numFmtId="165" fontId="0" fillId="0" borderId="28" xfId="2" applyNumberFormat="1" applyFont="1" applyFill="1" applyBorder="1"/>
    <xf numFmtId="164" fontId="0" fillId="0" borderId="7" xfId="1" applyNumberFormat="1" applyFont="1" applyFill="1" applyBorder="1"/>
    <xf numFmtId="165" fontId="0" fillId="0" borderId="66" xfId="0" applyNumberFormat="1" applyFill="1" applyBorder="1"/>
    <xf numFmtId="0" fontId="0" fillId="0" borderId="6" xfId="0" applyFill="1" applyBorder="1"/>
    <xf numFmtId="0" fontId="0" fillId="0" borderId="28"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4" fontId="0" fillId="0" borderId="0" xfId="0" applyNumberFormat="1" applyFill="1" applyBorder="1"/>
    <xf numFmtId="175" fontId="0" fillId="0" borderId="0" xfId="0" applyNumberFormat="1" applyFill="1" applyBorder="1"/>
    <xf numFmtId="176" fontId="0" fillId="0" borderId="0" xfId="0" applyNumberFormat="1" applyFill="1" applyBorder="1"/>
    <xf numFmtId="180" fontId="0" fillId="0" borderId="0" xfId="0" applyNumberFormat="1" applyFill="1"/>
    <xf numFmtId="0" fontId="12" fillId="0" borderId="0" xfId="0" applyFont="1" applyFill="1"/>
    <xf numFmtId="0" fontId="2" fillId="0" borderId="0" xfId="0" applyFont="1" applyFill="1"/>
    <xf numFmtId="165" fontId="0" fillId="0" borderId="1" xfId="0" applyNumberFormat="1" applyFill="1" applyBorder="1"/>
    <xf numFmtId="0" fontId="0" fillId="0" borderId="27" xfId="0" applyBorder="1"/>
    <xf numFmtId="0" fontId="0" fillId="0" borderId="7" xfId="0" applyBorder="1" applyAlignment="1">
      <alignment horizontal="center"/>
    </xf>
    <xf numFmtId="0" fontId="0" fillId="0" borderId="28"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8" xfId="0" applyNumberFormat="1" applyFill="1" applyBorder="1"/>
    <xf numFmtId="165" fontId="0" fillId="0" borderId="33" xfId="0" applyNumberFormat="1" applyFill="1" applyBorder="1"/>
    <xf numFmtId="175" fontId="0" fillId="0" borderId="28" xfId="0" applyNumberFormat="1" applyFill="1" applyBorder="1"/>
    <xf numFmtId="165" fontId="0" fillId="0" borderId="29" xfId="0" applyNumberFormat="1" applyBorder="1"/>
    <xf numFmtId="0" fontId="0" fillId="0" borderId="29" xfId="0" applyFill="1" applyBorder="1"/>
    <xf numFmtId="174" fontId="0" fillId="0" borderId="29" xfId="0" applyNumberFormat="1" applyFill="1" applyBorder="1"/>
    <xf numFmtId="165" fontId="24" fillId="0" borderId="0" xfId="2" applyNumberFormat="1" applyFont="1" applyFill="1" applyAlignment="1">
      <alignment horizontal="left"/>
    </xf>
    <xf numFmtId="167" fontId="0" fillId="3" borderId="39" xfId="0" applyNumberFormat="1" applyFill="1" applyBorder="1"/>
    <xf numFmtId="167" fontId="0" fillId="3" borderId="44" xfId="0" applyNumberFormat="1" applyFill="1" applyBorder="1"/>
    <xf numFmtId="43" fontId="0" fillId="2" borderId="0" xfId="1" applyFont="1" applyFill="1"/>
    <xf numFmtId="187" fontId="0" fillId="2" borderId="0" xfId="2" applyNumberFormat="1" applyFont="1" applyFill="1" applyAlignment="1">
      <alignment horizontal="right"/>
    </xf>
    <xf numFmtId="167" fontId="0" fillId="2" borderId="0" xfId="0" applyNumberFormat="1" applyFill="1"/>
    <xf numFmtId="167" fontId="0" fillId="3" borderId="5" xfId="2" applyNumberFormat="1" applyFont="1" applyFill="1" applyBorder="1"/>
    <xf numFmtId="0" fontId="28" fillId="0" borderId="0" xfId="0" applyFont="1"/>
    <xf numFmtId="0" fontId="27" fillId="5" borderId="0" xfId="0" applyFont="1" applyFill="1"/>
    <xf numFmtId="0" fontId="0" fillId="5" borderId="0" xfId="0" applyFill="1"/>
    <xf numFmtId="0" fontId="13" fillId="5" borderId="0" xfId="0" applyFont="1" applyFill="1"/>
    <xf numFmtId="0" fontId="0" fillId="5" borderId="0" xfId="0" applyFill="1" applyBorder="1"/>
    <xf numFmtId="0" fontId="20" fillId="5" borderId="0" xfId="0" applyFont="1" applyFill="1"/>
    <xf numFmtId="0" fontId="0" fillId="5" borderId="0" xfId="0" applyFont="1" applyFill="1"/>
    <xf numFmtId="0" fontId="2" fillId="5" borderId="8" xfId="0" applyFont="1" applyFill="1" applyBorder="1" applyAlignment="1">
      <alignment horizontal="center"/>
    </xf>
    <xf numFmtId="0" fontId="19" fillId="5" borderId="0" xfId="4" applyNumberFormat="1" applyFont="1" applyFill="1" applyAlignment="1"/>
    <xf numFmtId="0" fontId="16" fillId="5" borderId="0" xfId="4" applyNumberFormat="1" applyFont="1" applyFill="1" applyAlignment="1"/>
    <xf numFmtId="0" fontId="17" fillId="5" borderId="0" xfId="4" applyNumberFormat="1" applyFont="1" applyFill="1" applyAlignment="1"/>
    <xf numFmtId="42" fontId="19" fillId="5" borderId="1" xfId="4" applyNumberFormat="1" applyFont="1" applyFill="1" applyBorder="1" applyAlignment="1"/>
    <xf numFmtId="183" fontId="0" fillId="5" borderId="0" xfId="0" applyNumberFormat="1" applyFill="1" applyBorder="1"/>
    <xf numFmtId="0" fontId="0" fillId="5" borderId="0" xfId="0" applyFill="1" applyBorder="1" applyAlignment="1">
      <alignment horizontal="right"/>
    </xf>
    <xf numFmtId="0" fontId="18" fillId="5" borderId="0" xfId="4" applyNumberFormat="1" applyFont="1" applyFill="1" applyAlignment="1"/>
    <xf numFmtId="3" fontId="18" fillId="5" borderId="0" xfId="4" applyNumberFormat="1" applyFont="1" applyFill="1" applyAlignment="1"/>
    <xf numFmtId="4" fontId="18" fillId="5" borderId="0" xfId="4" applyNumberFormat="1" applyFont="1" applyFill="1" applyAlignment="1"/>
    <xf numFmtId="0" fontId="0" fillId="5" borderId="0" xfId="0" applyFill="1" applyAlignment="1">
      <alignment horizontal="center"/>
    </xf>
    <xf numFmtId="164" fontId="0" fillId="5" borderId="0" xfId="1" applyNumberFormat="1" applyFont="1" applyFill="1"/>
    <xf numFmtId="164" fontId="0" fillId="5" borderId="0" xfId="0" applyNumberFormat="1" applyFill="1" applyBorder="1"/>
    <xf numFmtId="164" fontId="0" fillId="5" borderId="0" xfId="0" applyNumberFormat="1" applyFill="1"/>
    <xf numFmtId="0" fontId="5" fillId="5" borderId="0" xfId="4" applyNumberFormat="1" applyFont="1" applyFill="1" applyAlignment="1"/>
    <xf numFmtId="164" fontId="1" fillId="5" borderId="0" xfId="1" applyNumberFormat="1" applyFont="1" applyFill="1"/>
    <xf numFmtId="0" fontId="0" fillId="5" borderId="0" xfId="0" applyFill="1" applyBorder="1" applyAlignment="1">
      <alignment horizontal="center"/>
    </xf>
    <xf numFmtId="186" fontId="0" fillId="5" borderId="0" xfId="3" applyNumberFormat="1" applyFont="1" applyFill="1"/>
    <xf numFmtId="43" fontId="0" fillId="5" borderId="0" xfId="0" applyNumberFormat="1" applyFill="1"/>
    <xf numFmtId="0" fontId="0" fillId="5" borderId="0" xfId="1" applyNumberFormat="1" applyFont="1" applyFill="1"/>
    <xf numFmtId="164" fontId="0" fillId="5" borderId="0" xfId="1" applyNumberFormat="1" applyFont="1" applyFill="1" applyBorder="1"/>
    <xf numFmtId="164" fontId="28" fillId="5" borderId="0" xfId="1" applyNumberFormat="1" applyFont="1" applyFill="1"/>
    <xf numFmtId="0" fontId="5" fillId="5" borderId="0" xfId="4" applyFont="1" applyFill="1" applyAlignment="1"/>
    <xf numFmtId="164" fontId="0" fillId="5" borderId="9" xfId="1" applyNumberFormat="1" applyFont="1" applyFill="1" applyBorder="1"/>
    <xf numFmtId="43" fontId="0" fillId="5" borderId="0" xfId="1" applyFont="1" applyFill="1" applyBorder="1"/>
    <xf numFmtId="43" fontId="0" fillId="5" borderId="0" xfId="0" applyNumberFormat="1" applyFill="1" applyBorder="1"/>
    <xf numFmtId="0" fontId="0" fillId="5" borderId="22" xfId="0" applyFont="1" applyFill="1" applyBorder="1"/>
    <xf numFmtId="0" fontId="0" fillId="5" borderId="23" xfId="0" applyFont="1" applyFill="1" applyBorder="1"/>
    <xf numFmtId="164" fontId="0" fillId="5" borderId="23" xfId="1" applyNumberFormat="1" applyFont="1" applyFill="1" applyBorder="1"/>
    <xf numFmtId="164" fontId="0" fillId="5" borderId="24" xfId="1" applyNumberFormat="1" applyFont="1" applyFill="1" applyBorder="1"/>
    <xf numFmtId="183" fontId="0" fillId="5" borderId="0" xfId="0" applyNumberFormat="1" applyFill="1"/>
    <xf numFmtId="43" fontId="0" fillId="5" borderId="0" xfId="1" applyFont="1" applyFill="1"/>
    <xf numFmtId="164" fontId="0" fillId="5" borderId="8" xfId="1" applyNumberFormat="1" applyFont="1" applyFill="1" applyBorder="1" applyAlignment="1">
      <alignment horizontal="center"/>
    </xf>
    <xf numFmtId="164" fontId="0" fillId="5" borderId="8" xfId="1" applyNumberFormat="1" applyFont="1" applyFill="1" applyBorder="1"/>
    <xf numFmtId="0" fontId="0" fillId="5" borderId="0" xfId="0" applyFont="1" applyFill="1" applyBorder="1"/>
    <xf numFmtId="9" fontId="0" fillId="5" borderId="0" xfId="3" applyFont="1" applyFill="1"/>
    <xf numFmtId="0" fontId="0" fillId="5" borderId="0" xfId="0" quotePrefix="1" applyFill="1"/>
    <xf numFmtId="185" fontId="0" fillId="5" borderId="0" xfId="0" applyNumberFormat="1" applyFill="1"/>
    <xf numFmtId="0" fontId="0" fillId="5" borderId="0" xfId="0" quotePrefix="1" applyFont="1" applyFill="1" applyBorder="1"/>
    <xf numFmtId="0" fontId="0" fillId="5" borderId="8" xfId="0" applyFill="1" applyBorder="1" applyAlignment="1">
      <alignment horizontal="center"/>
    </xf>
    <xf numFmtId="181" fontId="0" fillId="5" borderId="0" xfId="1" applyNumberFormat="1" applyFont="1" applyFill="1"/>
    <xf numFmtId="181" fontId="0" fillId="5" borderId="9" xfId="1" applyNumberFormat="1" applyFont="1" applyFill="1" applyBorder="1"/>
    <xf numFmtId="181" fontId="0" fillId="5" borderId="0" xfId="1" applyNumberFormat="1" applyFont="1" applyFill="1" applyBorder="1"/>
    <xf numFmtId="184" fontId="0" fillId="5" borderId="0" xfId="0" applyNumberFormat="1" applyFill="1"/>
    <xf numFmtId="164" fontId="0" fillId="5" borderId="9" xfId="0" applyNumberFormat="1" applyFill="1" applyBorder="1"/>
    <xf numFmtId="0" fontId="0" fillId="5" borderId="17" xfId="0" quotePrefix="1" applyFill="1" applyBorder="1"/>
    <xf numFmtId="0" fontId="0" fillId="5" borderId="17" xfId="0" applyFill="1" applyBorder="1"/>
    <xf numFmtId="164" fontId="0" fillId="5" borderId="17" xfId="1" applyNumberFormat="1" applyFont="1" applyFill="1" applyBorder="1"/>
    <xf numFmtId="184" fontId="0" fillId="5" borderId="17" xfId="0" applyNumberFormat="1" applyFill="1" applyBorder="1"/>
    <xf numFmtId="0" fontId="13" fillId="5" borderId="0" xfId="0" applyFont="1" applyFill="1" applyBorder="1"/>
    <xf numFmtId="0" fontId="0" fillId="5" borderId="0" xfId="0" quotePrefix="1" applyFill="1" applyBorder="1"/>
    <xf numFmtId="182" fontId="0" fillId="5" borderId="0" xfId="0" applyNumberFormat="1" applyFill="1" applyBorder="1"/>
    <xf numFmtId="0" fontId="0" fillId="5" borderId="8" xfId="0" applyFill="1" applyBorder="1" applyAlignment="1">
      <alignment horizontal="center" wrapText="1"/>
    </xf>
    <xf numFmtId="0" fontId="23" fillId="5" borderId="0" xfId="0" applyFont="1" applyFill="1" applyBorder="1"/>
    <xf numFmtId="164" fontId="0" fillId="5" borderId="1" xfId="0" applyNumberFormat="1" applyFill="1" applyBorder="1"/>
    <xf numFmtId="0" fontId="23" fillId="5" borderId="0" xfId="0" applyFont="1" applyFill="1" applyBorder="1" applyAlignment="1">
      <alignment horizontal="center"/>
    </xf>
    <xf numFmtId="16" fontId="15" fillId="5" borderId="0" xfId="0" quotePrefix="1" applyNumberFormat="1" applyFont="1" applyFill="1" applyBorder="1"/>
    <xf numFmtId="38" fontId="15" fillId="5" borderId="0" xfId="0" applyNumberFormat="1" applyFont="1" applyFill="1" applyBorder="1" applyAlignment="1">
      <alignment horizontal="center"/>
    </xf>
    <xf numFmtId="0" fontId="15" fillId="5" borderId="0" xfId="0" applyFont="1" applyFill="1" applyBorder="1" applyAlignment="1">
      <alignment horizontal="center"/>
    </xf>
    <xf numFmtId="38" fontId="23" fillId="5" borderId="0" xfId="0" applyNumberFormat="1" applyFont="1" applyFill="1" applyBorder="1"/>
    <xf numFmtId="180" fontId="23" fillId="5" borderId="0" xfId="0" applyNumberFormat="1" applyFont="1" applyFill="1" applyBorder="1"/>
    <xf numFmtId="185" fontId="0" fillId="5" borderId="0" xfId="1" applyNumberFormat="1" applyFont="1" applyFill="1"/>
    <xf numFmtId="40" fontId="23" fillId="5" borderId="0" xfId="0" applyNumberFormat="1" applyFont="1" applyFill="1" applyBorder="1"/>
    <xf numFmtId="164" fontId="23" fillId="5" borderId="0" xfId="1" applyNumberFormat="1" applyFont="1" applyFill="1" applyBorder="1"/>
    <xf numFmtId="164" fontId="23" fillId="5" borderId="0" xfId="0" applyNumberFormat="1" applyFont="1" applyFill="1" applyBorder="1"/>
    <xf numFmtId="0" fontId="23" fillId="5" borderId="0" xfId="0" applyFont="1" applyFill="1"/>
    <xf numFmtId="0" fontId="23" fillId="5" borderId="0" xfId="0" applyFont="1" applyFill="1" applyAlignment="1">
      <alignment horizontal="center"/>
    </xf>
    <xf numFmtId="16" fontId="15" fillId="5" borderId="19" xfId="0" quotePrefix="1" applyNumberFormat="1" applyFont="1" applyFill="1" applyBorder="1"/>
    <xf numFmtId="38" fontId="15" fillId="5" borderId="19" xfId="0" applyNumberFormat="1" applyFont="1" applyFill="1" applyBorder="1" applyAlignment="1">
      <alignment horizontal="center"/>
    </xf>
    <xf numFmtId="0" fontId="15" fillId="5" borderId="19" xfId="0" applyFont="1" applyFill="1" applyBorder="1" applyAlignment="1">
      <alignment horizontal="center"/>
    </xf>
    <xf numFmtId="38" fontId="23" fillId="5" borderId="20" xfId="0" applyNumberFormat="1" applyFont="1" applyFill="1" applyBorder="1"/>
    <xf numFmtId="164" fontId="23" fillId="5" borderId="20" xfId="0" applyNumberFormat="1" applyFont="1" applyFill="1" applyBorder="1"/>
    <xf numFmtId="0" fontId="23" fillId="5" borderId="20" xfId="0" applyFont="1" applyFill="1" applyBorder="1"/>
    <xf numFmtId="180" fontId="23" fillId="5" borderId="20" xfId="0" applyNumberFormat="1" applyFont="1" applyFill="1" applyBorder="1"/>
    <xf numFmtId="187" fontId="0" fillId="5" borderId="0" xfId="2" applyNumberFormat="1" applyFont="1" applyFill="1"/>
    <xf numFmtId="40" fontId="23" fillId="5" borderId="21" xfId="0" applyNumberFormat="1" applyFont="1" applyFill="1" applyBorder="1"/>
    <xf numFmtId="164" fontId="23" fillId="5" borderId="21" xfId="1" applyNumberFormat="1" applyFont="1" applyFill="1" applyBorder="1"/>
    <xf numFmtId="164" fontId="23" fillId="5" borderId="21" xfId="0" applyNumberFormat="1" applyFont="1" applyFill="1" applyBorder="1"/>
    <xf numFmtId="186" fontId="0" fillId="5" borderId="68" xfId="3" applyNumberFormat="1" applyFont="1" applyFill="1" applyBorder="1"/>
    <xf numFmtId="164" fontId="0" fillId="5" borderId="0" xfId="1" quotePrefix="1" applyNumberFormat="1" applyFont="1" applyFill="1" applyBorder="1"/>
    <xf numFmtId="0" fontId="0" fillId="5" borderId="2" xfId="0" applyFill="1" applyBorder="1"/>
    <xf numFmtId="164" fontId="0" fillId="5" borderId="2" xfId="0" applyNumberFormat="1" applyFill="1" applyBorder="1"/>
    <xf numFmtId="164" fontId="0" fillId="5" borderId="25" xfId="0" applyNumberFormat="1" applyFill="1" applyBorder="1"/>
    <xf numFmtId="181" fontId="0" fillId="5" borderId="0" xfId="0" applyNumberFormat="1" applyFill="1" applyBorder="1"/>
    <xf numFmtId="184" fontId="0" fillId="5" borderId="0" xfId="0" applyNumberFormat="1" applyFill="1" applyBorder="1"/>
    <xf numFmtId="0" fontId="0" fillId="5" borderId="26" xfId="0" applyFill="1" applyBorder="1" applyAlignment="1">
      <alignment horizontal="center"/>
    </xf>
    <xf numFmtId="165" fontId="0" fillId="5" borderId="0" xfId="2" applyNumberFormat="1" applyFont="1" applyFill="1" applyBorder="1"/>
    <xf numFmtId="165" fontId="0" fillId="5" borderId="0" xfId="2" quotePrefix="1" applyNumberFormat="1" applyFont="1" applyFill="1" applyBorder="1"/>
    <xf numFmtId="164" fontId="0" fillId="5" borderId="0" xfId="0" applyNumberFormat="1" applyFill="1" applyBorder="1" applyAlignment="1">
      <alignment horizontal="left"/>
    </xf>
    <xf numFmtId="166" fontId="0" fillId="5" borderId="0" xfId="1" applyNumberFormat="1" applyFont="1" applyFill="1" applyBorder="1"/>
    <xf numFmtId="10" fontId="0" fillId="5" borderId="0" xfId="3" applyNumberFormat="1" applyFont="1" applyFill="1"/>
    <xf numFmtId="188" fontId="0" fillId="5" borderId="0" xfId="3" applyNumberFormat="1" applyFont="1" applyFill="1"/>
    <xf numFmtId="166" fontId="0" fillId="5" borderId="0" xfId="0" applyNumberFormat="1" applyFill="1"/>
    <xf numFmtId="188" fontId="0" fillId="5" borderId="0" xfId="0" applyNumberFormat="1" applyFill="1"/>
    <xf numFmtId="0" fontId="0" fillId="5" borderId="10" xfId="0" applyFill="1" applyBorder="1"/>
    <xf numFmtId="0" fontId="0" fillId="5" borderId="11" xfId="0" applyFill="1" applyBorder="1"/>
    <xf numFmtId="0" fontId="0" fillId="5" borderId="12" xfId="0" applyFill="1" applyBorder="1"/>
    <xf numFmtId="0" fontId="0" fillId="5" borderId="13" xfId="0" applyFill="1" applyBorder="1"/>
    <xf numFmtId="0" fontId="0" fillId="5" borderId="14" xfId="0" applyFill="1" applyBorder="1"/>
    <xf numFmtId="164" fontId="0" fillId="5" borderId="14" xfId="0" applyNumberFormat="1" applyFill="1" applyBorder="1"/>
    <xf numFmtId="0" fontId="0" fillId="5" borderId="16" xfId="0" applyFill="1" applyBorder="1"/>
    <xf numFmtId="0" fontId="0" fillId="5" borderId="18" xfId="0" applyFill="1" applyBorder="1"/>
    <xf numFmtId="180" fontId="0" fillId="5" borderId="0" xfId="0" applyNumberFormat="1" applyFill="1"/>
    <xf numFmtId="191" fontId="0" fillId="5" borderId="0" xfId="0" applyNumberFormat="1" applyFill="1"/>
    <xf numFmtId="38" fontId="0" fillId="5" borderId="0" xfId="0" applyNumberFormat="1" applyFill="1"/>
    <xf numFmtId="0" fontId="28" fillId="5" borderId="0" xfId="0" applyFont="1" applyFill="1"/>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10" fillId="0" borderId="0" xfId="0" applyFont="1" applyAlignment="1">
      <alignment wrapText="1"/>
    </xf>
    <xf numFmtId="164" fontId="28"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24" fillId="0" borderId="4" xfId="2" applyNumberFormat="1" applyFont="1" applyBorder="1" applyAlignment="1">
      <alignment horizontal="center"/>
    </xf>
    <xf numFmtId="0" fontId="24" fillId="0" borderId="27" xfId="0" applyFont="1" applyBorder="1" applyAlignment="1">
      <alignment horizontal="center"/>
    </xf>
    <xf numFmtId="0" fontId="10" fillId="0" borderId="33" xfId="0" applyFont="1" applyFill="1" applyBorder="1" applyAlignment="1">
      <alignment horizontal="center"/>
    </xf>
    <xf numFmtId="0" fontId="10" fillId="0" borderId="1" xfId="0" applyFont="1" applyBorder="1" applyAlignment="1">
      <alignment horizontal="center"/>
    </xf>
    <xf numFmtId="0" fontId="10" fillId="0" borderId="29" xfId="0" applyFont="1" applyBorder="1" applyAlignment="1">
      <alignment horizontal="center"/>
    </xf>
    <xf numFmtId="0" fontId="11" fillId="0" borderId="0" xfId="0" applyFont="1" applyAlignment="1">
      <alignment horizontal="left" wrapText="1"/>
    </xf>
    <xf numFmtId="0" fontId="11" fillId="0" borderId="28" xfId="0" applyFont="1" applyBorder="1" applyAlignment="1">
      <alignment horizontal="left" wrapText="1"/>
    </xf>
    <xf numFmtId="0" fontId="0" fillId="5" borderId="67" xfId="0" applyFill="1" applyBorder="1" applyAlignment="1">
      <alignment horizontal="center" wrapText="1"/>
    </xf>
    <xf numFmtId="0" fontId="0" fillId="5" borderId="25" xfId="0" applyFill="1" applyBorder="1" applyAlignment="1">
      <alignment horizontal="center" wrapText="1"/>
    </xf>
    <xf numFmtId="0" fontId="26" fillId="5" borderId="0" xfId="0" applyFont="1" applyFill="1" applyAlignment="1">
      <alignment horizontal="center" wrapText="1"/>
    </xf>
    <xf numFmtId="0" fontId="0" fillId="5" borderId="0" xfId="0" applyFill="1" applyAlignment="1">
      <alignment horizontal="center" wrapText="1"/>
    </xf>
    <xf numFmtId="164" fontId="28" fillId="5" borderId="0" xfId="1" applyNumberFormat="1" applyFont="1" applyFill="1" applyAlignment="1">
      <alignment vertical="center" wrapText="1"/>
    </xf>
    <xf numFmtId="0" fontId="28" fillId="5" borderId="0" xfId="0" applyFont="1" applyFill="1" applyAlignment="1">
      <alignment vertical="center" wrapText="1"/>
    </xf>
    <xf numFmtId="0" fontId="0" fillId="5" borderId="0" xfId="0" applyFill="1" applyAlignment="1">
      <alignment vertical="center" wrapText="1"/>
    </xf>
    <xf numFmtId="0" fontId="0" fillId="5" borderId="0" xfId="0" applyFill="1" applyAlignment="1">
      <alignment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42" xfId="0" applyFont="1" applyBorder="1" applyAlignment="1">
      <alignment horizontal="center"/>
    </xf>
    <xf numFmtId="0" fontId="2" fillId="0" borderId="36" xfId="0" applyFont="1" applyBorder="1" applyAlignment="1">
      <alignment horizontal="center" wrapText="1"/>
    </xf>
    <xf numFmtId="0" fontId="2" fillId="0" borderId="23" xfId="0" applyFont="1" applyBorder="1" applyAlignment="1">
      <alignment horizontal="center" wrapText="1"/>
    </xf>
    <xf numFmtId="0" fontId="2" fillId="0" borderId="42" xfId="0" applyFont="1" applyBorder="1" applyAlignment="1">
      <alignment horizontal="center" wrapText="1"/>
    </xf>
    <xf numFmtId="0" fontId="25" fillId="0" borderId="0" xfId="0" applyFont="1" applyAlignment="1">
      <alignment horizontal="center"/>
    </xf>
    <xf numFmtId="0" fontId="2" fillId="3" borderId="31" xfId="0" applyFont="1" applyFill="1" applyBorder="1" applyAlignment="1">
      <alignment horizontal="center"/>
    </xf>
    <xf numFmtId="0" fontId="2" fillId="3" borderId="9" xfId="0" applyFont="1" applyFill="1" applyBorder="1" applyAlignment="1">
      <alignment horizontal="center"/>
    </xf>
    <xf numFmtId="0" fontId="2" fillId="3" borderId="32" xfId="0" applyFont="1" applyFill="1" applyBorder="1" applyAlignment="1">
      <alignment horizontal="center"/>
    </xf>
    <xf numFmtId="0" fontId="22" fillId="3" borderId="33" xfId="0" applyFont="1" applyFill="1" applyBorder="1" applyAlignment="1">
      <alignment horizontal="center" wrapText="1"/>
    </xf>
    <xf numFmtId="0" fontId="22" fillId="3" borderId="29" xfId="0" applyFont="1" applyFill="1" applyBorder="1" applyAlignment="1">
      <alignment horizontal="center" wrapText="1"/>
    </xf>
    <xf numFmtId="0" fontId="22" fillId="3" borderId="33" xfId="0" applyFont="1" applyFill="1" applyBorder="1" applyAlignment="1">
      <alignment horizontal="center"/>
    </xf>
    <xf numFmtId="0" fontId="22" fillId="3" borderId="29" xfId="0" applyFont="1" applyFill="1" applyBorder="1" applyAlignment="1">
      <alignment horizontal="center"/>
    </xf>
    <xf numFmtId="0" fontId="22" fillId="3" borderId="36"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0" fillId="0" borderId="33" xfId="0" applyBorder="1" applyAlignment="1">
      <alignment horizontal="left"/>
    </xf>
    <xf numFmtId="0" fontId="0" fillId="0" borderId="1" xfId="0" applyBorder="1" applyAlignment="1">
      <alignment horizontal="left"/>
    </xf>
    <xf numFmtId="0" fontId="0" fillId="0" borderId="29" xfId="0" applyBorder="1" applyAlignment="1">
      <alignment horizontal="left"/>
    </xf>
    <xf numFmtId="0" fontId="22" fillId="3" borderId="4" xfId="0" applyFont="1" applyFill="1" applyBorder="1" applyAlignment="1">
      <alignment horizontal="center"/>
    </xf>
    <xf numFmtId="0" fontId="22" fillId="3" borderId="27" xfId="0" applyFont="1" applyFill="1" applyBorder="1" applyAlignment="1">
      <alignment horizontal="center"/>
    </xf>
    <xf numFmtId="0" fontId="22" fillId="3" borderId="22" xfId="0" applyFont="1" applyFill="1" applyBorder="1" applyAlignment="1">
      <alignment horizontal="center"/>
    </xf>
    <xf numFmtId="0" fontId="0" fillId="0" borderId="4" xfId="0" applyBorder="1" applyAlignment="1">
      <alignment horizontal="center"/>
    </xf>
    <xf numFmtId="0" fontId="0" fillId="0" borderId="27" xfId="0" applyBorder="1" applyAlignment="1">
      <alignment horizontal="center"/>
    </xf>
    <xf numFmtId="0" fontId="0" fillId="0" borderId="6" xfId="0" applyBorder="1" applyAlignment="1">
      <alignment horizontal="center"/>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7"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8" xfId="0" applyNumberFormat="1" applyBorder="1" applyAlignment="1">
      <alignment horizontal="center" wrapText="1"/>
    </xf>
    <xf numFmtId="0" fontId="22" fillId="2" borderId="36" xfId="0" applyFont="1" applyFill="1" applyBorder="1" applyAlignment="1">
      <alignment horizontal="center"/>
    </xf>
    <xf numFmtId="0" fontId="22" fillId="2" borderId="23" xfId="0" applyFont="1" applyFill="1" applyBorder="1" applyAlignment="1">
      <alignment horizontal="center"/>
    </xf>
    <xf numFmtId="0" fontId="22" fillId="2" borderId="24" xfId="0" applyFont="1" applyFill="1" applyBorder="1" applyAlignment="1">
      <alignment horizontal="center"/>
    </xf>
    <xf numFmtId="44" fontId="0" fillId="0" borderId="8" xfId="0" applyNumberFormat="1" applyBorder="1" applyAlignment="1">
      <alignment horizontal="left"/>
    </xf>
    <xf numFmtId="44" fontId="0" fillId="0" borderId="30" xfId="0" applyNumberFormat="1" applyBorder="1" applyAlignment="1">
      <alignment horizontal="left"/>
    </xf>
    <xf numFmtId="44" fontId="0" fillId="0" borderId="1" xfId="0" applyNumberFormat="1" applyBorder="1" applyAlignment="1">
      <alignment horizontal="left"/>
    </xf>
    <xf numFmtId="44" fontId="0" fillId="0" borderId="29" xfId="0" applyNumberFormat="1" applyBorder="1" applyAlignment="1">
      <alignment horizontal="left"/>
    </xf>
    <xf numFmtId="0" fontId="0" fillId="0" borderId="33" xfId="0" applyBorder="1" applyAlignment="1">
      <alignment horizontal="center"/>
    </xf>
    <xf numFmtId="0" fontId="0" fillId="0" borderId="1" xfId="0" applyBorder="1" applyAlignment="1">
      <alignment horizontal="center"/>
    </xf>
    <xf numFmtId="0" fontId="0" fillId="0" borderId="29" xfId="0" applyBorder="1" applyAlignment="1">
      <alignment horizontal="center"/>
    </xf>
  </cellXfs>
  <cellStyles count="5">
    <cellStyle name="Comma" xfId="1" builtinId="3"/>
    <cellStyle name="Currency" xfId="2" builtinId="4"/>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219075</xdr:colOff>
      <xdr:row>32</xdr:row>
      <xdr:rowOff>57150</xdr:rowOff>
    </xdr:from>
    <xdr:to>
      <xdr:col>5</xdr:col>
      <xdr:colOff>381000</xdr:colOff>
      <xdr:row>36</xdr:row>
      <xdr:rowOff>171450</xdr:rowOff>
    </xdr:to>
    <xdr:sp macro="" textlink="">
      <xdr:nvSpPr>
        <xdr:cNvPr id="2" name="Right Brace 1"/>
        <xdr:cNvSpPr/>
      </xdr:nvSpPr>
      <xdr:spPr>
        <a:xfrm>
          <a:off x="8410575" y="6858000"/>
          <a:ext cx="161925" cy="876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247650</xdr:colOff>
      <xdr:row>48</xdr:row>
      <xdr:rowOff>47625</xdr:rowOff>
    </xdr:from>
    <xdr:to>
      <xdr:col>5</xdr:col>
      <xdr:colOff>293369</xdr:colOff>
      <xdr:row>49</xdr:row>
      <xdr:rowOff>200025</xdr:rowOff>
    </xdr:to>
    <xdr:sp macro="" textlink="">
      <xdr:nvSpPr>
        <xdr:cNvPr id="4" name="Right Brace 3"/>
        <xdr:cNvSpPr/>
      </xdr:nvSpPr>
      <xdr:spPr>
        <a:xfrm>
          <a:off x="8439150" y="9915525"/>
          <a:ext cx="45719" cy="342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52</xdr:row>
      <xdr:rowOff>161925</xdr:rowOff>
    </xdr:from>
    <xdr:to>
      <xdr:col>5</xdr:col>
      <xdr:colOff>323850</xdr:colOff>
      <xdr:row>59</xdr:row>
      <xdr:rowOff>142875</xdr:rowOff>
    </xdr:to>
    <xdr:sp macro="" textlink="">
      <xdr:nvSpPr>
        <xdr:cNvPr id="5" name="Right Brace 4"/>
        <xdr:cNvSpPr/>
      </xdr:nvSpPr>
      <xdr:spPr>
        <a:xfrm>
          <a:off x="8429625" y="10839450"/>
          <a:ext cx="85725" cy="1400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161925</xdr:colOff>
      <xdr:row>82</xdr:row>
      <xdr:rowOff>114300</xdr:rowOff>
    </xdr:from>
    <xdr:to>
      <xdr:col>5</xdr:col>
      <xdr:colOff>207644</xdr:colOff>
      <xdr:row>83</xdr:row>
      <xdr:rowOff>180975</xdr:rowOff>
    </xdr:to>
    <xdr:sp macro="" textlink="">
      <xdr:nvSpPr>
        <xdr:cNvPr id="6" name="Right Brace 5"/>
        <xdr:cNvSpPr/>
      </xdr:nvSpPr>
      <xdr:spPr>
        <a:xfrm>
          <a:off x="8353425" y="16744950"/>
          <a:ext cx="45719" cy="257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46</xdr:row>
      <xdr:rowOff>180974</xdr:rowOff>
    </xdr:from>
    <xdr:to>
      <xdr:col>5</xdr:col>
      <xdr:colOff>304800</xdr:colOff>
      <xdr:row>48</xdr:row>
      <xdr:rowOff>19049</xdr:rowOff>
    </xdr:to>
    <xdr:sp macro="" textlink="">
      <xdr:nvSpPr>
        <xdr:cNvPr id="7" name="Right Brace 6"/>
        <xdr:cNvSpPr/>
      </xdr:nvSpPr>
      <xdr:spPr>
        <a:xfrm>
          <a:off x="8429625" y="9667874"/>
          <a:ext cx="66675" cy="219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10</xdr:row>
      <xdr:rowOff>38100</xdr:rowOff>
    </xdr:from>
    <xdr:to>
      <xdr:col>5</xdr:col>
      <xdr:colOff>74294</xdr:colOff>
      <xdr:row>11</xdr:row>
      <xdr:rowOff>190500</xdr:rowOff>
    </xdr:to>
    <xdr:sp macro="" textlink="">
      <xdr:nvSpPr>
        <xdr:cNvPr id="4" name="Right Brace 3"/>
        <xdr:cNvSpPr/>
      </xdr:nvSpPr>
      <xdr:spPr>
        <a:xfrm>
          <a:off x="5505450" y="2409825"/>
          <a:ext cx="45719"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9"/>
  <sheetViews>
    <sheetView showGridLines="0" tabSelected="1" topLeftCell="A40" zoomScaleNormal="100" workbookViewId="0">
      <selection activeCell="B42" sqref="B42"/>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13.28515625" customWidth="1"/>
    <col min="9" max="9" width="14.85546875" customWidth="1"/>
    <col min="10" max="10" width="14.28515625" bestFit="1" customWidth="1"/>
    <col min="11" max="11" width="14.7109375" customWidth="1"/>
    <col min="12" max="12" width="15.140625" bestFit="1" customWidth="1"/>
    <col min="13" max="13" width="14.28515625" bestFit="1" customWidth="1"/>
    <col min="14" max="17" width="14.85546875" customWidth="1"/>
    <col min="18" max="18" width="13.140625" customWidth="1"/>
    <col min="19" max="19" width="13.42578125" customWidth="1"/>
    <col min="20" max="20" width="12.42578125" customWidth="1"/>
    <col min="21" max="21" width="13.28515625" customWidth="1"/>
    <col min="22" max="22" width="12.7109375" customWidth="1"/>
    <col min="23" max="23" width="14.28515625" bestFit="1" customWidth="1"/>
    <col min="24" max="25" width="11.5703125" bestFit="1" customWidth="1"/>
    <col min="26" max="26" width="12.5703125" bestFit="1" customWidth="1"/>
  </cols>
  <sheetData>
    <row r="1" spans="1:23" ht="18.75" x14ac:dyDescent="0.3">
      <c r="B1" s="1" t="s">
        <v>206</v>
      </c>
      <c r="G1" s="1"/>
    </row>
    <row r="3" spans="1:23" x14ac:dyDescent="0.25">
      <c r="B3" s="2" t="s">
        <v>0</v>
      </c>
      <c r="G3" s="3"/>
      <c r="H3" s="3"/>
      <c r="I3" s="3"/>
      <c r="J3" s="3"/>
      <c r="K3" s="3"/>
      <c r="L3" s="3"/>
      <c r="M3" s="3"/>
      <c r="N3" s="3"/>
      <c r="O3" s="3"/>
      <c r="P3" s="3"/>
    </row>
    <row r="4" spans="1:23" ht="30" x14ac:dyDescent="0.25">
      <c r="B4" s="2"/>
      <c r="C4" s="107" t="s">
        <v>1</v>
      </c>
      <c r="D4" s="106" t="s">
        <v>2</v>
      </c>
      <c r="E4" s="106" t="s">
        <v>3</v>
      </c>
      <c r="G4" s="77"/>
      <c r="H4" s="77"/>
      <c r="I4" s="77"/>
      <c r="J4" s="119"/>
      <c r="K4" s="119"/>
      <c r="L4" s="119"/>
      <c r="M4" s="119"/>
      <c r="N4" s="119"/>
      <c r="O4" s="119"/>
      <c r="P4" s="119"/>
      <c r="Q4" s="119"/>
      <c r="R4" s="119"/>
      <c r="S4" s="119"/>
      <c r="T4" s="119"/>
      <c r="U4" s="119"/>
      <c r="V4" s="119"/>
    </row>
    <row r="5" spans="1:23" x14ac:dyDescent="0.25">
      <c r="A5" s="21"/>
      <c r="B5" s="224" t="s">
        <v>4</v>
      </c>
      <c r="D5" s="6">
        <f>E5</f>
        <v>286817038</v>
      </c>
      <c r="E5" s="114">
        <v>286817038</v>
      </c>
      <c r="G5" s="224"/>
      <c r="H5" s="77"/>
      <c r="I5" s="77"/>
      <c r="J5" s="77"/>
      <c r="K5" s="79"/>
      <c r="L5" s="79"/>
      <c r="M5" s="79"/>
      <c r="N5" s="79"/>
      <c r="O5" s="5"/>
      <c r="P5" s="79"/>
      <c r="Q5" s="5"/>
      <c r="R5" s="5"/>
      <c r="S5" s="5"/>
      <c r="T5" s="5"/>
      <c r="U5" s="5"/>
      <c r="V5" s="5"/>
      <c r="W5" s="55"/>
    </row>
    <row r="6" spans="1:23" x14ac:dyDescent="0.25">
      <c r="A6" s="21"/>
      <c r="B6" s="224" t="s">
        <v>5</v>
      </c>
      <c r="D6" s="5">
        <f>E6</f>
        <v>1665506.7299999997</v>
      </c>
      <c r="E6" s="114">
        <v>1665506.7299999997</v>
      </c>
      <c r="G6" s="224"/>
      <c r="H6" s="77"/>
      <c r="I6" s="77"/>
      <c r="J6" s="77"/>
      <c r="K6" s="79"/>
      <c r="L6" s="79"/>
      <c r="M6" s="79"/>
      <c r="N6" s="79"/>
      <c r="O6" s="5"/>
      <c r="P6" s="79"/>
      <c r="Q6" s="5"/>
      <c r="R6" s="5"/>
      <c r="S6" s="5"/>
      <c r="T6" s="5"/>
      <c r="U6" s="5"/>
      <c r="V6" s="5"/>
      <c r="W6" s="55"/>
    </row>
    <row r="7" spans="1:23" x14ac:dyDescent="0.25">
      <c r="A7" s="21"/>
      <c r="B7" s="224" t="s">
        <v>6</v>
      </c>
      <c r="D7" s="113">
        <v>-45731417.789999999</v>
      </c>
      <c r="G7" s="224"/>
      <c r="H7" s="77"/>
      <c r="I7" s="77"/>
      <c r="J7" s="77"/>
      <c r="K7" s="5"/>
      <c r="L7" s="5"/>
      <c r="M7" s="5"/>
      <c r="N7" s="5"/>
      <c r="O7" s="5"/>
      <c r="P7" s="5"/>
      <c r="Q7" s="5"/>
      <c r="R7" s="5"/>
      <c r="S7" s="5"/>
      <c r="T7" s="5"/>
      <c r="U7" s="5"/>
      <c r="V7" s="5"/>
      <c r="W7" s="55"/>
    </row>
    <row r="8" spans="1:23" x14ac:dyDescent="0.25">
      <c r="B8" s="4"/>
      <c r="D8" s="10">
        <f>SUM(D5:D7)</f>
        <v>242751126.94000003</v>
      </c>
      <c r="E8" s="10">
        <f>SUM(E5:E7)</f>
        <v>288482544.73000002</v>
      </c>
      <c r="G8" s="224"/>
      <c r="H8" s="77"/>
      <c r="I8" s="78"/>
      <c r="J8" s="78"/>
      <c r="K8" s="245"/>
      <c r="L8" s="245"/>
      <c r="M8" s="245"/>
      <c r="N8" s="245"/>
      <c r="O8" s="245"/>
      <c r="P8" s="245"/>
      <c r="Q8" s="245"/>
      <c r="R8" s="245"/>
      <c r="S8" s="245"/>
      <c r="T8" s="245"/>
      <c r="U8" s="245"/>
      <c r="V8" s="245"/>
      <c r="W8" s="120"/>
    </row>
    <row r="9" spans="1:23" x14ac:dyDescent="0.25">
      <c r="B9" s="4"/>
      <c r="D9" s="6"/>
      <c r="G9" s="4"/>
      <c r="H9" s="11"/>
      <c r="I9" s="12"/>
      <c r="J9" s="11"/>
      <c r="K9" s="13"/>
      <c r="L9" s="12"/>
      <c r="M9" s="11"/>
      <c r="N9" s="13"/>
      <c r="O9" s="13"/>
      <c r="P9" s="3"/>
    </row>
    <row r="10" spans="1:23" x14ac:dyDescent="0.25">
      <c r="B10" t="s">
        <v>7</v>
      </c>
      <c r="C10" s="15">
        <f>+C27</f>
        <v>0.64288068722945835</v>
      </c>
      <c r="D10" s="6">
        <f>+D8*C10</f>
        <v>156060011.3129127</v>
      </c>
      <c r="E10" s="7">
        <f>+D10</f>
        <v>156060011.3129127</v>
      </c>
      <c r="G10" s="16"/>
      <c r="H10" s="17"/>
      <c r="I10" s="18"/>
      <c r="J10" s="19"/>
      <c r="K10" s="93"/>
      <c r="L10" s="93"/>
      <c r="M10" s="93"/>
      <c r="N10" s="93"/>
      <c r="O10" s="93"/>
      <c r="P10" s="93"/>
      <c r="Q10" s="93"/>
      <c r="R10" s="93"/>
      <c r="S10" s="93"/>
      <c r="T10" s="93"/>
      <c r="U10" s="93"/>
      <c r="V10" s="93"/>
      <c r="W10" s="93"/>
    </row>
    <row r="11" spans="1:23" x14ac:dyDescent="0.25">
      <c r="B11" t="s">
        <v>8</v>
      </c>
      <c r="C11" s="15">
        <f>+C28</f>
        <v>0.3571193127705416</v>
      </c>
      <c r="D11" s="6">
        <f>+D8*C11</f>
        <v>86691115.62708731</v>
      </c>
      <c r="E11" s="7">
        <f>+D11-D7</f>
        <v>132422533.41708732</v>
      </c>
      <c r="F11" s="21"/>
      <c r="G11" s="16"/>
      <c r="H11" s="17"/>
      <c r="I11" s="18"/>
      <c r="J11" s="19"/>
      <c r="K11" s="93"/>
      <c r="L11" s="93"/>
      <c r="M11" s="93"/>
      <c r="N11" s="93"/>
      <c r="O11" s="93"/>
      <c r="P11" s="93"/>
      <c r="Q11" s="93"/>
      <c r="R11" s="93"/>
      <c r="S11" s="93"/>
      <c r="T11" s="93"/>
      <c r="U11" s="93"/>
      <c r="V11" s="93"/>
    </row>
    <row r="12" spans="1:23" ht="15.75" thickBot="1" x14ac:dyDescent="0.3">
      <c r="B12" t="s">
        <v>9</v>
      </c>
      <c r="C12" s="22">
        <f>+C10+C11</f>
        <v>1</v>
      </c>
      <c r="D12" s="23">
        <f>+D10+D11</f>
        <v>242751126.94</v>
      </c>
      <c r="E12" s="23">
        <f>+E10+E11</f>
        <v>288482544.73000002</v>
      </c>
      <c r="G12" s="3"/>
      <c r="H12" s="11"/>
      <c r="I12" s="18"/>
      <c r="J12" s="19"/>
      <c r="K12" s="20"/>
      <c r="L12" s="18"/>
      <c r="M12" s="20"/>
      <c r="N12" s="19"/>
      <c r="O12" s="19"/>
      <c r="P12" s="3"/>
    </row>
    <row r="13" spans="1:23" ht="15.75" thickTop="1" x14ac:dyDescent="0.25">
      <c r="G13" s="3"/>
      <c r="H13" s="3"/>
      <c r="I13" s="3"/>
      <c r="J13" s="3"/>
      <c r="K13" s="3"/>
      <c r="L13" s="3"/>
      <c r="M13" s="3"/>
      <c r="N13" s="3"/>
      <c r="O13" s="3"/>
      <c r="P13" s="3"/>
    </row>
    <row r="14" spans="1:23" x14ac:dyDescent="0.25">
      <c r="B14" s="24" t="s">
        <v>10</v>
      </c>
      <c r="G14" s="3"/>
      <c r="H14" s="17"/>
      <c r="I14" s="18"/>
      <c r="J14" s="19"/>
      <c r="K14" s="20"/>
      <c r="L14" s="18"/>
      <c r="M14" s="20"/>
      <c r="N14" s="19"/>
      <c r="O14" s="19"/>
      <c r="P14" s="3"/>
    </row>
    <row r="15" spans="1:23" x14ac:dyDescent="0.25">
      <c r="B15" s="24"/>
      <c r="C15" s="106" t="s">
        <v>12</v>
      </c>
      <c r="D15" s="106" t="s">
        <v>11</v>
      </c>
      <c r="E15" s="107"/>
      <c r="H15" s="25"/>
      <c r="I15" s="7"/>
      <c r="J15" s="26"/>
      <c r="K15" s="14"/>
      <c r="L15" s="7"/>
      <c r="M15" s="14"/>
      <c r="N15" s="26"/>
      <c r="O15" s="26"/>
    </row>
    <row r="16" spans="1:23" ht="14.45" x14ac:dyDescent="0.3">
      <c r="B16" t="s">
        <v>13</v>
      </c>
      <c r="C16" s="15">
        <f>C33</f>
        <v>8.0614973062861708E-2</v>
      </c>
      <c r="D16" s="27">
        <f>+C16*$D$10</f>
        <v>12580773.608180352</v>
      </c>
      <c r="E16" s="29"/>
      <c r="H16" s="25"/>
      <c r="I16" s="7"/>
      <c r="J16" s="26"/>
      <c r="K16" s="14"/>
      <c r="L16" s="7"/>
      <c r="M16" s="14"/>
      <c r="N16" s="26"/>
      <c r="O16" s="26"/>
    </row>
    <row r="17" spans="1:23" ht="14.45" x14ac:dyDescent="0.3">
      <c r="B17" t="s">
        <v>14</v>
      </c>
      <c r="C17" s="15">
        <f t="shared" ref="C17:C20" si="0">C34</f>
        <v>3.4790631640773395E-2</v>
      </c>
      <c r="D17" s="27">
        <f t="shared" ref="D17:D20" si="1">+C17*$D$10</f>
        <v>5429426.3674424747</v>
      </c>
      <c r="E17" s="29"/>
      <c r="H17" s="25"/>
      <c r="I17" s="7"/>
      <c r="J17" s="26"/>
      <c r="K17" s="14"/>
      <c r="L17" s="7"/>
      <c r="M17" s="14"/>
      <c r="N17" s="26"/>
      <c r="O17" s="26"/>
    </row>
    <row r="18" spans="1:23" ht="14.45" x14ac:dyDescent="0.3">
      <c r="B18" t="s">
        <v>15</v>
      </c>
      <c r="C18" s="15">
        <f t="shared" si="0"/>
        <v>0.57344132112758883</v>
      </c>
      <c r="D18" s="27">
        <f t="shared" si="1"/>
        <v>89491259.06246312</v>
      </c>
      <c r="E18" s="29"/>
      <c r="H18" s="25"/>
      <c r="I18" s="7"/>
      <c r="J18" s="26"/>
      <c r="K18" s="14"/>
      <c r="L18" s="7"/>
      <c r="M18" s="14"/>
      <c r="N18" s="26"/>
      <c r="O18" s="26"/>
    </row>
    <row r="19" spans="1:23" ht="14.45" x14ac:dyDescent="0.3">
      <c r="B19" t="s">
        <v>16</v>
      </c>
      <c r="C19" s="15">
        <f t="shared" si="0"/>
        <v>0.15112405143440555</v>
      </c>
      <c r="D19" s="27">
        <f t="shared" si="1"/>
        <v>23584421.17650653</v>
      </c>
      <c r="E19" s="29"/>
      <c r="H19" s="25"/>
      <c r="I19" s="7"/>
      <c r="J19" s="26"/>
      <c r="K19" s="14"/>
      <c r="L19" s="7"/>
      <c r="M19" s="14"/>
      <c r="N19" s="26"/>
      <c r="O19" s="26"/>
    </row>
    <row r="20" spans="1:23" ht="14.45" x14ac:dyDescent="0.3">
      <c r="B20" t="s">
        <v>17</v>
      </c>
      <c r="C20" s="15">
        <f t="shared" si="0"/>
        <v>0.16002902273437059</v>
      </c>
      <c r="D20" s="27">
        <f t="shared" si="1"/>
        <v>24974131.098320238</v>
      </c>
      <c r="E20" s="29"/>
      <c r="H20" s="25"/>
      <c r="I20" s="7"/>
      <c r="J20" s="26"/>
      <c r="K20" s="14"/>
      <c r="L20" s="7"/>
      <c r="M20" s="14"/>
      <c r="N20" s="26"/>
      <c r="O20" s="26"/>
    </row>
    <row r="21" spans="1:23" thickBot="1" x14ac:dyDescent="0.35">
      <c r="C21" s="22">
        <f>SUM(C16:C20)</f>
        <v>1</v>
      </c>
      <c r="D21" s="23">
        <f>SUM(D16:D20)</f>
        <v>156060011.3129127</v>
      </c>
      <c r="H21" s="25"/>
      <c r="I21" s="7"/>
      <c r="J21" s="26"/>
      <c r="K21" s="14"/>
      <c r="L21" s="7"/>
      <c r="M21" s="14"/>
      <c r="N21" s="26"/>
      <c r="O21" s="26"/>
    </row>
    <row r="22" spans="1:23" thickTop="1" x14ac:dyDescent="0.3">
      <c r="H22" s="25"/>
      <c r="I22" s="7"/>
      <c r="J22" s="26"/>
      <c r="K22" s="14"/>
      <c r="L22" s="7"/>
      <c r="M22" s="14"/>
      <c r="N22" s="26"/>
      <c r="O22" s="26"/>
    </row>
    <row r="23" spans="1:23" ht="14.45" x14ac:dyDescent="0.3">
      <c r="B23" s="24" t="s">
        <v>18</v>
      </c>
    </row>
    <row r="24" spans="1:23" ht="30.75" customHeight="1" x14ac:dyDescent="0.3">
      <c r="B24" s="24"/>
      <c r="C24" s="107" t="s">
        <v>1</v>
      </c>
      <c r="D24" s="106" t="s">
        <v>2</v>
      </c>
      <c r="E24" s="106" t="s">
        <v>3</v>
      </c>
      <c r="G24" s="21"/>
      <c r="H24" s="108"/>
      <c r="I24" s="108"/>
      <c r="J24" s="21"/>
      <c r="K24" s="21"/>
      <c r="L24" s="21"/>
      <c r="M24" s="21"/>
      <c r="N24" s="21"/>
      <c r="O24" s="21"/>
      <c r="P24" s="21"/>
      <c r="Q24" s="21"/>
      <c r="R24" s="21"/>
      <c r="S24" s="21"/>
      <c r="T24" s="21"/>
      <c r="U24" s="21"/>
      <c r="V24" s="21"/>
      <c r="W24" s="21"/>
    </row>
    <row r="25" spans="1:23" ht="14.45" x14ac:dyDescent="0.3">
      <c r="B25" s="224" t="s">
        <v>19</v>
      </c>
      <c r="D25" s="30">
        <f>+D29</f>
        <v>244539328.66999999</v>
      </c>
      <c r="E25" s="7">
        <f>+E29</f>
        <v>290270746.45999998</v>
      </c>
      <c r="G25" s="21"/>
      <c r="H25" s="47"/>
      <c r="I25" s="21"/>
      <c r="J25" s="21"/>
      <c r="K25" s="21"/>
      <c r="L25" s="21"/>
      <c r="M25" s="21"/>
      <c r="N25" s="21"/>
      <c r="O25" s="21"/>
      <c r="P25" s="21"/>
      <c r="Q25" s="21"/>
      <c r="R25" s="21"/>
      <c r="S25" s="21"/>
      <c r="T25" s="21"/>
      <c r="U25" s="21"/>
      <c r="V25" s="21"/>
      <c r="W25" s="21"/>
    </row>
    <row r="26" spans="1:23" ht="14.45" x14ac:dyDescent="0.3">
      <c r="B26" s="224"/>
      <c r="G26" s="21"/>
      <c r="H26" s="21"/>
      <c r="I26" s="21"/>
      <c r="J26" s="21"/>
      <c r="K26" s="119"/>
      <c r="L26" s="119"/>
      <c r="M26" s="119"/>
      <c r="N26" s="119"/>
      <c r="O26" s="119"/>
      <c r="P26" s="119"/>
      <c r="Q26" s="119"/>
      <c r="R26" s="119"/>
      <c r="S26" s="119"/>
      <c r="T26" s="119"/>
      <c r="U26" s="119"/>
      <c r="V26" s="119"/>
      <c r="W26" s="21"/>
    </row>
    <row r="27" spans="1:23" ht="14.45" x14ac:dyDescent="0.3">
      <c r="B27" s="21" t="s">
        <v>20</v>
      </c>
      <c r="C27" s="15">
        <f>+D27/D29</f>
        <v>0.64288068722945835</v>
      </c>
      <c r="D27" s="5">
        <f>D38</f>
        <v>157209611.66999999</v>
      </c>
      <c r="E27" s="7">
        <f>+D27</f>
        <v>157209611.66999999</v>
      </c>
      <c r="G27" s="21"/>
      <c r="H27" s="21"/>
      <c r="I27" s="21"/>
      <c r="J27" s="21"/>
      <c r="K27" s="5"/>
      <c r="L27" s="5"/>
      <c r="M27" s="5"/>
      <c r="N27" s="5"/>
      <c r="O27" s="21"/>
      <c r="P27" s="21"/>
      <c r="Q27" s="21"/>
      <c r="R27" s="21"/>
      <c r="S27" s="21"/>
      <c r="T27" s="21"/>
      <c r="U27" s="21"/>
      <c r="V27" s="21"/>
      <c r="W27" s="21"/>
    </row>
    <row r="28" spans="1:23" ht="14.45" x14ac:dyDescent="0.3">
      <c r="A28" s="21"/>
      <c r="B28" s="21" t="s">
        <v>21</v>
      </c>
      <c r="C28" s="15">
        <f>+D28/D29</f>
        <v>0.3571193127705416</v>
      </c>
      <c r="D28" s="113">
        <v>87329717</v>
      </c>
      <c r="E28" s="7">
        <f>+D28-D7</f>
        <v>133061134.78999999</v>
      </c>
      <c r="F28" s="7"/>
      <c r="G28" s="21"/>
      <c r="H28" s="21"/>
      <c r="I28" s="47"/>
      <c r="J28" s="21"/>
      <c r="K28" s="5"/>
      <c r="L28" s="5"/>
      <c r="M28" s="5"/>
      <c r="N28" s="5"/>
      <c r="O28" s="5"/>
      <c r="P28" s="5"/>
      <c r="Q28" s="5"/>
      <c r="R28" s="5"/>
      <c r="S28" s="5"/>
      <c r="T28" s="5"/>
      <c r="U28" s="5"/>
      <c r="V28" s="5"/>
      <c r="W28" s="47"/>
    </row>
    <row r="29" spans="1:23" thickBot="1" x14ac:dyDescent="0.35">
      <c r="B29" s="21" t="s">
        <v>22</v>
      </c>
      <c r="C29" s="22">
        <f>+C27+C28</f>
        <v>1</v>
      </c>
      <c r="D29" s="23">
        <f>+D27+D28</f>
        <v>244539328.66999999</v>
      </c>
      <c r="E29" s="23">
        <f>+E27+E28</f>
        <v>290270746.45999998</v>
      </c>
      <c r="F29" s="6"/>
      <c r="G29" s="32"/>
    </row>
    <row r="30" spans="1:23" thickTop="1" x14ac:dyDescent="0.3">
      <c r="G30" s="14"/>
    </row>
    <row r="31" spans="1:23" x14ac:dyDescent="0.3">
      <c r="B31" s="24" t="s">
        <v>23</v>
      </c>
      <c r="D31" s="7">
        <f>D29-D12</f>
        <v>1788201.7299999893</v>
      </c>
      <c r="E31" s="7">
        <f>D31*0.09</f>
        <v>160938.15569999904</v>
      </c>
    </row>
    <row r="32" spans="1:23" ht="31.15" customHeight="1" x14ac:dyDescent="0.3">
      <c r="B32" s="24"/>
      <c r="C32" s="106" t="s">
        <v>12</v>
      </c>
      <c r="D32" s="106" t="s">
        <v>11</v>
      </c>
      <c r="E32" s="107" t="s">
        <v>24</v>
      </c>
      <c r="F32" s="33"/>
      <c r="G32" s="33"/>
      <c r="H32" s="33"/>
      <c r="I32" s="33"/>
      <c r="J32" s="33" t="s">
        <v>133</v>
      </c>
      <c r="K32" s="119"/>
      <c r="L32" s="119"/>
      <c r="M32" s="119"/>
      <c r="N32" s="119"/>
    </row>
    <row r="33" spans="1:27" x14ac:dyDescent="0.25">
      <c r="A33" s="21"/>
      <c r="B33" s="21" t="s">
        <v>13</v>
      </c>
      <c r="C33" s="15">
        <f>D33/D$38</f>
        <v>8.0614973062861708E-2</v>
      </c>
      <c r="D33" s="225">
        <v>12673448.609999999</v>
      </c>
      <c r="E33" s="29">
        <f>J33/D33</f>
        <v>7.7000202551813557E-2</v>
      </c>
      <c r="F33" s="29"/>
      <c r="G33" s="386" t="s">
        <v>213</v>
      </c>
      <c r="H33" s="387"/>
      <c r="I33" s="28"/>
      <c r="J33" s="269">
        <v>975858.11</v>
      </c>
      <c r="K33" s="21"/>
      <c r="L33" s="21"/>
      <c r="M33" s="21"/>
      <c r="N33" s="21"/>
      <c r="O33" s="7"/>
    </row>
    <row r="34" spans="1:27" x14ac:dyDescent="0.25">
      <c r="A34" s="21"/>
      <c r="B34" s="21" t="s">
        <v>14</v>
      </c>
      <c r="C34" s="15">
        <f>D34/D$38</f>
        <v>3.4790631640773395E-2</v>
      </c>
      <c r="D34" s="225">
        <v>5469421.6900000004</v>
      </c>
      <c r="E34" s="29">
        <f>J34/D34</f>
        <v>8.9000036491975063E-2</v>
      </c>
      <c r="F34" s="29"/>
      <c r="G34" s="387"/>
      <c r="H34" s="387"/>
      <c r="I34" s="28"/>
      <c r="J34" s="269">
        <v>486778.73</v>
      </c>
      <c r="K34" s="21"/>
      <c r="L34" s="21"/>
      <c r="M34" s="21"/>
      <c r="N34" s="21"/>
      <c r="O34" s="7"/>
    </row>
    <row r="35" spans="1:27" x14ac:dyDescent="0.25">
      <c r="A35" s="21"/>
      <c r="B35" s="21" t="s">
        <v>15</v>
      </c>
      <c r="C35" s="15">
        <f>D35/D$38</f>
        <v>0.57344132112758883</v>
      </c>
      <c r="D35" s="225">
        <v>90150487.409999996</v>
      </c>
      <c r="E35" s="29">
        <f>J35/D35</f>
        <v>6.5000097596255482E-2</v>
      </c>
      <c r="F35" s="29"/>
      <c r="G35" s="387"/>
      <c r="H35" s="387"/>
      <c r="I35" s="28"/>
      <c r="J35" s="269">
        <v>5859790.4800000004</v>
      </c>
      <c r="K35" s="21"/>
      <c r="L35" s="21"/>
      <c r="M35" s="21"/>
      <c r="N35" s="21"/>
      <c r="O35" s="7"/>
    </row>
    <row r="36" spans="1:27" x14ac:dyDescent="0.25">
      <c r="A36" s="21"/>
      <c r="B36" s="21" t="s">
        <v>16</v>
      </c>
      <c r="C36" s="15">
        <f>D36/D$38</f>
        <v>0.15112405143440555</v>
      </c>
      <c r="D36" s="225">
        <v>23758153.440000001</v>
      </c>
      <c r="E36" s="29">
        <f>J36/D36</f>
        <v>9.4000293652451453E-2</v>
      </c>
      <c r="F36" s="29"/>
      <c r="G36" s="387"/>
      <c r="H36" s="387"/>
      <c r="I36" s="28"/>
      <c r="J36" s="269">
        <v>2233273.4</v>
      </c>
      <c r="K36" s="21"/>
      <c r="L36" s="21"/>
      <c r="M36" s="21"/>
      <c r="N36" s="21"/>
      <c r="O36" s="7"/>
    </row>
    <row r="37" spans="1:27" x14ac:dyDescent="0.25">
      <c r="A37" s="21"/>
      <c r="B37" s="21" t="s">
        <v>85</v>
      </c>
      <c r="C37" s="15">
        <f>D37/D$38</f>
        <v>0.16002902273437059</v>
      </c>
      <c r="D37" s="225">
        <v>25158100.52</v>
      </c>
      <c r="E37" s="29">
        <f>J37/D37</f>
        <v>0.1320004074775038</v>
      </c>
      <c r="F37" s="29"/>
      <c r="G37" s="387"/>
      <c r="H37" s="387"/>
      <c r="I37" s="28"/>
      <c r="J37" s="269">
        <v>3320879.52</v>
      </c>
      <c r="K37" s="21"/>
      <c r="L37" s="21"/>
      <c r="M37" s="21"/>
      <c r="N37" s="21"/>
      <c r="O37" s="7"/>
    </row>
    <row r="38" spans="1:27" ht="15.75" thickBot="1" x14ac:dyDescent="0.3">
      <c r="B38" s="21" t="s">
        <v>86</v>
      </c>
      <c r="C38" s="22">
        <f>SUM(C33:C37)</f>
        <v>1</v>
      </c>
      <c r="D38" s="23">
        <f>SUM(D33:D37)</f>
        <v>157209611.66999999</v>
      </c>
      <c r="G38" s="47"/>
      <c r="H38" s="21"/>
      <c r="I38" s="21"/>
      <c r="J38" s="69">
        <f>SUM(J33:J37)</f>
        <v>12876580.24</v>
      </c>
      <c r="K38" s="122"/>
      <c r="L38" s="122"/>
      <c r="M38" s="122"/>
      <c r="N38" s="122"/>
    </row>
    <row r="39" spans="1:27" ht="15.75" thickTop="1" x14ac:dyDescent="0.25"/>
    <row r="40" spans="1:27" x14ac:dyDescent="0.25">
      <c r="B40" s="24" t="s">
        <v>25</v>
      </c>
      <c r="N40" s="21"/>
      <c r="O40" s="21"/>
      <c r="P40" s="21"/>
      <c r="Q40" s="21"/>
      <c r="R40" s="21"/>
      <c r="S40" s="21"/>
      <c r="T40" s="21"/>
      <c r="U40" s="21"/>
      <c r="V40" s="21"/>
      <c r="W40" s="21"/>
      <c r="X40" s="21"/>
      <c r="Y40" s="21"/>
      <c r="Z40" s="21"/>
      <c r="AA40" s="21"/>
    </row>
    <row r="41" spans="1:27" x14ac:dyDescent="0.25">
      <c r="B41" s="2"/>
      <c r="C41" s="106" t="s">
        <v>26</v>
      </c>
      <c r="N41" s="21"/>
      <c r="O41" s="21"/>
      <c r="P41" s="21"/>
      <c r="Q41" s="21"/>
      <c r="R41" s="21"/>
      <c r="S41" s="21"/>
      <c r="T41" s="21"/>
      <c r="U41" s="21"/>
      <c r="V41" s="21"/>
      <c r="W41" s="21"/>
      <c r="X41" s="21"/>
      <c r="Y41" s="21"/>
      <c r="Z41" s="21"/>
      <c r="AA41" s="21"/>
    </row>
    <row r="42" spans="1:27" x14ac:dyDescent="0.25">
      <c r="B42" s="2" t="s">
        <v>27</v>
      </c>
      <c r="C42" s="106" t="s">
        <v>28</v>
      </c>
      <c r="N42" s="119"/>
      <c r="O42" s="119"/>
      <c r="P42" s="119"/>
      <c r="Q42" s="119"/>
      <c r="R42" s="119"/>
      <c r="S42" s="119"/>
      <c r="T42" s="119"/>
      <c r="U42" s="119"/>
      <c r="V42" s="119"/>
      <c r="W42" s="119"/>
      <c r="X42" s="119"/>
      <c r="Y42" s="119"/>
      <c r="Z42" s="21"/>
      <c r="AA42" s="21"/>
    </row>
    <row r="43" spans="1:27" x14ac:dyDescent="0.25">
      <c r="B43" t="s">
        <v>29</v>
      </c>
      <c r="C43" s="25">
        <f>+C84</f>
        <v>2.5022866402453468E-2</v>
      </c>
      <c r="D43" s="226"/>
      <c r="G43" s="31"/>
      <c r="H43" s="35"/>
      <c r="N43" s="5"/>
      <c r="O43" s="5"/>
      <c r="P43" s="5"/>
      <c r="Q43" s="5"/>
      <c r="R43" s="5"/>
      <c r="S43" s="5"/>
      <c r="T43" s="5"/>
      <c r="U43" s="5"/>
      <c r="V43" s="5"/>
      <c r="W43" s="5"/>
      <c r="X43" s="5"/>
      <c r="Y43" s="5"/>
      <c r="Z43" s="5"/>
      <c r="AA43" s="21"/>
    </row>
    <row r="44" spans="1:27" x14ac:dyDescent="0.25">
      <c r="B44" t="s">
        <v>30</v>
      </c>
      <c r="C44" s="25">
        <f>+C85</f>
        <v>2.585509473201043E-2</v>
      </c>
      <c r="D44" s="226"/>
      <c r="E44" s="31"/>
      <c r="G44" s="31"/>
      <c r="H44" s="35"/>
      <c r="N44" s="5"/>
      <c r="O44" s="5"/>
      <c r="P44" s="5"/>
      <c r="Q44" s="5"/>
      <c r="R44" s="5"/>
      <c r="S44" s="5"/>
      <c r="T44" s="5"/>
      <c r="U44" s="5"/>
      <c r="V44" s="5"/>
      <c r="W44" s="5"/>
      <c r="X44" s="5"/>
      <c r="Y44" s="5"/>
      <c r="Z44" s="5"/>
      <c r="AA44" s="21"/>
    </row>
    <row r="45" spans="1:27" x14ac:dyDescent="0.25">
      <c r="A45" s="21"/>
      <c r="B45" s="21" t="s">
        <v>31</v>
      </c>
      <c r="C45" s="227">
        <v>8.0706489865299796E-2</v>
      </c>
      <c r="D45" s="21"/>
      <c r="E45" s="37"/>
      <c r="N45" s="250"/>
      <c r="O45" s="250"/>
      <c r="P45" s="250"/>
      <c r="Q45" s="250"/>
      <c r="R45" s="250"/>
      <c r="S45" s="250"/>
      <c r="T45" s="250"/>
      <c r="U45" s="250"/>
      <c r="V45" s="250"/>
      <c r="W45" s="250"/>
      <c r="X45" s="250"/>
      <c r="Y45" s="250"/>
      <c r="Z45" s="250"/>
      <c r="AA45" s="21"/>
    </row>
    <row r="46" spans="1:27" x14ac:dyDescent="0.25">
      <c r="B46" s="21" t="s">
        <v>32</v>
      </c>
      <c r="C46" s="228" t="s">
        <v>183</v>
      </c>
      <c r="D46" s="21"/>
      <c r="E46" s="31"/>
      <c r="N46" s="21"/>
      <c r="O46" s="21"/>
      <c r="P46" s="21"/>
      <c r="Q46" s="21"/>
      <c r="R46" s="21"/>
      <c r="S46" s="21"/>
      <c r="T46" s="21"/>
      <c r="U46" s="21"/>
      <c r="V46" s="21"/>
      <c r="W46" s="21"/>
      <c r="X46" s="21"/>
      <c r="Y46" s="21"/>
      <c r="Z46" s="21"/>
      <c r="AA46" s="21"/>
    </row>
    <row r="47" spans="1:27" x14ac:dyDescent="0.25">
      <c r="B47" s="21" t="s">
        <v>33</v>
      </c>
      <c r="C47" s="228" t="s">
        <v>183</v>
      </c>
      <c r="D47" s="21"/>
      <c r="N47" s="5"/>
      <c r="O47" s="5"/>
      <c r="P47" s="5"/>
      <c r="Q47" s="5"/>
      <c r="R47" s="5"/>
      <c r="S47" s="5"/>
      <c r="T47" s="5"/>
      <c r="U47" s="5"/>
      <c r="V47" s="5"/>
      <c r="W47" s="5"/>
      <c r="X47" s="5"/>
      <c r="Y47" s="5"/>
      <c r="Z47" s="5"/>
      <c r="AA47" s="21"/>
    </row>
    <row r="48" spans="1:27" x14ac:dyDescent="0.25">
      <c r="A48" s="21"/>
      <c r="B48" s="21" t="s">
        <v>34</v>
      </c>
      <c r="C48" s="270">
        <v>9.1934743337014804E-2</v>
      </c>
      <c r="D48" s="111" t="s">
        <v>184</v>
      </c>
      <c r="G48" s="273" t="s">
        <v>212</v>
      </c>
      <c r="N48" s="5"/>
      <c r="O48" s="5"/>
      <c r="P48" s="5"/>
      <c r="Q48" s="5"/>
      <c r="R48" s="5"/>
      <c r="S48" s="5"/>
      <c r="T48" s="5"/>
      <c r="U48" s="5"/>
      <c r="V48" s="5"/>
      <c r="W48" s="5"/>
      <c r="X48" s="5"/>
      <c r="Y48" s="5"/>
      <c r="Z48" s="5"/>
      <c r="AA48" s="21"/>
    </row>
    <row r="49" spans="1:28" x14ac:dyDescent="0.25">
      <c r="C49" s="270">
        <v>9.1880967847760495E-2</v>
      </c>
      <c r="D49" s="111" t="s">
        <v>185</v>
      </c>
      <c r="E49" s="21"/>
      <c r="G49" s="388" t="s">
        <v>214</v>
      </c>
      <c r="H49" s="389"/>
      <c r="I49" s="389"/>
      <c r="J49" s="389"/>
      <c r="N49" s="250"/>
      <c r="O49" s="250"/>
      <c r="P49" s="250"/>
      <c r="Q49" s="250"/>
      <c r="R49" s="250"/>
      <c r="S49" s="250"/>
      <c r="T49" s="250"/>
      <c r="U49" s="250"/>
      <c r="V49" s="250"/>
      <c r="W49" s="250"/>
      <c r="X49" s="250"/>
      <c r="Y49" s="250"/>
      <c r="Z49" s="250"/>
      <c r="AA49" s="21"/>
    </row>
    <row r="50" spans="1:28" ht="18.75" x14ac:dyDescent="0.3">
      <c r="B50" s="1" t="s">
        <v>35</v>
      </c>
      <c r="C50" s="271">
        <v>9.2031548950088984E-2</v>
      </c>
      <c r="D50" s="111" t="s">
        <v>186</v>
      </c>
      <c r="E50" s="21"/>
      <c r="G50" s="389"/>
      <c r="H50" s="389"/>
      <c r="I50" s="389"/>
      <c r="J50" s="389"/>
      <c r="N50" s="21"/>
      <c r="O50" s="21"/>
      <c r="P50" s="21"/>
      <c r="Q50" s="21"/>
      <c r="R50" s="21"/>
      <c r="S50" s="21"/>
      <c r="T50" s="21"/>
      <c r="U50" s="21"/>
      <c r="V50" s="21"/>
      <c r="W50" s="21"/>
      <c r="X50" s="21"/>
      <c r="Y50" s="21"/>
      <c r="Z50" s="21"/>
      <c r="AA50" s="21"/>
    </row>
    <row r="51" spans="1:28" x14ac:dyDescent="0.25">
      <c r="B51" s="6"/>
      <c r="C51" s="36"/>
      <c r="D51" s="38"/>
      <c r="N51" s="119"/>
      <c r="O51" s="119"/>
      <c r="P51" s="119"/>
      <c r="Q51" s="119"/>
      <c r="R51" s="119"/>
      <c r="S51" s="119"/>
      <c r="T51" s="119"/>
      <c r="U51" s="119"/>
      <c r="V51" s="119"/>
      <c r="W51" s="119"/>
      <c r="X51" s="119"/>
      <c r="Y51" s="119"/>
      <c r="Z51" s="77"/>
      <c r="AA51" s="77"/>
      <c r="AB51" s="77"/>
    </row>
    <row r="52" spans="1:28" x14ac:dyDescent="0.25">
      <c r="B52" s="24" t="s">
        <v>36</v>
      </c>
      <c r="J52" s="395" t="s">
        <v>203</v>
      </c>
      <c r="K52" s="396"/>
      <c r="L52" s="254"/>
      <c r="N52" s="54"/>
      <c r="O52" s="54"/>
      <c r="P52" s="54"/>
      <c r="Q52" s="54"/>
      <c r="R52" s="54"/>
      <c r="S52" s="54"/>
      <c r="T52" s="54"/>
      <c r="U52" s="54"/>
      <c r="V52" s="54"/>
      <c r="W52" s="54"/>
      <c r="X52" s="54"/>
      <c r="Y52" s="54"/>
      <c r="Z52" s="79"/>
      <c r="AA52" s="77"/>
      <c r="AB52" s="77"/>
    </row>
    <row r="53" spans="1:28" x14ac:dyDescent="0.25">
      <c r="B53" s="24"/>
      <c r="C53" s="106" t="s">
        <v>37</v>
      </c>
      <c r="D53" s="12" t="s">
        <v>11</v>
      </c>
      <c r="E53" s="39" t="s">
        <v>38</v>
      </c>
      <c r="F53" s="2"/>
      <c r="H53" s="251"/>
      <c r="I53" s="252"/>
      <c r="J53" s="255" t="s">
        <v>204</v>
      </c>
      <c r="K53" s="112" t="s">
        <v>205</v>
      </c>
      <c r="L53" s="256"/>
      <c r="N53" s="54"/>
      <c r="O53" s="54"/>
      <c r="P53" s="54"/>
      <c r="Q53" s="54"/>
      <c r="R53" s="54"/>
      <c r="S53" s="54"/>
      <c r="T53" s="54"/>
      <c r="U53" s="54"/>
      <c r="V53" s="54"/>
      <c r="W53" s="54"/>
      <c r="X53" s="54"/>
      <c r="Y53" s="54"/>
      <c r="Z53" s="79"/>
      <c r="AA53" s="77"/>
      <c r="AB53" s="77"/>
    </row>
    <row r="54" spans="1:28" x14ac:dyDescent="0.25">
      <c r="A54" s="21"/>
      <c r="B54" s="21" t="s">
        <v>39</v>
      </c>
      <c r="C54" s="36">
        <f>E54/D54</f>
        <v>0.58168216468269707</v>
      </c>
      <c r="D54" s="7">
        <f>+E6</f>
        <v>1665506.7299999997</v>
      </c>
      <c r="E54" s="229">
        <v>968795.56</v>
      </c>
      <c r="F54" s="4"/>
      <c r="G54" s="5">
        <f>E54+E55+E60</f>
        <v>7328865.9600000009</v>
      </c>
      <c r="H54" s="251"/>
      <c r="I54" s="252"/>
      <c r="J54" s="257">
        <f>E54</f>
        <v>968795.56</v>
      </c>
      <c r="K54" s="3"/>
      <c r="L54" s="256"/>
      <c r="N54" s="79"/>
      <c r="O54" s="79"/>
      <c r="P54" s="79"/>
      <c r="Q54" s="79"/>
      <c r="R54" s="79"/>
      <c r="S54" s="79"/>
      <c r="T54" s="79"/>
      <c r="U54" s="79"/>
      <c r="V54" s="79"/>
      <c r="W54" s="79"/>
      <c r="X54" s="79"/>
      <c r="Y54" s="79"/>
      <c r="Z54" s="79"/>
      <c r="AA54" s="77"/>
      <c r="AB54" s="77"/>
    </row>
    <row r="55" spans="1:28" x14ac:dyDescent="0.25">
      <c r="A55" s="21"/>
      <c r="B55" s="21" t="s">
        <v>40</v>
      </c>
      <c r="C55" s="36">
        <f>E55/D55</f>
        <v>2.4937287302994882E-2</v>
      </c>
      <c r="D55" s="47">
        <f>+E5</f>
        <v>286817038</v>
      </c>
      <c r="E55" s="229">
        <v>7152438.8800000008</v>
      </c>
      <c r="F55" s="26"/>
      <c r="G55" s="390" t="s">
        <v>216</v>
      </c>
      <c r="H55" s="388"/>
      <c r="J55" s="257">
        <f>+E55</f>
        <v>7152438.8800000008</v>
      </c>
      <c r="K55" s="3"/>
      <c r="L55" s="256"/>
      <c r="N55" s="79"/>
      <c r="O55" s="79"/>
      <c r="P55" s="79"/>
      <c r="Q55" s="79"/>
      <c r="R55" s="79"/>
      <c r="S55" s="79"/>
      <c r="T55" s="79"/>
      <c r="U55" s="79"/>
      <c r="V55" s="79"/>
      <c r="W55" s="79"/>
      <c r="X55" s="79"/>
      <c r="Y55" s="79"/>
      <c r="Z55" s="79"/>
      <c r="AA55" s="77"/>
      <c r="AB55" s="77"/>
    </row>
    <row r="56" spans="1:28" x14ac:dyDescent="0.25">
      <c r="A56" s="21"/>
      <c r="B56" s="21" t="s">
        <v>41</v>
      </c>
      <c r="C56" s="36"/>
      <c r="D56" s="7"/>
      <c r="E56" s="229">
        <v>3168655.34</v>
      </c>
      <c r="F56" s="26"/>
      <c r="G56" s="388"/>
      <c r="H56" s="388"/>
      <c r="I56" s="21"/>
      <c r="J56" s="94"/>
      <c r="K56" s="80">
        <f>E56</f>
        <v>3168655.34</v>
      </c>
      <c r="L56" s="256"/>
      <c r="N56" s="79"/>
      <c r="O56" s="79"/>
      <c r="P56" s="79"/>
      <c r="Q56" s="79"/>
      <c r="R56" s="79"/>
      <c r="S56" s="79"/>
      <c r="T56" s="79"/>
      <c r="U56" s="79"/>
      <c r="V56" s="79"/>
      <c r="W56" s="79"/>
      <c r="X56" s="79"/>
      <c r="Y56" s="79"/>
      <c r="Z56" s="79"/>
      <c r="AA56" s="77"/>
      <c r="AB56" s="77"/>
    </row>
    <row r="57" spans="1:28" ht="17.25" x14ac:dyDescent="0.25">
      <c r="B57" s="21" t="s">
        <v>42</v>
      </c>
      <c r="C57" s="42">
        <f>C49</f>
        <v>9.1880967847760495E-2</v>
      </c>
      <c r="D57" s="7">
        <f>+D10</f>
        <v>156060011.3129127</v>
      </c>
      <c r="E57" s="40">
        <f>+D57*C57</f>
        <v>14338944.881762872</v>
      </c>
      <c r="F57" s="40"/>
      <c r="G57" s="388"/>
      <c r="H57" s="388"/>
      <c r="I57" s="21"/>
      <c r="J57" s="258">
        <f>+E57</f>
        <v>14338944.881762872</v>
      </c>
      <c r="K57" s="77"/>
      <c r="L57" s="256"/>
      <c r="N57" s="79"/>
      <c r="O57" s="79"/>
      <c r="P57" s="79"/>
      <c r="Q57" s="79"/>
      <c r="R57" s="79"/>
      <c r="S57" s="77"/>
      <c r="T57" s="77"/>
      <c r="U57" s="77"/>
      <c r="V57" s="77"/>
      <c r="W57" s="77"/>
      <c r="X57" s="77"/>
      <c r="Y57" s="77"/>
      <c r="Z57" s="77"/>
      <c r="AA57" s="77"/>
      <c r="AB57" s="77"/>
    </row>
    <row r="58" spans="1:28" ht="17.25" x14ac:dyDescent="0.25">
      <c r="B58" s="21" t="s">
        <v>43</v>
      </c>
      <c r="C58" s="42">
        <f>C50</f>
        <v>9.2031548950088984E-2</v>
      </c>
      <c r="D58" s="7">
        <f>+D11</f>
        <v>86691115.62708731</v>
      </c>
      <c r="E58" s="40">
        <f>+D58*C58</f>
        <v>7978317.6513721095</v>
      </c>
      <c r="F58" s="40"/>
      <c r="G58" s="388"/>
      <c r="H58" s="388"/>
      <c r="I58" s="21"/>
      <c r="J58" s="243"/>
      <c r="K58" s="80">
        <f>E58</f>
        <v>7978317.6513721095</v>
      </c>
      <c r="L58" s="256"/>
      <c r="N58" s="79"/>
      <c r="O58" s="79"/>
      <c r="P58" s="79"/>
      <c r="Q58" s="79"/>
      <c r="R58" s="79"/>
      <c r="S58" s="77"/>
      <c r="T58" s="77"/>
      <c r="U58" s="77"/>
      <c r="V58" s="77"/>
      <c r="W58" s="77"/>
      <c r="X58" s="77"/>
      <c r="Y58" s="77"/>
      <c r="Z58" s="77"/>
      <c r="AA58" s="77"/>
      <c r="AB58" s="77"/>
    </row>
    <row r="59" spans="1:28" ht="17.25" x14ac:dyDescent="0.25">
      <c r="B59" t="s">
        <v>44</v>
      </c>
      <c r="C59" s="25"/>
      <c r="D59" s="7"/>
      <c r="E59" s="40">
        <f>'Whitby 2019 RPP 2nd TU'!K23</f>
        <v>-5461593.8640285302</v>
      </c>
      <c r="F59" s="266" t="s">
        <v>187</v>
      </c>
      <c r="J59" s="258">
        <f>E59</f>
        <v>-5461593.8640285302</v>
      </c>
      <c r="K59" s="259"/>
      <c r="L59" s="260"/>
      <c r="M59" s="111"/>
      <c r="N59" s="79"/>
      <c r="O59" s="79"/>
      <c r="P59" s="79"/>
      <c r="Q59" s="79"/>
      <c r="R59" s="79"/>
      <c r="S59" s="77"/>
      <c r="T59" s="77"/>
      <c r="U59" s="77"/>
      <c r="V59" s="77"/>
      <c r="W59" s="77"/>
      <c r="X59" s="77"/>
      <c r="Y59" s="77"/>
      <c r="Z59" s="77"/>
      <c r="AA59" s="77"/>
      <c r="AB59" s="77"/>
    </row>
    <row r="60" spans="1:28" x14ac:dyDescent="0.25">
      <c r="A60" s="21"/>
      <c r="B60" s="21" t="s">
        <v>45</v>
      </c>
      <c r="C60" s="25">
        <f>E60/D60</f>
        <v>-0.47575219344805658</v>
      </c>
      <c r="D60" s="7">
        <f>+E6</f>
        <v>1665506.7299999997</v>
      </c>
      <c r="E60" s="229">
        <v>-792368.48</v>
      </c>
      <c r="F60" s="40"/>
      <c r="G60" s="26"/>
      <c r="H60" s="42"/>
      <c r="I60" s="21"/>
      <c r="J60" s="258">
        <f>+E60</f>
        <v>-792368.48</v>
      </c>
      <c r="K60" s="77"/>
      <c r="L60" s="256"/>
      <c r="N60" s="79"/>
      <c r="O60" s="79"/>
      <c r="P60" s="79"/>
      <c r="Q60" s="79"/>
      <c r="R60" s="79"/>
      <c r="S60" s="79"/>
      <c r="T60" s="79"/>
      <c r="U60" s="79"/>
      <c r="V60" s="79"/>
      <c r="W60" s="79"/>
      <c r="X60" s="79"/>
      <c r="Y60" s="79"/>
      <c r="Z60" s="79"/>
      <c r="AA60" s="77"/>
      <c r="AB60" s="77"/>
    </row>
    <row r="61" spans="1:28" ht="15.75" thickBot="1" x14ac:dyDescent="0.3">
      <c r="B61" t="s">
        <v>46</v>
      </c>
      <c r="C61" s="25"/>
      <c r="D61" s="7"/>
      <c r="E61" s="43">
        <f>SUM(E54:E60)</f>
        <v>27353189.969106454</v>
      </c>
      <c r="F61" s="44"/>
      <c r="G61" s="44"/>
      <c r="H61" s="45"/>
      <c r="I61" s="45"/>
      <c r="J61" s="261">
        <f>SUM(J54:J60)</f>
        <v>16206216.977734346</v>
      </c>
      <c r="K61" s="253">
        <f>SUM(K54:K60)</f>
        <v>11146972.991372108</v>
      </c>
      <c r="L61" s="263">
        <f>SUM(J61:K61)</f>
        <v>27353189.969106454</v>
      </c>
      <c r="N61" s="79"/>
      <c r="O61" s="79"/>
      <c r="P61" s="79"/>
      <c r="Q61" s="79"/>
      <c r="R61" s="79"/>
      <c r="S61" s="77"/>
      <c r="T61" s="77"/>
      <c r="U61" s="77"/>
      <c r="V61" s="77"/>
      <c r="W61" s="77"/>
      <c r="X61" s="77"/>
      <c r="Y61" s="77"/>
      <c r="Z61" s="77"/>
      <c r="AA61" s="77"/>
      <c r="AB61" s="77"/>
    </row>
    <row r="62" spans="1:28" ht="15.75" thickTop="1" x14ac:dyDescent="0.25">
      <c r="H62" s="21"/>
      <c r="I62" s="21"/>
      <c r="J62" s="21"/>
      <c r="K62" s="21"/>
      <c r="N62" s="79"/>
      <c r="O62" s="79"/>
      <c r="P62" s="79"/>
      <c r="Q62" s="79"/>
      <c r="R62" s="79"/>
      <c r="S62" s="77"/>
      <c r="T62" s="77"/>
      <c r="U62" s="77"/>
      <c r="V62" s="77"/>
      <c r="W62" s="77"/>
      <c r="X62" s="77"/>
      <c r="Y62" s="77"/>
      <c r="Z62" s="77"/>
      <c r="AA62" s="77"/>
      <c r="AB62" s="77"/>
    </row>
    <row r="63" spans="1:28" ht="18.75" x14ac:dyDescent="0.3">
      <c r="B63" s="1" t="s">
        <v>47</v>
      </c>
      <c r="E63" s="46"/>
      <c r="H63" s="21"/>
      <c r="I63" s="21"/>
      <c r="J63" s="21"/>
      <c r="K63" s="21"/>
      <c r="N63" s="54"/>
      <c r="O63" s="54"/>
      <c r="P63" s="54"/>
      <c r="Q63" s="54"/>
      <c r="R63" s="54"/>
      <c r="S63" s="54"/>
      <c r="T63" s="54"/>
      <c r="U63" s="54"/>
      <c r="V63" s="54"/>
      <c r="W63" s="54"/>
      <c r="X63" s="54"/>
      <c r="Y63" s="54"/>
      <c r="Z63" s="79"/>
      <c r="AA63" s="77"/>
      <c r="AB63" s="77"/>
    </row>
    <row r="64" spans="1:28" ht="18.75" x14ac:dyDescent="0.3">
      <c r="B64" s="1"/>
      <c r="G64" s="21"/>
      <c r="H64" s="21"/>
      <c r="I64" s="21"/>
      <c r="J64" s="21"/>
      <c r="K64" s="21"/>
      <c r="N64" s="246"/>
      <c r="O64" s="246"/>
      <c r="P64" s="246"/>
      <c r="Q64" s="246"/>
      <c r="R64" s="80"/>
      <c r="S64" s="80"/>
      <c r="T64" s="80"/>
      <c r="U64" s="80"/>
      <c r="V64" s="80"/>
      <c r="W64" s="80"/>
      <c r="X64" s="80"/>
      <c r="Y64" s="80"/>
      <c r="Z64" s="79"/>
      <c r="AA64" s="77"/>
      <c r="AB64" s="77"/>
    </row>
    <row r="65" spans="2:28" x14ac:dyDescent="0.25">
      <c r="B65" s="24" t="s">
        <v>48</v>
      </c>
      <c r="C65" s="108"/>
      <c r="D65" s="108"/>
      <c r="E65" s="108"/>
      <c r="G65" s="108"/>
      <c r="H65" s="108"/>
      <c r="I65" s="21"/>
      <c r="J65" s="21"/>
      <c r="K65" s="21"/>
      <c r="N65" s="79"/>
      <c r="O65" s="79"/>
      <c r="P65" s="79"/>
      <c r="Q65" s="79"/>
      <c r="R65" s="79"/>
      <c r="S65" s="79"/>
      <c r="T65" s="79"/>
      <c r="U65" s="79"/>
      <c r="V65" s="79"/>
      <c r="W65" s="79"/>
      <c r="X65" s="79"/>
      <c r="Y65" s="79"/>
      <c r="Z65" s="79"/>
      <c r="AA65" s="77"/>
      <c r="AB65" s="77"/>
    </row>
    <row r="66" spans="2:28" x14ac:dyDescent="0.25">
      <c r="B66" s="24"/>
      <c r="C66" s="107" t="s">
        <v>24</v>
      </c>
      <c r="D66" s="106" t="s">
        <v>11</v>
      </c>
      <c r="E66" s="106" t="s">
        <v>38</v>
      </c>
      <c r="G66" s="48"/>
      <c r="H66" s="48"/>
      <c r="I66" s="21"/>
      <c r="J66" s="21"/>
      <c r="K66" s="21"/>
      <c r="N66" s="77"/>
      <c r="O66" s="77"/>
      <c r="P66" s="77"/>
      <c r="Q66" s="247"/>
      <c r="R66" s="248"/>
      <c r="S66" s="77"/>
      <c r="T66" s="247"/>
      <c r="U66" s="77"/>
      <c r="V66" s="77"/>
      <c r="W66" s="77"/>
      <c r="X66" s="77"/>
      <c r="Y66" s="77"/>
      <c r="Z66" s="77"/>
      <c r="AA66" s="77"/>
      <c r="AB66" s="77"/>
    </row>
    <row r="67" spans="2:28" x14ac:dyDescent="0.25">
      <c r="B67" s="21" t="s">
        <v>13</v>
      </c>
      <c r="C67" s="36">
        <f>E33</f>
        <v>7.7000202551813557E-2</v>
      </c>
      <c r="D67" s="6">
        <f>+D33</f>
        <v>12673448.609999999</v>
      </c>
      <c r="E67" s="51">
        <f>+D67*C67</f>
        <v>975858.11</v>
      </c>
      <c r="G67" s="40"/>
      <c r="H67" s="40"/>
      <c r="I67" s="21"/>
      <c r="J67" s="21"/>
      <c r="K67" s="21"/>
      <c r="N67" s="77"/>
      <c r="O67" s="77"/>
      <c r="P67" s="77"/>
      <c r="Q67" s="249"/>
      <c r="R67" s="249"/>
      <c r="S67" s="249"/>
      <c r="T67" s="249"/>
      <c r="U67" s="77"/>
      <c r="V67" s="77"/>
      <c r="W67" s="77"/>
      <c r="X67" s="77"/>
      <c r="Y67" s="77"/>
      <c r="Z67" s="77"/>
      <c r="AA67" s="77"/>
      <c r="AB67" s="77"/>
    </row>
    <row r="68" spans="2:28" x14ac:dyDescent="0.25">
      <c r="B68" s="21" t="s">
        <v>14</v>
      </c>
      <c r="C68" s="36">
        <f>E34</f>
        <v>8.9000036491975063E-2</v>
      </c>
      <c r="D68" s="6">
        <f>+D34</f>
        <v>5469421.6900000004</v>
      </c>
      <c r="E68" s="51">
        <f t="shared" ref="E68:E71" si="2">+D68*C68</f>
        <v>486778.73</v>
      </c>
      <c r="G68" s="40"/>
      <c r="H68" s="40"/>
      <c r="I68" s="21"/>
      <c r="J68" s="21"/>
      <c r="K68" s="21"/>
      <c r="N68" s="149"/>
      <c r="O68" s="149"/>
      <c r="P68" s="149"/>
      <c r="Q68" s="149"/>
      <c r="R68" s="149"/>
      <c r="S68" s="149"/>
      <c r="T68" s="149"/>
      <c r="U68" s="149"/>
      <c r="V68" s="149"/>
      <c r="W68" s="149"/>
      <c r="X68" s="149"/>
      <c r="Y68" s="149"/>
      <c r="Z68" s="149"/>
      <c r="AA68" s="77"/>
      <c r="AB68" s="77"/>
    </row>
    <row r="69" spans="2:28" x14ac:dyDescent="0.25">
      <c r="B69" s="21" t="s">
        <v>15</v>
      </c>
      <c r="C69" s="36">
        <f>E35</f>
        <v>6.5000097596255482E-2</v>
      </c>
      <c r="D69" s="6">
        <f>+D35</f>
        <v>90150487.409999996</v>
      </c>
      <c r="E69" s="51">
        <f t="shared" si="2"/>
        <v>5859790.4800000004</v>
      </c>
      <c r="G69" s="40"/>
      <c r="H69" s="40"/>
      <c r="I69" s="21"/>
      <c r="J69" s="21"/>
      <c r="K69" s="21"/>
      <c r="N69" s="149"/>
      <c r="O69" s="149"/>
      <c r="P69" s="149"/>
      <c r="Q69" s="149"/>
      <c r="R69" s="149"/>
      <c r="S69" s="149"/>
      <c r="T69" s="149"/>
      <c r="U69" s="149"/>
      <c r="V69" s="149"/>
      <c r="W69" s="149"/>
      <c r="X69" s="149"/>
      <c r="Y69" s="149"/>
      <c r="Z69" s="149"/>
      <c r="AA69" s="77"/>
      <c r="AB69" s="77"/>
    </row>
    <row r="70" spans="2:28" x14ac:dyDescent="0.25">
      <c r="B70" s="21" t="s">
        <v>16</v>
      </c>
      <c r="C70" s="36">
        <f>E36</f>
        <v>9.4000293652451453E-2</v>
      </c>
      <c r="D70" s="6">
        <f>+D36</f>
        <v>23758153.440000001</v>
      </c>
      <c r="E70" s="51">
        <f t="shared" si="2"/>
        <v>2233273.4</v>
      </c>
      <c r="G70" s="40"/>
      <c r="H70" s="40"/>
      <c r="I70" s="21"/>
      <c r="J70" s="21"/>
      <c r="K70" s="21"/>
      <c r="N70" s="149"/>
      <c r="O70" s="149"/>
      <c r="P70" s="149"/>
      <c r="Q70" s="149"/>
      <c r="R70" s="149"/>
      <c r="S70" s="149"/>
      <c r="T70" s="149"/>
      <c r="U70" s="149"/>
      <c r="V70" s="149"/>
      <c r="W70" s="149"/>
      <c r="X70" s="149"/>
      <c r="Y70" s="149"/>
      <c r="Z70" s="149"/>
      <c r="AA70" s="77"/>
      <c r="AB70" s="77"/>
    </row>
    <row r="71" spans="2:28" x14ac:dyDescent="0.25">
      <c r="B71" s="21" t="s">
        <v>17</v>
      </c>
      <c r="C71" s="36">
        <f>E37</f>
        <v>0.1320004074775038</v>
      </c>
      <c r="D71" s="6">
        <f>+D37</f>
        <v>25158100.52</v>
      </c>
      <c r="E71" s="51">
        <f t="shared" si="2"/>
        <v>3320879.52</v>
      </c>
      <c r="G71" s="40"/>
      <c r="H71" s="40"/>
      <c r="I71" s="21"/>
      <c r="J71" s="395" t="s">
        <v>203</v>
      </c>
      <c r="K71" s="397"/>
      <c r="Q71" s="51"/>
      <c r="R71" s="52"/>
      <c r="S71" s="52"/>
      <c r="T71" s="52"/>
      <c r="U71" s="21"/>
      <c r="V71" s="21"/>
      <c r="W71" s="21"/>
    </row>
    <row r="72" spans="2:28" ht="15.75" thickBot="1" x14ac:dyDescent="0.3">
      <c r="B72" s="21" t="s">
        <v>49</v>
      </c>
      <c r="C72" s="36">
        <f>E72/D72</f>
        <v>8.1907080001121929E-2</v>
      </c>
      <c r="D72" s="53">
        <f>SUM(D67:D71)</f>
        <v>157209611.66999999</v>
      </c>
      <c r="E72" s="43">
        <f>SUM(E67:E71)</f>
        <v>12876580.24</v>
      </c>
      <c r="G72" s="79"/>
      <c r="H72" s="54"/>
      <c r="I72" s="21"/>
      <c r="J72" s="258">
        <f>E72</f>
        <v>12876580.24</v>
      </c>
      <c r="K72" s="244"/>
      <c r="Q72" s="19"/>
      <c r="R72" s="54"/>
      <c r="S72" s="54"/>
      <c r="T72" s="54"/>
      <c r="U72" s="21"/>
      <c r="V72" s="21"/>
      <c r="W72" s="21"/>
    </row>
    <row r="73" spans="2:28" ht="15.75" thickTop="1" x14ac:dyDescent="0.25">
      <c r="E73" s="21"/>
      <c r="G73" s="31"/>
      <c r="H73" s="21"/>
      <c r="I73" s="21"/>
      <c r="J73" s="258">
        <f>E76</f>
        <v>3440308.2451442587</v>
      </c>
      <c r="K73" s="244"/>
      <c r="Q73" s="46"/>
      <c r="R73" s="41"/>
      <c r="S73" s="41"/>
      <c r="T73" s="56"/>
      <c r="U73" s="21"/>
      <c r="V73" s="21"/>
      <c r="W73" s="21"/>
    </row>
    <row r="74" spans="2:28" x14ac:dyDescent="0.25">
      <c r="B74" s="24" t="s">
        <v>50</v>
      </c>
      <c r="E74" s="21"/>
      <c r="G74" s="37"/>
      <c r="H74" s="34"/>
      <c r="I74" s="21"/>
      <c r="J74" s="261">
        <f>SUM(J72:J73)</f>
        <v>16316888.485144259</v>
      </c>
      <c r="K74" s="264" t="s">
        <v>84</v>
      </c>
      <c r="Q74" s="19"/>
      <c r="R74" s="54"/>
      <c r="S74" s="54"/>
      <c r="T74" s="54"/>
      <c r="U74" s="21"/>
      <c r="V74" s="21"/>
      <c r="W74" s="21"/>
    </row>
    <row r="75" spans="2:28" x14ac:dyDescent="0.25">
      <c r="B75" s="24"/>
      <c r="C75" s="106" t="s">
        <v>37</v>
      </c>
      <c r="D75" s="12" t="s">
        <v>11</v>
      </c>
      <c r="E75" s="57" t="s">
        <v>38</v>
      </c>
      <c r="G75" s="103"/>
      <c r="H75" s="103"/>
      <c r="I75" s="21"/>
      <c r="J75" s="243"/>
      <c r="K75" s="244"/>
      <c r="Q75" s="19"/>
      <c r="R75" s="54"/>
      <c r="S75" s="54"/>
      <c r="T75" s="54"/>
      <c r="U75" s="21"/>
      <c r="V75" s="21"/>
      <c r="W75" s="21"/>
    </row>
    <row r="76" spans="2:28" x14ac:dyDescent="0.25">
      <c r="B76" s="21" t="s">
        <v>51</v>
      </c>
      <c r="C76" s="58">
        <f>+C44</f>
        <v>2.585509473201043E-2</v>
      </c>
      <c r="D76" s="59">
        <f>+E28</f>
        <v>133061134.78999999</v>
      </c>
      <c r="E76" s="60">
        <f>E85</f>
        <v>3440308.2451442587</v>
      </c>
      <c r="G76" s="80"/>
      <c r="H76" s="80"/>
      <c r="I76" s="41"/>
      <c r="J76" s="243"/>
      <c r="K76" s="244"/>
      <c r="L76" s="21"/>
      <c r="M76" s="21"/>
      <c r="N76" s="21"/>
      <c r="Q76" s="19"/>
      <c r="R76" s="54"/>
      <c r="S76" s="54"/>
      <c r="T76" s="54"/>
      <c r="U76" s="21"/>
      <c r="V76" s="21"/>
      <c r="W76" s="21"/>
    </row>
    <row r="77" spans="2:28" x14ac:dyDescent="0.25">
      <c r="B77" s="21" t="s">
        <v>52</v>
      </c>
      <c r="C77" s="58"/>
      <c r="D77" s="59"/>
      <c r="E77" s="60">
        <f>+E56</f>
        <v>3168655.34</v>
      </c>
      <c r="G77" s="54"/>
      <c r="H77" s="80"/>
      <c r="I77" s="41"/>
      <c r="J77" s="243"/>
      <c r="K77" s="262"/>
      <c r="Q77" s="19"/>
      <c r="R77" s="54"/>
      <c r="S77" s="54"/>
      <c r="T77" s="54"/>
      <c r="U77" s="21"/>
      <c r="V77" s="21"/>
      <c r="W77" s="21"/>
    </row>
    <row r="78" spans="2:28" x14ac:dyDescent="0.25">
      <c r="B78" s="21" t="s">
        <v>53</v>
      </c>
      <c r="C78" s="115">
        <f>+C45</f>
        <v>8.0706489865299796E-2</v>
      </c>
      <c r="D78" s="55">
        <f>+D28</f>
        <v>87329717</v>
      </c>
      <c r="E78" s="54">
        <f>+C78*D78</f>
        <v>7048074.919999999</v>
      </c>
      <c r="G78" s="80"/>
      <c r="H78" s="80"/>
      <c r="I78" s="41"/>
      <c r="J78" s="261">
        <f>E77+E78</f>
        <v>10216730.259999998</v>
      </c>
      <c r="K78" s="265" t="s">
        <v>83</v>
      </c>
      <c r="Q78" s="19"/>
      <c r="R78" s="54"/>
      <c r="S78" s="54"/>
      <c r="T78" s="54"/>
      <c r="U78" s="21"/>
      <c r="V78" s="21"/>
      <c r="W78" s="21"/>
    </row>
    <row r="79" spans="2:28" ht="15.75" thickBot="1" x14ac:dyDescent="0.3">
      <c r="D79" s="55"/>
      <c r="E79" s="61">
        <f>SUM(E76:E78)</f>
        <v>13657038.505144257</v>
      </c>
      <c r="F79" s="19"/>
      <c r="G79" s="54"/>
      <c r="H79" s="54"/>
      <c r="I79" s="62"/>
      <c r="J79" s="21"/>
      <c r="K79" s="21"/>
      <c r="R79" s="21"/>
      <c r="S79" s="21"/>
      <c r="T79" s="21"/>
      <c r="U79" s="21"/>
      <c r="V79" s="21"/>
      <c r="W79" s="21"/>
    </row>
    <row r="80" spans="2:28" ht="15.75" thickTop="1" x14ac:dyDescent="0.25">
      <c r="D80" s="55"/>
      <c r="E80" s="19"/>
      <c r="F80" s="19"/>
      <c r="G80" s="19"/>
      <c r="H80" s="54"/>
      <c r="I80" s="62"/>
      <c r="J80" s="21"/>
      <c r="K80" s="21"/>
      <c r="R80" s="21"/>
      <c r="S80" s="21"/>
      <c r="T80" s="21"/>
      <c r="U80" s="21"/>
      <c r="V80" s="21"/>
      <c r="W80" s="21"/>
    </row>
    <row r="81" spans="1:26" x14ac:dyDescent="0.25">
      <c r="B81" s="24" t="s">
        <v>87</v>
      </c>
      <c r="C81" s="21"/>
      <c r="D81" s="21"/>
      <c r="E81" s="41"/>
      <c r="F81" s="19"/>
      <c r="I81" s="62"/>
      <c r="J81" s="393" t="s">
        <v>193</v>
      </c>
      <c r="K81" s="394"/>
    </row>
    <row r="82" spans="1:26" x14ac:dyDescent="0.25">
      <c r="D82" s="223" t="s">
        <v>192</v>
      </c>
      <c r="E82" s="46"/>
      <c r="F82" s="19"/>
      <c r="I82" s="55"/>
      <c r="J82" s="235" t="s">
        <v>179</v>
      </c>
      <c r="K82" s="236"/>
      <c r="L82" s="119"/>
      <c r="M82" s="119"/>
      <c r="N82" s="119"/>
      <c r="O82" s="119"/>
      <c r="P82" s="119"/>
      <c r="Q82" s="119"/>
      <c r="R82" s="119"/>
      <c r="S82" s="119"/>
      <c r="T82" s="119"/>
      <c r="U82" s="119"/>
      <c r="V82" s="119"/>
      <c r="W82" s="21"/>
      <c r="X82" s="21"/>
      <c r="Y82" s="21"/>
      <c r="Z82" s="21"/>
    </row>
    <row r="83" spans="1:26" x14ac:dyDescent="0.25">
      <c r="B83" s="24"/>
      <c r="C83" s="106" t="s">
        <v>37</v>
      </c>
      <c r="D83" s="12" t="s">
        <v>11</v>
      </c>
      <c r="E83" s="39" t="s">
        <v>38</v>
      </c>
      <c r="F83" s="19"/>
      <c r="G83" s="398" t="s">
        <v>215</v>
      </c>
      <c r="H83" s="398"/>
      <c r="I83" s="399"/>
      <c r="J83" s="237" t="s">
        <v>11</v>
      </c>
      <c r="K83" s="238" t="s">
        <v>38</v>
      </c>
      <c r="L83" s="5"/>
      <c r="M83" s="5"/>
      <c r="N83" s="5"/>
      <c r="O83" s="21"/>
      <c r="P83" s="21"/>
      <c r="Q83" s="21"/>
      <c r="R83" s="21"/>
      <c r="S83" s="21"/>
      <c r="T83" s="21"/>
      <c r="U83" s="21"/>
      <c r="V83" s="21"/>
      <c r="W83" s="21"/>
      <c r="X83" s="21"/>
      <c r="Y83" s="21"/>
      <c r="Z83" s="21"/>
    </row>
    <row r="84" spans="1:26" x14ac:dyDescent="0.25">
      <c r="A84" s="21"/>
      <c r="B84" s="21" t="s">
        <v>54</v>
      </c>
      <c r="C84" s="25">
        <f>((+E54+E55+E60)-(E85/(E28/E11)))/E10</f>
        <v>2.5022866402453468E-2</v>
      </c>
      <c r="D84" s="6">
        <f>+E27</f>
        <v>157209611.66999999</v>
      </c>
      <c r="E84" s="230">
        <v>3933835.11</v>
      </c>
      <c r="F84" s="65"/>
      <c r="G84" s="398"/>
      <c r="H84" s="398"/>
      <c r="I84" s="399"/>
      <c r="J84" s="239">
        <f>E10</f>
        <v>156060011.3129127</v>
      </c>
      <c r="K84" s="240">
        <f>J84*C84</f>
        <v>3905068.8138483912</v>
      </c>
      <c r="L84" s="5"/>
      <c r="M84" s="5"/>
      <c r="N84" s="5"/>
      <c r="O84" s="5"/>
      <c r="P84" s="5"/>
      <c r="Q84" s="5"/>
      <c r="R84" s="5"/>
      <c r="S84" s="5"/>
      <c r="T84" s="5"/>
      <c r="U84" s="5"/>
      <c r="V84" s="5"/>
      <c r="W84" s="47"/>
      <c r="X84" s="21"/>
      <c r="Y84" s="21"/>
      <c r="Z84" s="21"/>
    </row>
    <row r="85" spans="1:26" x14ac:dyDescent="0.25">
      <c r="B85" t="s">
        <v>55</v>
      </c>
      <c r="C85" s="25">
        <f>((+E54+E55+E60)-(E84/(E27/E10)))/E11</f>
        <v>2.585509473201043E-2</v>
      </c>
      <c r="D85" s="6">
        <f>+E28</f>
        <v>133061134.78999999</v>
      </c>
      <c r="E85" s="40">
        <f>C85*D85</f>
        <v>3440308.2451442587</v>
      </c>
      <c r="F85" s="65"/>
      <c r="I85" s="66"/>
      <c r="J85" s="239">
        <f>E11</f>
        <v>132422533.41708732</v>
      </c>
      <c r="K85" s="240">
        <f>J85*C85</f>
        <v>3423797.1461516093</v>
      </c>
      <c r="L85" s="50"/>
      <c r="M85" s="21"/>
      <c r="N85" s="21"/>
      <c r="O85" s="21"/>
      <c r="P85" s="21"/>
      <c r="Q85" s="21"/>
      <c r="R85" s="21"/>
      <c r="S85" s="21"/>
      <c r="T85" s="21"/>
      <c r="U85" s="21"/>
      <c r="V85" s="21"/>
      <c r="W85" s="21"/>
      <c r="X85" s="21"/>
      <c r="Y85" s="21"/>
      <c r="Z85" s="21"/>
    </row>
    <row r="86" spans="1:26" ht="15.75" thickBot="1" x14ac:dyDescent="0.3">
      <c r="C86" s="68">
        <f>+E86/D86</f>
        <v>2.5404362806365103E-2</v>
      </c>
      <c r="D86" s="69">
        <f>SUM(D84:D85)</f>
        <v>290270746.45999998</v>
      </c>
      <c r="E86" s="70">
        <f>+E84+E85</f>
        <v>7374143.3551442586</v>
      </c>
      <c r="F86" s="65"/>
      <c r="I86" s="71"/>
      <c r="J86" s="241"/>
      <c r="K86" s="242">
        <f>SUM(K84:K85)</f>
        <v>7328865.9600000009</v>
      </c>
    </row>
    <row r="87" spans="1:26" ht="15.75" thickTop="1" x14ac:dyDescent="0.25">
      <c r="C87" s="37"/>
      <c r="D87" s="72"/>
      <c r="E87" s="55"/>
      <c r="F87" s="19"/>
      <c r="G87" s="19"/>
      <c r="H87" s="73"/>
      <c r="J87" s="55"/>
    </row>
    <row r="88" spans="1:26" ht="97.5" customHeight="1" x14ac:dyDescent="0.25">
      <c r="B88" s="391" t="s">
        <v>56</v>
      </c>
      <c r="C88" s="391"/>
      <c r="D88" s="391"/>
      <c r="E88" s="391"/>
      <c r="F88" s="19"/>
      <c r="G88" s="74"/>
      <c r="H88" s="63"/>
      <c r="I88" s="75"/>
    </row>
    <row r="89" spans="1:26" x14ac:dyDescent="0.25">
      <c r="B89" s="392"/>
      <c r="C89" s="392"/>
      <c r="D89" s="392"/>
      <c r="E89" s="392"/>
      <c r="H89" s="76"/>
    </row>
  </sheetData>
  <mergeCells count="9">
    <mergeCell ref="G33:H37"/>
    <mergeCell ref="G49:J50"/>
    <mergeCell ref="G55:H58"/>
    <mergeCell ref="B88:E88"/>
    <mergeCell ref="B89:E89"/>
    <mergeCell ref="J81:K81"/>
    <mergeCell ref="J52:K52"/>
    <mergeCell ref="J71:K71"/>
    <mergeCell ref="G83:I84"/>
  </mergeCells>
  <pageMargins left="0.7" right="0.7" top="0.25" bottom="0.25" header="0.3" footer="0.3"/>
  <pageSetup paperSize="17"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showGridLines="0" zoomScaleNormal="100" workbookViewId="0">
      <selection activeCell="D18" sqref="D18"/>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81" t="s">
        <v>57</v>
      </c>
    </row>
    <row r="3" spans="1:32" ht="18.75" hidden="1" x14ac:dyDescent="0.3">
      <c r="A3" s="1" t="s">
        <v>58</v>
      </c>
      <c r="M3" s="8"/>
      <c r="N3" s="3"/>
      <c r="O3" s="3"/>
      <c r="P3" s="3"/>
      <c r="Q3" s="3"/>
      <c r="R3" s="3"/>
      <c r="S3" s="3"/>
      <c r="T3" s="3"/>
      <c r="U3" s="3"/>
      <c r="V3" s="8"/>
      <c r="W3" s="3"/>
      <c r="X3" s="3"/>
      <c r="Y3" s="3"/>
      <c r="Z3" s="3"/>
      <c r="AA3" s="3"/>
      <c r="AB3" s="3"/>
      <c r="AC3" s="3"/>
      <c r="AD3" s="3"/>
      <c r="AE3" s="3"/>
      <c r="AF3" s="3"/>
    </row>
    <row r="4" spans="1:32" x14ac:dyDescent="0.25">
      <c r="A4" s="2"/>
      <c r="M4" s="82"/>
      <c r="N4" s="3"/>
      <c r="O4" s="3"/>
      <c r="P4" s="3"/>
      <c r="Q4" s="3"/>
      <c r="R4" s="3"/>
      <c r="S4" s="3"/>
      <c r="T4" s="3"/>
      <c r="U4" s="3"/>
      <c r="V4" s="82"/>
      <c r="W4" s="3"/>
      <c r="X4" s="3"/>
      <c r="Y4" s="3"/>
      <c r="Z4" s="3"/>
      <c r="AA4" s="3"/>
      <c r="AB4" s="3"/>
      <c r="AC4" s="3"/>
      <c r="AD4" s="3"/>
      <c r="AE4" s="3"/>
      <c r="AF4" s="3"/>
    </row>
    <row r="5" spans="1:32" hidden="1" x14ac:dyDescent="0.25">
      <c r="A5" s="2" t="s">
        <v>59</v>
      </c>
      <c r="M5" s="82"/>
      <c r="N5" s="3"/>
      <c r="O5" s="3"/>
      <c r="P5" s="3"/>
      <c r="Q5" s="3"/>
      <c r="R5" s="3"/>
      <c r="S5" s="3"/>
      <c r="T5" s="3"/>
      <c r="U5" s="3"/>
      <c r="V5" s="82"/>
      <c r="W5" s="3"/>
      <c r="X5" s="3"/>
      <c r="Y5" s="3"/>
      <c r="Z5" s="3"/>
      <c r="AA5" s="3"/>
      <c r="AB5" s="3"/>
      <c r="AC5" s="3"/>
      <c r="AD5" s="3"/>
      <c r="AE5" s="3"/>
      <c r="AF5" s="3"/>
    </row>
    <row r="6" spans="1:32" ht="45" hidden="1" x14ac:dyDescent="0.25">
      <c r="A6" s="83" t="s">
        <v>60</v>
      </c>
      <c r="B6" s="84" t="s">
        <v>61</v>
      </c>
      <c r="C6" s="85" t="s">
        <v>62</v>
      </c>
      <c r="D6" s="84" t="s">
        <v>63</v>
      </c>
      <c r="E6" s="85" t="s">
        <v>64</v>
      </c>
      <c r="F6" s="84" t="s">
        <v>65</v>
      </c>
      <c r="G6" s="84" t="s">
        <v>11</v>
      </c>
      <c r="H6" s="85" t="s">
        <v>66</v>
      </c>
      <c r="I6" s="85" t="s">
        <v>67</v>
      </c>
      <c r="J6" s="85" t="s">
        <v>68</v>
      </c>
      <c r="K6" s="85" t="s">
        <v>69</v>
      </c>
      <c r="M6" s="82"/>
      <c r="N6" s="11"/>
      <c r="O6" s="11"/>
      <c r="P6" s="11"/>
      <c r="Q6" s="86"/>
      <c r="R6" s="82"/>
      <c r="S6" s="11"/>
      <c r="T6" s="13"/>
      <c r="U6" s="3"/>
      <c r="V6" s="82"/>
      <c r="W6" s="11"/>
      <c r="X6" s="11"/>
      <c r="Y6" s="11"/>
      <c r="Z6" s="86"/>
      <c r="AA6" s="82"/>
      <c r="AB6" s="11"/>
      <c r="AC6" s="13"/>
      <c r="AD6" s="3"/>
      <c r="AE6" s="3"/>
      <c r="AF6" s="3"/>
    </row>
    <row r="7" spans="1:32" hidden="1" x14ac:dyDescent="0.25">
      <c r="A7" s="87" t="s">
        <v>13</v>
      </c>
      <c r="B7" s="88">
        <f>+'[1]Data for 2nd TU'!D33</f>
        <v>7.6999999999999999E-2</v>
      </c>
      <c r="C7" s="88">
        <f>+'[1]Data for 2nd TU'!$B$43</f>
        <v>3.1848807346377295E-2</v>
      </c>
      <c r="D7" s="88">
        <f>+'[1]Data for 2nd TU'!$B$48</f>
        <v>8.8359370314842575E-2</v>
      </c>
      <c r="E7" s="88">
        <f>+C7+D7</f>
        <v>0.12020817766121987</v>
      </c>
      <c r="F7" s="89">
        <f>+B7-E7</f>
        <v>-4.3208177661219871E-2</v>
      </c>
      <c r="G7" s="32">
        <f>'[1]Data for 2nd TU'!C16</f>
        <v>5002500</v>
      </c>
      <c r="H7" s="26">
        <f>+G7*B7</f>
        <v>385192.5</v>
      </c>
      <c r="I7" s="26">
        <f>+G7*C7</f>
        <v>159323.65875025242</v>
      </c>
      <c r="J7" s="26">
        <f>+G7*D7</f>
        <v>442017.75</v>
      </c>
      <c r="K7" s="26">
        <f>+H7-I7-J7</f>
        <v>-216148.90875025242</v>
      </c>
      <c r="M7" s="3"/>
      <c r="N7" s="90"/>
      <c r="O7" s="91"/>
      <c r="P7" s="91"/>
      <c r="Q7" s="91"/>
      <c r="R7" s="92"/>
      <c r="S7" s="93"/>
      <c r="T7" s="19"/>
      <c r="U7" s="3"/>
      <c r="V7" s="3"/>
      <c r="W7" s="91"/>
      <c r="X7" s="91"/>
      <c r="Y7" s="91"/>
      <c r="Z7" s="91"/>
      <c r="AA7" s="92"/>
      <c r="AB7" s="93"/>
      <c r="AC7" s="19"/>
      <c r="AD7" s="9"/>
      <c r="AE7" s="3"/>
      <c r="AF7" s="3"/>
    </row>
    <row r="8" spans="1:32" hidden="1" x14ac:dyDescent="0.25">
      <c r="A8" s="94" t="s">
        <v>14</v>
      </c>
      <c r="B8" s="91">
        <f>+'[1]Data for 2nd TU'!D34</f>
        <v>8.8999999999999996E-2</v>
      </c>
      <c r="C8" s="91">
        <f>+'[1]Data for 2nd TU'!$B$43</f>
        <v>3.1848807346377295E-2</v>
      </c>
      <c r="D8" s="91">
        <f>+'[1]Data for 2nd TU'!$B$48</f>
        <v>8.8359370314842575E-2</v>
      </c>
      <c r="E8" s="91">
        <f t="shared" ref="E8:E11" si="0">+C8+D8</f>
        <v>0.12020817766121987</v>
      </c>
      <c r="F8" s="92">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90"/>
      <c r="O8" s="91"/>
      <c r="P8" s="91"/>
      <c r="Q8" s="91"/>
      <c r="R8" s="92"/>
      <c r="S8" s="93"/>
      <c r="T8" s="19"/>
      <c r="U8" s="3"/>
      <c r="V8" s="3"/>
      <c r="W8" s="91"/>
      <c r="X8" s="91"/>
      <c r="Y8" s="91"/>
      <c r="Z8" s="91"/>
      <c r="AA8" s="92"/>
      <c r="AB8" s="93"/>
      <c r="AC8" s="19"/>
      <c r="AD8" s="9"/>
      <c r="AE8" s="3"/>
      <c r="AF8" s="3"/>
    </row>
    <row r="9" spans="1:32" hidden="1" x14ac:dyDescent="0.25">
      <c r="A9" s="94" t="s">
        <v>15</v>
      </c>
      <c r="B9" s="91">
        <f>+'[1]Data for 2nd TU'!D35</f>
        <v>6.5000000000000002E-2</v>
      </c>
      <c r="C9" s="91">
        <f>+'[1]Data for 2nd TU'!$B$43</f>
        <v>3.1848807346377295E-2</v>
      </c>
      <c r="D9" s="91">
        <f>+'[1]Data for 2nd TU'!$B$48</f>
        <v>8.8359370314842575E-2</v>
      </c>
      <c r="E9" s="91">
        <f t="shared" si="0"/>
        <v>0.12020817766121987</v>
      </c>
      <c r="F9" s="92">
        <f t="shared" si="1"/>
        <v>-5.5208177661219868E-2</v>
      </c>
      <c r="G9" s="32">
        <f>'[1]Data for 2nd TU'!C18</f>
        <v>100050000</v>
      </c>
      <c r="H9" s="26">
        <f t="shared" si="2"/>
        <v>6503250</v>
      </c>
      <c r="I9" s="26">
        <f t="shared" si="3"/>
        <v>3186473.1750050485</v>
      </c>
      <c r="J9" s="26">
        <f t="shared" si="4"/>
        <v>8840355</v>
      </c>
      <c r="K9" s="26">
        <f t="shared" si="5"/>
        <v>-5523578.1750050485</v>
      </c>
      <c r="M9" s="3"/>
      <c r="N9" s="90"/>
      <c r="O9" s="91"/>
      <c r="P9" s="91"/>
      <c r="Q9" s="91"/>
      <c r="R9" s="92"/>
      <c r="S9" s="93"/>
      <c r="T9" s="19"/>
      <c r="U9" s="3"/>
      <c r="V9" s="3"/>
      <c r="W9" s="91"/>
      <c r="X9" s="91"/>
      <c r="Y9" s="91"/>
      <c r="Z9" s="91"/>
      <c r="AA9" s="92"/>
      <c r="AB9" s="93"/>
      <c r="AC9" s="19"/>
      <c r="AD9" s="9"/>
      <c r="AE9" s="3"/>
      <c r="AF9" s="3"/>
    </row>
    <row r="10" spans="1:32" hidden="1" x14ac:dyDescent="0.25">
      <c r="A10" s="94" t="s">
        <v>16</v>
      </c>
      <c r="B10" s="91">
        <f>+'[1]Data for 2nd TU'!D36</f>
        <v>9.4E-2</v>
      </c>
      <c r="C10" s="91">
        <f>+'[1]Data for 2nd TU'!$B$43</f>
        <v>3.1848807346377295E-2</v>
      </c>
      <c r="D10" s="91">
        <f>+'[1]Data for 2nd TU'!$B$48</f>
        <v>8.8359370314842575E-2</v>
      </c>
      <c r="E10" s="91">
        <f t="shared" si="0"/>
        <v>0.12020817766121987</v>
      </c>
      <c r="F10" s="92">
        <f t="shared" si="1"/>
        <v>-2.620817766121987E-2</v>
      </c>
      <c r="G10" s="32">
        <f>'[1]Data for 2nd TU'!C19</f>
        <v>50025000</v>
      </c>
      <c r="H10" s="26">
        <f t="shared" si="2"/>
        <v>4702350</v>
      </c>
      <c r="I10" s="26">
        <f t="shared" si="3"/>
        <v>1593236.5875025243</v>
      </c>
      <c r="J10" s="26">
        <f t="shared" si="4"/>
        <v>4420177.5</v>
      </c>
      <c r="K10" s="26">
        <f t="shared" si="5"/>
        <v>-1311064.0875025243</v>
      </c>
      <c r="M10" s="3"/>
      <c r="N10" s="90"/>
      <c r="O10" s="91"/>
      <c r="P10" s="91"/>
      <c r="Q10" s="91"/>
      <c r="R10" s="92"/>
      <c r="S10" s="93"/>
      <c r="T10" s="19"/>
      <c r="U10" s="3"/>
      <c r="V10" s="3"/>
      <c r="W10" s="91"/>
      <c r="X10" s="91"/>
      <c r="Y10" s="91"/>
      <c r="Z10" s="91"/>
      <c r="AA10" s="92"/>
      <c r="AB10" s="93"/>
      <c r="AC10" s="19"/>
      <c r="AD10" s="9"/>
      <c r="AE10" s="3"/>
      <c r="AF10" s="3"/>
    </row>
    <row r="11" spans="1:32" hidden="1" x14ac:dyDescent="0.25">
      <c r="A11" s="95" t="s">
        <v>17</v>
      </c>
      <c r="B11" s="96">
        <f>+'[1]Data for 2nd TU'!D37</f>
        <v>0.13200000000000001</v>
      </c>
      <c r="C11" s="96">
        <f>+'[1]Data for 2nd TU'!$B$43</f>
        <v>3.1848807346377295E-2</v>
      </c>
      <c r="D11" s="96">
        <f>+'[1]Data for 2nd TU'!$B$48</f>
        <v>8.8359370314842575E-2</v>
      </c>
      <c r="E11" s="96">
        <f t="shared" si="0"/>
        <v>0.12020817766121987</v>
      </c>
      <c r="F11" s="97">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90"/>
      <c r="O11" s="91"/>
      <c r="P11" s="91"/>
      <c r="Q11" s="91"/>
      <c r="R11" s="92"/>
      <c r="S11" s="93"/>
      <c r="T11" s="19"/>
      <c r="U11" s="3"/>
      <c r="V11" s="3"/>
      <c r="W11" s="91"/>
      <c r="X11" s="91"/>
      <c r="Y11" s="91"/>
      <c r="Z11" s="91"/>
      <c r="AA11" s="92"/>
      <c r="AB11" s="93"/>
      <c r="AC11" s="19"/>
      <c r="AD11" s="9"/>
      <c r="AE11" s="3"/>
      <c r="AF11" s="3"/>
    </row>
    <row r="12" spans="1:32" ht="15.75" hidden="1" thickBot="1" x14ac:dyDescent="0.3">
      <c r="B12" s="98">
        <f>+H12/G12</f>
        <v>9.1217777777777773E-2</v>
      </c>
      <c r="G12" s="23">
        <f>SUM(G7:G11)</f>
        <v>225112500</v>
      </c>
      <c r="H12" s="61">
        <f t="shared" ref="H12:J12" si="6">SUM(H7:H11)</f>
        <v>20534262</v>
      </c>
      <c r="I12" s="61">
        <f t="shared" si="6"/>
        <v>7169564.6437613592</v>
      </c>
      <c r="J12" s="61">
        <f t="shared" si="6"/>
        <v>19890798.75</v>
      </c>
      <c r="K12" s="43">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6"/>
      <c r="J13" s="46"/>
      <c r="M13" s="3"/>
      <c r="N13" s="3"/>
      <c r="O13" s="3"/>
      <c r="P13" s="3"/>
      <c r="Q13" s="3"/>
      <c r="R13" s="3"/>
      <c r="S13" s="3"/>
      <c r="T13" s="3"/>
      <c r="U13" s="3"/>
      <c r="V13" s="3"/>
      <c r="W13" s="3"/>
      <c r="X13" s="3"/>
      <c r="Y13" s="3"/>
      <c r="Z13" s="3"/>
      <c r="AA13" s="3"/>
      <c r="AB13" s="3"/>
      <c r="AC13" s="3"/>
      <c r="AD13" s="3"/>
      <c r="AE13" s="3"/>
      <c r="AF13" s="3"/>
    </row>
    <row r="14" spans="1:32" ht="18.75" x14ac:dyDescent="0.3">
      <c r="A14" s="1" t="s">
        <v>115</v>
      </c>
      <c r="M14" s="82"/>
      <c r="N14" s="3"/>
      <c r="O14" s="3"/>
      <c r="P14" s="3"/>
      <c r="Q14" s="3"/>
      <c r="R14" s="3"/>
      <c r="S14" s="3"/>
      <c r="T14" s="3"/>
      <c r="U14" s="3"/>
      <c r="V14" s="82"/>
      <c r="W14" s="3"/>
      <c r="X14" s="3"/>
      <c r="Y14" s="3"/>
      <c r="Z14" s="3"/>
      <c r="AA14" s="99"/>
      <c r="AB14" s="3"/>
      <c r="AC14" s="3"/>
      <c r="AD14" s="3"/>
      <c r="AE14" s="3"/>
      <c r="AF14" s="3"/>
    </row>
    <row r="15" spans="1:32" x14ac:dyDescent="0.25">
      <c r="A15" s="2"/>
      <c r="C15" s="108"/>
      <c r="M15" s="82"/>
      <c r="N15" s="100"/>
      <c r="O15" s="100"/>
      <c r="P15" s="100"/>
      <c r="Q15" s="100"/>
      <c r="R15" s="100"/>
      <c r="S15" s="33"/>
      <c r="T15" s="33"/>
      <c r="V15" s="82"/>
      <c r="W15" s="100"/>
      <c r="X15" s="100"/>
      <c r="Y15" s="100"/>
      <c r="AA15" s="67"/>
    </row>
    <row r="16" spans="1:32" x14ac:dyDescent="0.25">
      <c r="A16" s="2" t="s">
        <v>70</v>
      </c>
      <c r="E16" s="108"/>
      <c r="H16" s="108"/>
      <c r="I16" s="108"/>
      <c r="J16" s="108"/>
      <c r="K16" s="108"/>
      <c r="M16" s="3"/>
      <c r="N16" s="17"/>
      <c r="O16" s="18"/>
      <c r="P16" s="19"/>
      <c r="Q16" s="19"/>
      <c r="R16" s="19"/>
      <c r="S16" s="26"/>
      <c r="T16" s="26"/>
      <c r="V16" s="3"/>
      <c r="W16" s="17"/>
      <c r="X16" s="18"/>
      <c r="Y16" s="19"/>
      <c r="AA16" s="67"/>
    </row>
    <row r="17" spans="1:27" ht="30" x14ac:dyDescent="0.25">
      <c r="A17" s="83" t="s">
        <v>60</v>
      </c>
      <c r="B17" s="84" t="s">
        <v>61</v>
      </c>
      <c r="C17" s="85" t="s">
        <v>71</v>
      </c>
      <c r="D17" s="84" t="s">
        <v>63</v>
      </c>
      <c r="E17" s="85" t="s">
        <v>64</v>
      </c>
      <c r="F17" s="84" t="s">
        <v>65</v>
      </c>
      <c r="G17" s="84" t="s">
        <v>11</v>
      </c>
      <c r="H17" s="85" t="s">
        <v>72</v>
      </c>
      <c r="I17" s="85" t="s">
        <v>73</v>
      </c>
      <c r="J17" s="85" t="s">
        <v>68</v>
      </c>
      <c r="K17" s="85" t="s">
        <v>88</v>
      </c>
      <c r="M17" s="3"/>
      <c r="N17" s="17"/>
      <c r="O17" s="18"/>
      <c r="P17" s="19"/>
      <c r="Q17" s="19"/>
      <c r="R17" s="19"/>
      <c r="S17" s="26"/>
      <c r="T17" s="26"/>
      <c r="V17" s="3"/>
      <c r="W17" s="17"/>
      <c r="X17" s="18"/>
      <c r="Y17" s="19"/>
      <c r="AA17" s="67"/>
    </row>
    <row r="18" spans="1:27" x14ac:dyDescent="0.25">
      <c r="A18" s="87" t="s">
        <v>13</v>
      </c>
      <c r="B18" s="116">
        <f>'Whitby - 2019Jan-Apr'!C67</f>
        <v>7.7000202551813557E-2</v>
      </c>
      <c r="C18" s="88">
        <f>'Whitby - 2019Jan-Apr'!C43</f>
        <v>2.5022866402453468E-2</v>
      </c>
      <c r="D18" s="272">
        <f>'Whitby - 2019Jan-Apr'!C49</f>
        <v>9.1880967847760495E-2</v>
      </c>
      <c r="E18" s="116">
        <f>+C18+D18</f>
        <v>0.11690383425021396</v>
      </c>
      <c r="F18" s="231">
        <f>+B18-E18</f>
        <v>-3.9903631698400402E-2</v>
      </c>
      <c r="G18" s="232">
        <f>'Whitby - 2019Jan-Apr'!D16</f>
        <v>12580773.608180352</v>
      </c>
      <c r="H18" s="26">
        <f>+G18*B18</f>
        <v>968722.11608839734</v>
      </c>
      <c r="I18" s="26">
        <f>+G18*C18</f>
        <v>314807.01723700942</v>
      </c>
      <c r="J18" s="26">
        <f>+G18*D18</f>
        <v>1155933.6553931728</v>
      </c>
      <c r="K18" s="26">
        <f>+H18-I18-J18</f>
        <v>-502018.5565417849</v>
      </c>
      <c r="M18" s="3"/>
      <c r="N18" s="9"/>
      <c r="O18" s="9"/>
      <c r="P18" s="19"/>
      <c r="Q18" s="19"/>
      <c r="R18" s="19"/>
      <c r="S18" s="19"/>
      <c r="T18" s="19"/>
      <c r="V18" s="3"/>
      <c r="W18" s="3"/>
      <c r="X18" s="3"/>
      <c r="Y18" s="19"/>
      <c r="AA18" s="67"/>
    </row>
    <row r="19" spans="1:27" x14ac:dyDescent="0.25">
      <c r="A19" s="94" t="s">
        <v>14</v>
      </c>
      <c r="B19" s="117">
        <f>'Whitby - 2019Jan-Apr'!C68</f>
        <v>8.9000036491975063E-2</v>
      </c>
      <c r="C19" s="91">
        <f>C18</f>
        <v>2.5022866402453468E-2</v>
      </c>
      <c r="D19" s="117">
        <f>D18</f>
        <v>9.1880967847760495E-2</v>
      </c>
      <c r="E19" s="117">
        <f t="shared" ref="E19:E22" si="7">+C19+D19</f>
        <v>0.11690383425021396</v>
      </c>
      <c r="F19" s="233">
        <f t="shared" ref="F19:F22" si="8">+B19-E19</f>
        <v>-2.7903797758238896E-2</v>
      </c>
      <c r="G19" s="232">
        <f>'Whitby - 2019Jan-Apr'!D17</f>
        <v>5429426.3674424747</v>
      </c>
      <c r="H19" s="26">
        <f t="shared" ref="H19:H22" si="9">+G19*B19</f>
        <v>483219.14483287185</v>
      </c>
      <c r="I19" s="26">
        <f t="shared" ref="I19:I22" si="10">+G19*C19</f>
        <v>135859.81063447127</v>
      </c>
      <c r="J19" s="26">
        <f t="shared" ref="J19:J22" si="11">+G19*D19</f>
        <v>498860.94949876505</v>
      </c>
      <c r="K19" s="26">
        <f t="shared" ref="K19:K22" si="12">+H19-I19-J19</f>
        <v>-151501.61530036444</v>
      </c>
      <c r="M19" s="3"/>
      <c r="N19" s="3"/>
      <c r="O19" s="3"/>
      <c r="P19" s="3"/>
      <c r="Q19" s="3"/>
      <c r="R19" s="3"/>
      <c r="V19" s="3"/>
      <c r="W19" s="3"/>
      <c r="X19" s="3"/>
      <c r="Y19" s="3"/>
      <c r="AA19" s="67"/>
    </row>
    <row r="20" spans="1:27" x14ac:dyDescent="0.25">
      <c r="A20" s="94" t="s">
        <v>15</v>
      </c>
      <c r="B20" s="117">
        <f>'Whitby - 2019Jan-Apr'!C69</f>
        <v>6.5000097596255482E-2</v>
      </c>
      <c r="C20" s="91">
        <f>C19</f>
        <v>2.5022866402453468E-2</v>
      </c>
      <c r="D20" s="117">
        <f>D18</f>
        <v>9.1880967847760495E-2</v>
      </c>
      <c r="E20" s="117">
        <f t="shared" si="7"/>
        <v>0.11690383425021396</v>
      </c>
      <c r="F20" s="233">
        <f t="shared" si="8"/>
        <v>-5.1903736653958477E-2</v>
      </c>
      <c r="G20" s="232">
        <f>'Whitby - 2019Jan-Apr'!D18</f>
        <v>89491259.06246312</v>
      </c>
      <c r="H20" s="26">
        <f t="shared" si="9"/>
        <v>5816940.5730718859</v>
      </c>
      <c r="I20" s="26">
        <f t="shared" si="10"/>
        <v>2239327.819707368</v>
      </c>
      <c r="J20" s="26">
        <f t="shared" si="11"/>
        <v>8222543.4965737788</v>
      </c>
      <c r="K20" s="26">
        <f t="shared" si="12"/>
        <v>-4644930.7432092614</v>
      </c>
      <c r="M20" s="82"/>
      <c r="N20" s="3"/>
      <c r="O20" s="3"/>
      <c r="P20" s="3"/>
      <c r="Q20" s="3"/>
      <c r="R20" s="3"/>
      <c r="V20" s="82"/>
      <c r="W20" s="3"/>
      <c r="X20" s="3"/>
      <c r="Y20" s="3"/>
    </row>
    <row r="21" spans="1:27" x14ac:dyDescent="0.25">
      <c r="A21" s="94" t="s">
        <v>16</v>
      </c>
      <c r="B21" s="117">
        <f>'Whitby - 2019Jan-Apr'!C70</f>
        <v>9.4000293652451453E-2</v>
      </c>
      <c r="C21" s="91">
        <f>C20</f>
        <v>2.5022866402453468E-2</v>
      </c>
      <c r="D21" s="117">
        <f>D18</f>
        <v>9.1880967847760495E-2</v>
      </c>
      <c r="E21" s="117">
        <f t="shared" si="7"/>
        <v>0.11690383425021396</v>
      </c>
      <c r="F21" s="233">
        <f t="shared" si="8"/>
        <v>-2.2903540597762506E-2</v>
      </c>
      <c r="G21" s="232">
        <f>'Whitby - 2019Jan-Apr'!D19</f>
        <v>23584421.17650653</v>
      </c>
      <c r="H21" s="26">
        <f t="shared" si="9"/>
        <v>2216942.5162147083</v>
      </c>
      <c r="I21" s="26">
        <f t="shared" si="10"/>
        <v>590149.82027891732</v>
      </c>
      <c r="J21" s="26">
        <f t="shared" si="11"/>
        <v>2166959.4438266382</v>
      </c>
      <c r="K21" s="26">
        <f t="shared" si="12"/>
        <v>-540166.74789084727</v>
      </c>
      <c r="M21" s="3"/>
      <c r="N21" s="3"/>
      <c r="O21" s="3"/>
      <c r="P21" s="9"/>
      <c r="Q21" s="9"/>
      <c r="R21" s="9"/>
      <c r="S21" s="46"/>
      <c r="T21" s="46"/>
      <c r="V21" s="3"/>
      <c r="W21" s="3"/>
      <c r="X21" s="3"/>
      <c r="Y21" s="9"/>
    </row>
    <row r="22" spans="1:27" x14ac:dyDescent="0.25">
      <c r="A22" s="95" t="s">
        <v>17</v>
      </c>
      <c r="B22" s="118">
        <f>'Whitby - 2019Jan-Apr'!C71</f>
        <v>0.1320004074775038</v>
      </c>
      <c r="C22" s="96">
        <f>C21</f>
        <v>2.5022866402453468E-2</v>
      </c>
      <c r="D22" s="118">
        <f>D18</f>
        <v>9.1880967847760495E-2</v>
      </c>
      <c r="E22" s="118">
        <f t="shared" si="7"/>
        <v>0.11690383425021396</v>
      </c>
      <c r="F22" s="234">
        <f t="shared" si="8"/>
        <v>1.5096573227289842E-2</v>
      </c>
      <c r="G22" s="232">
        <f>'Whitby - 2019Jan-Apr'!D20</f>
        <v>24974131.098320238</v>
      </c>
      <c r="H22" s="26">
        <f t="shared" si="9"/>
        <v>3296595.481374871</v>
      </c>
      <c r="I22" s="26">
        <f t="shared" si="10"/>
        <v>624924.34599062579</v>
      </c>
      <c r="J22" s="26">
        <f t="shared" si="11"/>
        <v>2294647.3364705173</v>
      </c>
      <c r="K22" s="26">
        <f t="shared" si="12"/>
        <v>377023.79891372798</v>
      </c>
      <c r="M22" s="3"/>
      <c r="N22" s="3"/>
      <c r="O22" s="3"/>
      <c r="P22" s="9"/>
      <c r="Q22" s="9"/>
      <c r="R22" s="9"/>
      <c r="S22" s="46"/>
      <c r="T22" s="46"/>
      <c r="V22" s="3"/>
      <c r="W22" s="3"/>
      <c r="X22" s="3"/>
      <c r="Y22" s="9"/>
    </row>
    <row r="23" spans="1:27" ht="15.75" thickBot="1" x14ac:dyDescent="0.3">
      <c r="B23" s="98">
        <f>+H23/G23</f>
        <v>8.1907080001121929E-2</v>
      </c>
      <c r="G23" s="23">
        <f>SUM(G18:G22)</f>
        <v>156060011.3129127</v>
      </c>
      <c r="H23" s="43">
        <f t="shared" ref="H23:J23" si="13">SUM(H18:H22)</f>
        <v>12782419.831582734</v>
      </c>
      <c r="I23" s="61">
        <f t="shared" si="13"/>
        <v>3905068.8138483916</v>
      </c>
      <c r="J23" s="61">
        <f t="shared" si="13"/>
        <v>14338944.881762873</v>
      </c>
      <c r="K23" s="61">
        <f>SUM(K18:K22)</f>
        <v>-5461593.8640285302</v>
      </c>
      <c r="M23" s="3"/>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74</v>
      </c>
      <c r="M25" s="101"/>
      <c r="N25" s="3"/>
      <c r="O25" s="3"/>
      <c r="P25" s="3"/>
      <c r="Q25" s="3"/>
      <c r="R25" s="3"/>
      <c r="V25" s="3"/>
      <c r="W25" s="3"/>
      <c r="X25" s="3"/>
      <c r="Y25" s="3"/>
    </row>
    <row r="26" spans="1:27" ht="18.75" hidden="1" x14ac:dyDescent="0.3">
      <c r="A26" s="1"/>
      <c r="M26" s="101"/>
      <c r="N26" s="3"/>
      <c r="O26" s="3"/>
      <c r="P26" s="3"/>
      <c r="Q26" s="3"/>
      <c r="R26" s="3"/>
      <c r="V26" s="3"/>
      <c r="W26" s="3"/>
      <c r="X26" s="3"/>
      <c r="Y26" s="3"/>
    </row>
    <row r="27" spans="1:27" hidden="1" x14ac:dyDescent="0.25">
      <c r="A27" s="2" t="s">
        <v>75</v>
      </c>
      <c r="M27" s="101"/>
      <c r="N27" s="3"/>
      <c r="O27" s="3"/>
      <c r="P27" s="3"/>
      <c r="Q27" s="3"/>
      <c r="R27" s="3"/>
      <c r="V27" s="3"/>
      <c r="W27" s="3"/>
      <c r="X27" s="3"/>
      <c r="Y27" s="3"/>
    </row>
    <row r="28" spans="1:27" ht="45" hidden="1" x14ac:dyDescent="0.25">
      <c r="A28" s="102" t="s">
        <v>76</v>
      </c>
      <c r="B28" s="84" t="s">
        <v>61</v>
      </c>
      <c r="C28" s="85" t="s">
        <v>77</v>
      </c>
      <c r="D28" s="85" t="s">
        <v>78</v>
      </c>
      <c r="E28" s="85" t="s">
        <v>64</v>
      </c>
      <c r="F28" s="84" t="s">
        <v>65</v>
      </c>
      <c r="G28" s="84" t="s">
        <v>11</v>
      </c>
      <c r="H28" s="85" t="s">
        <v>79</v>
      </c>
      <c r="I28" s="85" t="s">
        <v>80</v>
      </c>
      <c r="J28" s="85" t="s">
        <v>81</v>
      </c>
      <c r="K28" s="85" t="s">
        <v>82</v>
      </c>
      <c r="M28" s="49"/>
      <c r="N28" s="103"/>
    </row>
    <row r="29" spans="1:27" hidden="1" x14ac:dyDescent="0.25">
      <c r="A29" s="87" t="s">
        <v>13</v>
      </c>
      <c r="B29" s="104">
        <f>+B7-B18</f>
        <v>-2.0255181355788299E-7</v>
      </c>
      <c r="C29" s="88">
        <f t="shared" ref="C29:G33" si="14">+C7-C18</f>
        <v>6.8259409439238271E-3</v>
      </c>
      <c r="D29" s="88">
        <f t="shared" si="14"/>
        <v>-3.5215975329179194E-3</v>
      </c>
      <c r="E29" s="88">
        <f t="shared" si="14"/>
        <v>3.3043434110059111E-3</v>
      </c>
      <c r="F29" s="89">
        <f t="shared" si="14"/>
        <v>-3.304545962819469E-3</v>
      </c>
      <c r="G29" s="32">
        <f t="shared" si="14"/>
        <v>-7578273.6081803516</v>
      </c>
      <c r="H29" s="26">
        <f>+H18-H7</f>
        <v>583529.61608839734</v>
      </c>
      <c r="I29" s="26">
        <f t="shared" ref="I29:J33" si="15">+I18-I7</f>
        <v>155483.358486757</v>
      </c>
      <c r="J29" s="26">
        <f t="shared" si="15"/>
        <v>713915.90539317275</v>
      </c>
      <c r="K29" s="26">
        <f>+H29-I29-J29</f>
        <v>-285869.64779153245</v>
      </c>
      <c r="M29" s="46"/>
      <c r="N29" s="64"/>
    </row>
    <row r="30" spans="1:27" hidden="1" x14ac:dyDescent="0.25">
      <c r="A30" s="94" t="s">
        <v>14</v>
      </c>
      <c r="B30" s="90">
        <f>+B8-B19</f>
        <v>-3.6491975066721416E-8</v>
      </c>
      <c r="C30" s="91">
        <f t="shared" si="14"/>
        <v>6.8259409439238271E-3</v>
      </c>
      <c r="D30" s="91">
        <f t="shared" si="14"/>
        <v>-3.5215975329179194E-3</v>
      </c>
      <c r="E30" s="91">
        <f t="shared" si="14"/>
        <v>3.3043434110059111E-3</v>
      </c>
      <c r="F30" s="92">
        <f t="shared" si="14"/>
        <v>-3.3043799029809778E-3</v>
      </c>
      <c r="G30" s="32">
        <f t="shared" si="14"/>
        <v>1574073.6325575253</v>
      </c>
      <c r="H30" s="26">
        <f>+H19-H8</f>
        <v>-140092.35516712815</v>
      </c>
      <c r="I30" s="26">
        <f t="shared" si="15"/>
        <v>-87193.311615882121</v>
      </c>
      <c r="J30" s="26">
        <f t="shared" si="15"/>
        <v>-119963.90050123492</v>
      </c>
      <c r="K30" s="26">
        <f t="shared" ref="K30:K33" si="16">+H30-I30-J30</f>
        <v>67064.856949988898</v>
      </c>
      <c r="M30" s="46"/>
      <c r="N30" s="64"/>
    </row>
    <row r="31" spans="1:27" hidden="1" x14ac:dyDescent="0.25">
      <c r="A31" s="94" t="s">
        <v>15</v>
      </c>
      <c r="B31" s="90">
        <f>+B9-B20</f>
        <v>-9.7596255480003613E-8</v>
      </c>
      <c r="C31" s="91">
        <f t="shared" si="14"/>
        <v>6.8259409439238271E-3</v>
      </c>
      <c r="D31" s="91">
        <f t="shared" si="14"/>
        <v>-3.5215975329179194E-3</v>
      </c>
      <c r="E31" s="91">
        <f t="shared" si="14"/>
        <v>3.3043434110059111E-3</v>
      </c>
      <c r="F31" s="92">
        <f t="shared" si="14"/>
        <v>-3.3044410072613911E-3</v>
      </c>
      <c r="G31" s="32">
        <f t="shared" si="14"/>
        <v>10558740.93753688</v>
      </c>
      <c r="H31" s="26">
        <f>+H20-H9</f>
        <v>-686309.42692811415</v>
      </c>
      <c r="I31" s="26">
        <f t="shared" si="15"/>
        <v>-947145.35529768048</v>
      </c>
      <c r="J31" s="26">
        <f t="shared" si="15"/>
        <v>-617811.5034262212</v>
      </c>
      <c r="K31" s="26">
        <f t="shared" si="16"/>
        <v>878647.43179578753</v>
      </c>
      <c r="M31" s="46"/>
      <c r="N31" s="64"/>
    </row>
    <row r="32" spans="1:27" hidden="1" x14ac:dyDescent="0.25">
      <c r="A32" s="94" t="s">
        <v>16</v>
      </c>
      <c r="B32" s="90">
        <f>+B10-B21</f>
        <v>-2.9365245145240859E-7</v>
      </c>
      <c r="C32" s="91">
        <f t="shared" si="14"/>
        <v>6.8259409439238271E-3</v>
      </c>
      <c r="D32" s="91">
        <f t="shared" si="14"/>
        <v>-3.5215975329179194E-3</v>
      </c>
      <c r="E32" s="91">
        <f t="shared" si="14"/>
        <v>3.3043434110059111E-3</v>
      </c>
      <c r="F32" s="92">
        <f t="shared" si="14"/>
        <v>-3.3046370634573635E-3</v>
      </c>
      <c r="G32" s="32">
        <f t="shared" si="14"/>
        <v>26440578.82349347</v>
      </c>
      <c r="H32" s="26">
        <f>+H21-H10</f>
        <v>-2485407.4837852917</v>
      </c>
      <c r="I32" s="26">
        <f t="shared" si="15"/>
        <v>-1003086.7672236069</v>
      </c>
      <c r="J32" s="26">
        <f t="shared" si="15"/>
        <v>-2253218.0561733618</v>
      </c>
      <c r="K32" s="26">
        <f t="shared" si="16"/>
        <v>770897.33961167699</v>
      </c>
      <c r="M32" s="46"/>
      <c r="N32" s="64"/>
    </row>
    <row r="33" spans="1:14" hidden="1" x14ac:dyDescent="0.25">
      <c r="A33" s="95" t="s">
        <v>17</v>
      </c>
      <c r="B33" s="105">
        <f>+B11-B22</f>
        <v>-4.0747750379432901E-7</v>
      </c>
      <c r="C33" s="96">
        <f t="shared" si="14"/>
        <v>6.8259409439238271E-3</v>
      </c>
      <c r="D33" s="96">
        <f t="shared" si="14"/>
        <v>-3.5215975329179194E-3</v>
      </c>
      <c r="E33" s="96">
        <f t="shared" si="14"/>
        <v>3.3043434110059111E-3</v>
      </c>
      <c r="F33" s="97">
        <f t="shared" si="14"/>
        <v>-3.3047508885097054E-3</v>
      </c>
      <c r="G33" s="32">
        <f t="shared" si="14"/>
        <v>38057368.901679769</v>
      </c>
      <c r="H33" s="26">
        <f>+H22-H11</f>
        <v>-5023562.5186251299</v>
      </c>
      <c r="I33" s="26">
        <f t="shared" si="15"/>
        <v>-1382553.7542625549</v>
      </c>
      <c r="J33" s="26">
        <f t="shared" si="15"/>
        <v>-3274776.313529483</v>
      </c>
      <c r="K33" s="26">
        <f t="shared" si="16"/>
        <v>-366232.45083309198</v>
      </c>
      <c r="M33" s="46"/>
      <c r="N33" s="64"/>
    </row>
    <row r="34" spans="1:14" ht="15.75" hidden="1" thickBot="1" x14ac:dyDescent="0.3">
      <c r="G34" s="23">
        <f>SUM(G29:G33)</f>
        <v>69052488.687087297</v>
      </c>
      <c r="H34" s="61">
        <f t="shared" ref="H34:J34" si="17">SUM(H29:H33)</f>
        <v>-7751842.1684172666</v>
      </c>
      <c r="I34" s="61">
        <f t="shared" si="17"/>
        <v>-3264495.8299129675</v>
      </c>
      <c r="J34" s="61">
        <f t="shared" si="17"/>
        <v>-5551853.8682371285</v>
      </c>
      <c r="K34" s="61">
        <f>SUM(K29:K33)</f>
        <v>1064507.529732829</v>
      </c>
    </row>
    <row r="35" spans="1:14" ht="14.45" x14ac:dyDescent="0.3">
      <c r="K35" s="25"/>
    </row>
    <row r="36" spans="1:14" ht="14.45" x14ac:dyDescent="0.3">
      <c r="J36" s="6"/>
      <c r="K36" s="46"/>
    </row>
    <row r="37" spans="1:14" ht="14.45" x14ac:dyDescent="0.3">
      <c r="J37" s="37"/>
      <c r="K37" s="46"/>
    </row>
    <row r="38" spans="1:14" ht="14.45" x14ac:dyDescent="0.3">
      <c r="J38" s="14"/>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2"/>
  <sheetViews>
    <sheetView topLeftCell="A41" workbookViewId="0">
      <selection activeCell="E103" sqref="E103"/>
    </sheetView>
  </sheetViews>
  <sheetFormatPr defaultColWidth="9.140625" defaultRowHeight="15" x14ac:dyDescent="0.25"/>
  <cols>
    <col min="1" max="1" width="9.140625" style="275"/>
    <col min="2" max="2" width="3.7109375" style="275" customWidth="1"/>
    <col min="3" max="3" width="49.5703125" style="275" bestFit="1" customWidth="1"/>
    <col min="4" max="4" width="5.42578125" style="275" bestFit="1" customWidth="1"/>
    <col min="5" max="5" width="14.28515625" style="275" bestFit="1" customWidth="1"/>
    <col min="6" max="6" width="14" style="275" customWidth="1"/>
    <col min="7" max="7" width="12" style="275" bestFit="1" customWidth="1"/>
    <col min="8" max="8" width="7" style="275" bestFit="1" customWidth="1"/>
    <col min="9" max="9" width="14.28515625" style="275" customWidth="1"/>
    <col min="10" max="10" width="1.5703125" style="275" customWidth="1"/>
    <col min="11" max="11" width="1.7109375" style="275" customWidth="1"/>
    <col min="12" max="12" width="4.85546875" style="275" customWidth="1"/>
    <col min="13" max="13" width="12.85546875" style="275" customWidth="1"/>
    <col min="14" max="14" width="12.5703125" style="275" customWidth="1"/>
    <col min="15" max="15" width="12.7109375" style="275" customWidth="1"/>
    <col min="16" max="16" width="14.140625" style="275" bestFit="1" customWidth="1"/>
    <col min="17" max="17" width="14.42578125" style="275" bestFit="1" customWidth="1"/>
    <col min="18" max="20" width="14.28515625" style="275" bestFit="1" customWidth="1"/>
    <col min="21" max="21" width="15.28515625" style="275" bestFit="1" customWidth="1"/>
    <col min="22" max="22" width="14" style="275" bestFit="1" customWidth="1"/>
    <col min="23" max="23" width="15" style="275" bestFit="1" customWidth="1"/>
    <col min="24" max="24" width="13.28515625" style="275" bestFit="1" customWidth="1"/>
    <col min="25" max="25" width="12.28515625" style="275" bestFit="1" customWidth="1"/>
    <col min="26" max="26" width="13.140625" style="275" customWidth="1"/>
    <col min="27" max="27" width="11.42578125" style="275" customWidth="1"/>
    <col min="28" max="28" width="13.42578125" style="275" customWidth="1"/>
    <col min="29" max="29" width="12.5703125" style="275" bestFit="1" customWidth="1"/>
    <col min="30" max="30" width="20.140625" style="275" customWidth="1"/>
    <col min="31" max="31" width="15.28515625" style="275" bestFit="1" customWidth="1"/>
    <col min="32" max="33" width="14.28515625" style="275" bestFit="1" customWidth="1"/>
    <col min="34" max="35" width="14.140625" style="275" customWidth="1"/>
    <col min="36" max="37" width="14.28515625" style="275" bestFit="1" customWidth="1"/>
    <col min="38" max="38" width="14.140625" style="275" customWidth="1"/>
    <col min="39" max="40" width="14.28515625" style="275" bestFit="1" customWidth="1"/>
    <col min="41" max="41" width="14.42578125" style="275" bestFit="1" customWidth="1"/>
    <col min="42" max="42" width="14.28515625" style="275" customWidth="1"/>
    <col min="43" max="43" width="14.28515625" style="275" bestFit="1" customWidth="1"/>
    <col min="44" max="44" width="15.28515625" style="275" bestFit="1" customWidth="1"/>
    <col min="45" max="45" width="14.28515625" style="275" bestFit="1" customWidth="1"/>
    <col min="46" max="46" width="9.140625" style="275"/>
    <col min="47" max="47" width="15.28515625" style="275" bestFit="1" customWidth="1"/>
    <col min="48" max="16384" width="9.140625" style="275"/>
  </cols>
  <sheetData>
    <row r="1" spans="2:47" ht="21" x14ac:dyDescent="0.35">
      <c r="B1" s="274" t="s">
        <v>211</v>
      </c>
      <c r="L1" s="276"/>
      <c r="M1" s="277"/>
      <c r="N1" s="277"/>
      <c r="O1" s="277"/>
      <c r="P1" s="277"/>
      <c r="Q1" s="277"/>
      <c r="R1" s="277"/>
      <c r="S1" s="277"/>
      <c r="T1" s="277"/>
      <c r="U1" s="277"/>
      <c r="V1" s="277"/>
      <c r="W1" s="277"/>
      <c r="X1" s="277"/>
      <c r="Y1" s="277"/>
      <c r="Z1" s="277"/>
      <c r="AA1" s="277"/>
      <c r="AB1" s="277"/>
    </row>
    <row r="2" spans="2:47" ht="33.75" customHeight="1" x14ac:dyDescent="0.25">
      <c r="B2" s="278" t="s">
        <v>201</v>
      </c>
      <c r="C2" s="279"/>
      <c r="D2" s="279"/>
      <c r="E2" s="280" t="s">
        <v>219</v>
      </c>
      <c r="F2" s="279"/>
      <c r="G2" s="279"/>
      <c r="H2" s="279"/>
      <c r="M2" s="277"/>
      <c r="N2" s="277"/>
      <c r="O2" s="277"/>
      <c r="P2" s="277"/>
      <c r="Q2" s="277"/>
      <c r="R2" s="277"/>
      <c r="S2" s="277"/>
      <c r="T2" s="277"/>
      <c r="U2" s="277"/>
      <c r="V2" s="277"/>
      <c r="W2" s="277"/>
      <c r="X2" s="277"/>
      <c r="Y2" s="277"/>
      <c r="Z2" s="277"/>
      <c r="AA2" s="277"/>
      <c r="AB2" s="277"/>
    </row>
    <row r="3" spans="2:47" x14ac:dyDescent="0.25">
      <c r="B3" s="279"/>
      <c r="C3" s="279"/>
      <c r="D3" s="279"/>
      <c r="E3" s="279"/>
      <c r="F3" s="279"/>
      <c r="G3" s="279"/>
      <c r="H3" s="279"/>
      <c r="M3" s="277"/>
      <c r="N3" s="277"/>
      <c r="O3" s="277"/>
      <c r="P3" s="277"/>
      <c r="Q3" s="277"/>
      <c r="R3" s="277"/>
      <c r="S3" s="277"/>
      <c r="T3" s="277"/>
      <c r="U3" s="277"/>
      <c r="V3" s="277"/>
      <c r="W3" s="277"/>
      <c r="X3" s="277"/>
      <c r="Y3" s="277"/>
      <c r="Z3" s="277"/>
      <c r="AA3" s="277"/>
      <c r="AB3" s="277"/>
    </row>
    <row r="4" spans="2:47" ht="18" x14ac:dyDescent="0.35">
      <c r="B4" s="281" t="s">
        <v>134</v>
      </c>
      <c r="C4" s="282"/>
      <c r="D4" s="283"/>
      <c r="E4" s="284">
        <v>0</v>
      </c>
      <c r="F4" s="283"/>
      <c r="M4" s="285"/>
      <c r="N4" s="277"/>
      <c r="O4" s="285"/>
      <c r="P4" s="277"/>
      <c r="Q4" s="285"/>
      <c r="R4" s="277"/>
      <c r="S4" s="285"/>
      <c r="T4" s="286"/>
      <c r="U4" s="285"/>
      <c r="V4" s="285"/>
      <c r="W4" s="277"/>
      <c r="X4" s="277"/>
      <c r="Y4" s="277"/>
      <c r="Z4" s="277"/>
      <c r="AA4" s="277"/>
      <c r="AB4" s="277"/>
    </row>
    <row r="5" spans="2:47" ht="16.5" x14ac:dyDescent="0.3">
      <c r="B5" s="287"/>
      <c r="C5" s="287"/>
      <c r="D5" s="287"/>
      <c r="E5" s="288"/>
      <c r="F5" s="289"/>
      <c r="M5" s="277"/>
      <c r="N5" s="277"/>
      <c r="O5" s="277"/>
      <c r="P5" s="277"/>
      <c r="Q5" s="277"/>
      <c r="R5" s="277"/>
      <c r="S5" s="277"/>
      <c r="T5" s="277"/>
      <c r="U5" s="277"/>
      <c r="V5" s="277"/>
      <c r="W5" s="277"/>
      <c r="X5" s="277"/>
      <c r="Y5" s="277"/>
      <c r="Z5" s="277"/>
      <c r="AA5" s="277"/>
      <c r="AB5" s="277"/>
      <c r="AE5" s="290"/>
      <c r="AF5" s="290"/>
      <c r="AG5" s="290"/>
      <c r="AH5" s="290"/>
      <c r="AI5" s="290"/>
      <c r="AJ5" s="290"/>
      <c r="AK5" s="290"/>
      <c r="AL5" s="290"/>
      <c r="AM5" s="290"/>
      <c r="AN5" s="290"/>
      <c r="AO5" s="290"/>
      <c r="AP5" s="290"/>
      <c r="AQ5" s="290"/>
      <c r="AR5" s="290"/>
      <c r="AS5" s="290"/>
    </row>
    <row r="6" spans="2:47" ht="16.5" x14ac:dyDescent="0.3">
      <c r="B6" s="287"/>
      <c r="C6" s="287"/>
      <c r="D6" s="291"/>
      <c r="E6" s="291"/>
      <c r="F6" s="291"/>
      <c r="M6" s="292"/>
      <c r="N6" s="292"/>
      <c r="O6" s="292"/>
      <c r="P6" s="292"/>
      <c r="Q6" s="292"/>
      <c r="R6" s="292"/>
      <c r="S6" s="292"/>
      <c r="T6" s="292"/>
      <c r="U6" s="292"/>
      <c r="V6" s="292"/>
      <c r="W6" s="277"/>
      <c r="X6" s="277"/>
      <c r="Y6" s="277"/>
      <c r="Z6" s="277"/>
      <c r="AA6" s="277"/>
      <c r="AB6" s="277"/>
      <c r="AE6" s="293"/>
      <c r="AF6" s="293"/>
      <c r="AG6" s="293"/>
      <c r="AH6" s="293"/>
      <c r="AI6" s="293"/>
      <c r="AP6" s="293"/>
      <c r="AQ6" s="293"/>
      <c r="AR6" s="293"/>
      <c r="AS6" s="293"/>
    </row>
    <row r="7" spans="2:47" ht="16.5" x14ac:dyDescent="0.3">
      <c r="B7" s="287"/>
      <c r="C7" s="294" t="s">
        <v>195</v>
      </c>
      <c r="D7" s="291"/>
      <c r="E7" s="291">
        <v>-8942745.1300000008</v>
      </c>
      <c r="F7" s="295"/>
      <c r="G7" s="293"/>
      <c r="M7" s="292"/>
      <c r="N7" s="292"/>
      <c r="O7" s="292"/>
      <c r="P7" s="292"/>
      <c r="Q7" s="292"/>
      <c r="R7" s="292"/>
      <c r="S7" s="292"/>
      <c r="T7" s="292"/>
      <c r="U7" s="292"/>
      <c r="V7" s="292"/>
      <c r="W7" s="277"/>
      <c r="X7" s="277"/>
      <c r="Y7" s="277"/>
      <c r="Z7" s="277"/>
      <c r="AA7" s="277"/>
      <c r="AB7" s="277"/>
      <c r="AE7" s="293"/>
      <c r="AF7" s="293"/>
      <c r="AG7" s="293"/>
      <c r="AH7" s="293"/>
      <c r="AI7" s="293"/>
      <c r="AJ7" s="293"/>
      <c r="AK7" s="293"/>
      <c r="AL7" s="293"/>
      <c r="AM7" s="293"/>
      <c r="AN7" s="293"/>
      <c r="AO7" s="293"/>
      <c r="AP7" s="293"/>
      <c r="AQ7" s="293"/>
      <c r="AR7" s="293"/>
      <c r="AS7" s="293"/>
    </row>
    <row r="8" spans="2:47" ht="16.5" x14ac:dyDescent="0.3">
      <c r="B8" s="287"/>
      <c r="C8" s="294"/>
      <c r="D8" s="291"/>
      <c r="E8" s="291"/>
      <c r="F8" s="295"/>
      <c r="M8" s="292"/>
      <c r="N8" s="292"/>
      <c r="O8" s="292"/>
      <c r="P8" s="292"/>
      <c r="Q8" s="292"/>
      <c r="R8" s="292"/>
      <c r="S8" s="292"/>
      <c r="T8" s="292"/>
      <c r="U8" s="292"/>
      <c r="V8" s="292"/>
      <c r="W8" s="277"/>
      <c r="X8" s="277"/>
      <c r="Y8" s="277"/>
      <c r="Z8" s="277"/>
      <c r="AA8" s="277"/>
      <c r="AB8" s="277"/>
      <c r="AI8" s="293"/>
      <c r="AP8" s="293"/>
      <c r="AQ8" s="293"/>
      <c r="AR8" s="293"/>
      <c r="AS8" s="293"/>
    </row>
    <row r="9" spans="2:47" ht="16.5" x14ac:dyDescent="0.3">
      <c r="B9" s="287"/>
      <c r="C9" s="294"/>
      <c r="D9" s="291"/>
      <c r="E9" s="291"/>
      <c r="F9" s="295"/>
      <c r="M9" s="277"/>
      <c r="N9" s="277"/>
      <c r="O9" s="277"/>
      <c r="P9" s="277"/>
      <c r="Q9" s="277"/>
      <c r="R9" s="277"/>
      <c r="S9" s="277"/>
      <c r="T9" s="277"/>
      <c r="U9" s="277"/>
      <c r="V9" s="277"/>
      <c r="W9" s="277"/>
      <c r="X9" s="277"/>
      <c r="Y9" s="277"/>
      <c r="Z9" s="277"/>
      <c r="AA9" s="277"/>
      <c r="AB9" s="277"/>
    </row>
    <row r="10" spans="2:47" ht="16.5" x14ac:dyDescent="0.3">
      <c r="B10" s="287"/>
      <c r="C10" s="294" t="s">
        <v>90</v>
      </c>
      <c r="D10" s="291"/>
      <c r="E10" s="291"/>
      <c r="F10" s="295"/>
      <c r="M10" s="296"/>
      <c r="N10" s="296"/>
      <c r="O10" s="296"/>
      <c r="P10" s="296"/>
      <c r="Q10" s="296"/>
      <c r="R10" s="296"/>
      <c r="S10" s="296"/>
      <c r="T10" s="296"/>
      <c r="U10" s="296"/>
      <c r="V10" s="296"/>
      <c r="W10" s="296"/>
      <c r="X10" s="296"/>
      <c r="Y10" s="277"/>
      <c r="Z10" s="277"/>
      <c r="AA10" s="277"/>
      <c r="AB10" s="277"/>
      <c r="AI10" s="297"/>
      <c r="AP10" s="297"/>
      <c r="AQ10" s="297"/>
      <c r="AR10" s="297"/>
      <c r="AS10" s="297"/>
      <c r="AU10" s="298"/>
    </row>
    <row r="11" spans="2:47" ht="16.5" x14ac:dyDescent="0.3">
      <c r="B11" s="287"/>
      <c r="C11" s="294" t="s">
        <v>91</v>
      </c>
      <c r="D11" s="299">
        <v>1142</v>
      </c>
      <c r="E11" s="291">
        <v>-4190801.19</v>
      </c>
      <c r="F11" s="404" t="s">
        <v>218</v>
      </c>
      <c r="G11" s="405"/>
      <c r="H11" s="406"/>
      <c r="I11" s="407"/>
      <c r="M11" s="300"/>
      <c r="N11" s="300"/>
      <c r="O11" s="300"/>
      <c r="P11" s="300"/>
      <c r="Q11" s="300"/>
      <c r="R11" s="300"/>
      <c r="S11" s="300"/>
      <c r="T11" s="300"/>
      <c r="U11" s="300"/>
      <c r="V11" s="300"/>
      <c r="W11" s="300"/>
      <c r="X11" s="300"/>
      <c r="Y11" s="292"/>
      <c r="Z11" s="277"/>
      <c r="AA11" s="277"/>
      <c r="AB11" s="277"/>
      <c r="AI11" s="297"/>
      <c r="AP11" s="297"/>
      <c r="AQ11" s="297"/>
      <c r="AR11" s="297"/>
      <c r="AS11" s="297"/>
    </row>
    <row r="12" spans="2:47" ht="16.5" x14ac:dyDescent="0.3">
      <c r="B12" s="287"/>
      <c r="C12" s="294" t="s">
        <v>191</v>
      </c>
      <c r="D12" s="299">
        <v>148</v>
      </c>
      <c r="E12" s="291">
        <v>13984084.640000001</v>
      </c>
      <c r="F12" s="405"/>
      <c r="G12" s="405"/>
      <c r="H12" s="406"/>
      <c r="I12" s="407"/>
      <c r="M12" s="300"/>
      <c r="N12" s="300"/>
      <c r="O12" s="300"/>
      <c r="P12" s="300"/>
      <c r="Q12" s="300"/>
      <c r="R12" s="300"/>
      <c r="S12" s="300"/>
      <c r="T12" s="300"/>
      <c r="U12" s="300"/>
      <c r="V12" s="300"/>
      <c r="W12" s="300"/>
      <c r="X12" s="300"/>
      <c r="Y12" s="292"/>
      <c r="Z12" s="277"/>
      <c r="AA12" s="277"/>
      <c r="AB12" s="277"/>
    </row>
    <row r="13" spans="2:47" ht="16.5" x14ac:dyDescent="0.3">
      <c r="B13" s="287"/>
      <c r="C13" s="294" t="s">
        <v>197</v>
      </c>
      <c r="D13" s="299">
        <v>148</v>
      </c>
      <c r="E13" s="291">
        <f>O63-E12</f>
        <v>354860.2417628672</v>
      </c>
      <c r="F13" s="295"/>
      <c r="G13" s="293"/>
      <c r="M13" s="277"/>
      <c r="N13" s="277"/>
      <c r="O13" s="277"/>
      <c r="P13" s="277"/>
      <c r="Q13" s="277"/>
      <c r="R13" s="277"/>
      <c r="S13" s="277"/>
      <c r="T13" s="277"/>
      <c r="U13" s="277"/>
      <c r="V13" s="277"/>
      <c r="W13" s="277"/>
      <c r="X13" s="277"/>
      <c r="Y13" s="277"/>
      <c r="Z13" s="277"/>
      <c r="AA13" s="277"/>
      <c r="AB13" s="277"/>
      <c r="AD13" s="291"/>
      <c r="AE13" s="291"/>
      <c r="AF13" s="291"/>
      <c r="AG13" s="291"/>
      <c r="AH13" s="291"/>
      <c r="AI13" s="291"/>
      <c r="AJ13" s="291"/>
      <c r="AK13" s="291"/>
      <c r="AL13" s="291"/>
      <c r="AM13" s="291"/>
      <c r="AN13" s="291"/>
      <c r="AO13" s="291"/>
      <c r="AP13" s="291"/>
      <c r="AQ13" s="291"/>
      <c r="AR13" s="291"/>
      <c r="AS13" s="293"/>
    </row>
    <row r="14" spans="2:47" x14ac:dyDescent="0.25">
      <c r="B14" s="279"/>
      <c r="C14" s="294" t="s">
        <v>124</v>
      </c>
      <c r="D14" s="299">
        <v>1142</v>
      </c>
      <c r="E14" s="291">
        <f>-1205399-E15</f>
        <v>-1270793.1122656586</v>
      </c>
      <c r="F14" s="301" t="s">
        <v>217</v>
      </c>
      <c r="M14" s="277"/>
      <c r="N14" s="277"/>
      <c r="O14" s="277"/>
      <c r="P14" s="277"/>
      <c r="Q14" s="277"/>
      <c r="R14" s="277"/>
      <c r="S14" s="277"/>
      <c r="T14" s="277"/>
      <c r="U14" s="277"/>
      <c r="V14" s="277"/>
      <c r="W14" s="277"/>
      <c r="X14" s="277"/>
      <c r="Y14" s="277"/>
      <c r="Z14" s="277"/>
      <c r="AA14" s="277"/>
      <c r="AB14" s="277"/>
    </row>
    <row r="15" spans="2:47" ht="16.5" x14ac:dyDescent="0.3">
      <c r="B15" s="287"/>
      <c r="C15" s="302" t="s">
        <v>208</v>
      </c>
      <c r="D15" s="291"/>
      <c r="E15" s="291">
        <f>-I35+I39</f>
        <v>65394.112265658514</v>
      </c>
      <c r="F15" s="291"/>
      <c r="M15" s="277"/>
      <c r="N15" s="277"/>
      <c r="O15" s="277"/>
      <c r="P15" s="277"/>
      <c r="Q15" s="277"/>
      <c r="R15" s="277"/>
      <c r="S15" s="277"/>
      <c r="T15" s="277"/>
      <c r="U15" s="277"/>
      <c r="V15" s="277"/>
      <c r="W15" s="277"/>
      <c r="X15" s="277"/>
      <c r="Y15" s="277"/>
      <c r="Z15" s="277"/>
      <c r="AA15" s="277"/>
      <c r="AB15" s="277"/>
    </row>
    <row r="16" spans="2:47" ht="18.75" thickBot="1" x14ac:dyDescent="0.4">
      <c r="B16" s="281" t="s">
        <v>92</v>
      </c>
      <c r="C16" s="282"/>
      <c r="D16" s="291"/>
      <c r="E16" s="303">
        <f>SUM(E4:E15)</f>
        <v>-0.43823713255551411</v>
      </c>
      <c r="F16" s="291"/>
      <c r="M16" s="285"/>
      <c r="N16" s="304"/>
      <c r="O16" s="304"/>
      <c r="P16" s="304"/>
      <c r="Q16" s="304"/>
      <c r="R16" s="304"/>
      <c r="S16" s="304"/>
      <c r="T16" s="304"/>
      <c r="U16" s="304"/>
      <c r="V16" s="305"/>
      <c r="W16" s="305"/>
      <c r="X16" s="277"/>
      <c r="Y16" s="277"/>
      <c r="Z16" s="277"/>
      <c r="AA16" s="277"/>
      <c r="AB16" s="277"/>
    </row>
    <row r="17" spans="2:45" ht="15.75" thickBot="1" x14ac:dyDescent="0.3">
      <c r="B17" s="279"/>
      <c r="C17" s="279"/>
      <c r="D17" s="291"/>
      <c r="E17" s="291"/>
      <c r="F17" s="291"/>
      <c r="M17" s="285"/>
      <c r="N17" s="304"/>
      <c r="O17" s="304"/>
      <c r="P17" s="304"/>
      <c r="Q17" s="304"/>
      <c r="R17" s="304"/>
      <c r="S17" s="304"/>
      <c r="T17" s="304"/>
      <c r="U17" s="304"/>
      <c r="V17" s="305"/>
      <c r="W17" s="305"/>
      <c r="X17" s="277"/>
      <c r="Y17" s="277"/>
      <c r="Z17" s="277"/>
      <c r="AA17" s="277"/>
      <c r="AB17" s="277"/>
    </row>
    <row r="18" spans="2:45" ht="15.75" thickBot="1" x14ac:dyDescent="0.3">
      <c r="B18" s="306" t="s">
        <v>93</v>
      </c>
      <c r="C18" s="307"/>
      <c r="D18" s="308"/>
      <c r="E18" s="309">
        <f>E11+E14</f>
        <v>-5461594.302265659</v>
      </c>
      <c r="F18" s="291"/>
      <c r="M18" s="310"/>
      <c r="N18" s="311"/>
      <c r="O18" s="311"/>
      <c r="P18" s="311"/>
      <c r="Q18" s="311"/>
      <c r="R18" s="311"/>
      <c r="S18" s="311"/>
      <c r="T18" s="311"/>
      <c r="U18" s="311"/>
      <c r="V18" s="298"/>
      <c r="W18" s="298"/>
      <c r="AE18" s="293"/>
      <c r="AF18" s="293"/>
      <c r="AG18" s="293"/>
      <c r="AH18" s="293"/>
      <c r="AI18" s="293"/>
      <c r="AJ18" s="293"/>
      <c r="AK18" s="293"/>
      <c r="AL18" s="293"/>
      <c r="AM18" s="293"/>
      <c r="AN18" s="293"/>
      <c r="AO18" s="293"/>
      <c r="AP18" s="293"/>
      <c r="AQ18" s="293"/>
      <c r="AR18" s="293"/>
      <c r="AS18" s="293"/>
    </row>
    <row r="19" spans="2:45" x14ac:dyDescent="0.25">
      <c r="B19" s="279"/>
      <c r="C19" s="279"/>
      <c r="D19" s="279"/>
      <c r="E19" s="300"/>
      <c r="F19" s="300"/>
      <c r="G19" s="291"/>
      <c r="H19" s="291"/>
      <c r="M19" s="310"/>
      <c r="N19" s="311"/>
      <c r="O19" s="311"/>
      <c r="P19" s="311"/>
      <c r="Q19" s="311"/>
      <c r="R19" s="311"/>
      <c r="S19" s="311"/>
      <c r="T19" s="311"/>
      <c r="U19" s="311"/>
      <c r="V19" s="298"/>
      <c r="W19" s="298"/>
      <c r="AE19" s="293"/>
      <c r="AF19" s="293"/>
      <c r="AG19" s="293"/>
      <c r="AH19" s="293"/>
      <c r="AI19" s="293"/>
      <c r="AJ19" s="293"/>
      <c r="AK19" s="293"/>
      <c r="AL19" s="293"/>
      <c r="AM19" s="293"/>
      <c r="AN19" s="293"/>
      <c r="AO19" s="293"/>
      <c r="AP19" s="293"/>
      <c r="AQ19" s="293"/>
      <c r="AR19" s="293"/>
      <c r="AS19" s="293"/>
    </row>
    <row r="20" spans="2:45" x14ac:dyDescent="0.25">
      <c r="B20" s="276" t="s">
        <v>94</v>
      </c>
      <c r="C20" s="279"/>
      <c r="D20" s="279"/>
      <c r="E20" s="312" t="s">
        <v>180</v>
      </c>
      <c r="F20" s="313" t="s">
        <v>95</v>
      </c>
      <c r="G20" s="312" t="s">
        <v>104</v>
      </c>
      <c r="H20" s="291"/>
      <c r="M20" s="310"/>
      <c r="N20" s="311"/>
      <c r="O20" s="311"/>
      <c r="P20" s="311"/>
      <c r="Q20" s="311"/>
      <c r="R20" s="311"/>
      <c r="S20" s="311"/>
      <c r="T20" s="311"/>
      <c r="U20" s="311"/>
      <c r="V20" s="298"/>
      <c r="W20" s="298"/>
      <c r="AE20" s="293"/>
      <c r="AF20" s="293"/>
      <c r="AG20" s="293"/>
      <c r="AH20" s="293"/>
      <c r="AI20" s="293"/>
      <c r="AJ20" s="293"/>
      <c r="AK20" s="293"/>
      <c r="AL20" s="293"/>
      <c r="AM20" s="293"/>
      <c r="AN20" s="293"/>
      <c r="AO20" s="293"/>
      <c r="AP20" s="293"/>
      <c r="AQ20" s="293"/>
      <c r="AR20" s="293"/>
      <c r="AS20" s="293"/>
    </row>
    <row r="21" spans="2:45" x14ac:dyDescent="0.25">
      <c r="B21" s="314" t="s">
        <v>125</v>
      </c>
      <c r="C21" s="279" t="s">
        <v>96</v>
      </c>
      <c r="D21" s="279"/>
      <c r="E21" s="291">
        <f>'Whitby - 2019Jan-Apr'!E72</f>
        <v>12876580.24</v>
      </c>
      <c r="F21" s="291">
        <f>'Whitby 2019 RPP 2nd TU'!H23</f>
        <v>12782419.831582734</v>
      </c>
      <c r="G21" s="291">
        <f>E21-F21</f>
        <v>94160.408417265862</v>
      </c>
      <c r="H21" s="315">
        <f>G21/F21</f>
        <v>7.3663992935527611E-3</v>
      </c>
      <c r="I21" s="316" t="s">
        <v>116</v>
      </c>
      <c r="M21" s="310"/>
      <c r="N21" s="311"/>
      <c r="O21" s="311"/>
      <c r="P21" s="311"/>
      <c r="Q21" s="311"/>
      <c r="R21" s="311"/>
      <c r="S21" s="311"/>
      <c r="T21" s="311"/>
      <c r="U21" s="311"/>
      <c r="V21" s="298"/>
      <c r="W21" s="298"/>
      <c r="AI21" s="298"/>
    </row>
    <row r="22" spans="2:45" x14ac:dyDescent="0.25">
      <c r="B22" s="314" t="s">
        <v>126</v>
      </c>
      <c r="C22" s="279" t="s">
        <v>106</v>
      </c>
      <c r="D22" s="279"/>
      <c r="E22" s="291">
        <f>'Whitby - 2019Jan-Apr'!E84</f>
        <v>3933835.11</v>
      </c>
      <c r="F22" s="291">
        <f>'Whitby 2019 RPP 2nd TU'!I23</f>
        <v>3905068.8138483916</v>
      </c>
      <c r="G22" s="291">
        <f>E22-F22</f>
        <v>28766.296151608229</v>
      </c>
      <c r="H22" s="315">
        <f>G22/F22</f>
        <v>7.3663992935528938E-3</v>
      </c>
      <c r="I22" s="316" t="s">
        <v>119</v>
      </c>
      <c r="M22" s="310"/>
      <c r="N22" s="311"/>
      <c r="O22" s="311"/>
      <c r="P22" s="311"/>
      <c r="Q22" s="311"/>
      <c r="R22" s="311"/>
      <c r="S22" s="311"/>
      <c r="T22" s="311"/>
      <c r="U22" s="311"/>
      <c r="V22" s="298"/>
      <c r="W22" s="298"/>
      <c r="AE22" s="317"/>
      <c r="AF22" s="317"/>
      <c r="AG22" s="317"/>
      <c r="AH22" s="317"/>
      <c r="AI22" s="293"/>
      <c r="AJ22" s="317"/>
      <c r="AK22" s="317"/>
      <c r="AL22" s="317"/>
      <c r="AM22" s="317"/>
      <c r="AN22" s="317"/>
      <c r="AO22" s="317"/>
      <c r="AQ22" s="317"/>
      <c r="AR22" s="317"/>
    </row>
    <row r="23" spans="2:45" x14ac:dyDescent="0.25">
      <c r="B23" s="318" t="s">
        <v>127</v>
      </c>
      <c r="C23" s="279" t="s">
        <v>97</v>
      </c>
      <c r="D23" s="279"/>
      <c r="E23" s="291">
        <f>E12+E13</f>
        <v>14338944.881762868</v>
      </c>
      <c r="F23" s="291">
        <f>'Whitby 2019 RPP 2nd TU'!J23</f>
        <v>14338944.881762873</v>
      </c>
      <c r="G23" s="291">
        <f>E23-F23</f>
        <v>0</v>
      </c>
      <c r="H23" s="315">
        <f>G23/F23</f>
        <v>0</v>
      </c>
      <c r="I23" s="316" t="s">
        <v>122</v>
      </c>
      <c r="M23" s="310"/>
      <c r="N23" s="311"/>
      <c r="O23" s="311"/>
      <c r="P23" s="311"/>
      <c r="Q23" s="311"/>
      <c r="R23" s="311"/>
      <c r="S23" s="311"/>
      <c r="T23" s="311"/>
      <c r="U23" s="311"/>
      <c r="V23" s="298"/>
      <c r="W23" s="298"/>
    </row>
    <row r="24" spans="2:45" x14ac:dyDescent="0.25">
      <c r="B24" s="318"/>
      <c r="C24" s="279" t="str">
        <f>C35</f>
        <v xml:space="preserve">  Adjustment for OEB Accounting Guidance (UFE)</v>
      </c>
      <c r="D24" s="279"/>
      <c r="E24" s="291">
        <f>E15</f>
        <v>65394.112265658514</v>
      </c>
      <c r="F24" s="291"/>
      <c r="G24" s="291">
        <f>E24-F24</f>
        <v>65394.112265658514</v>
      </c>
      <c r="H24" s="315"/>
      <c r="I24" s="316"/>
      <c r="M24" s="310"/>
      <c r="N24" s="311"/>
      <c r="O24" s="311"/>
      <c r="P24" s="311"/>
      <c r="Q24" s="311"/>
      <c r="R24" s="311"/>
      <c r="S24" s="311"/>
      <c r="T24" s="311"/>
      <c r="U24" s="311"/>
      <c r="V24" s="298"/>
      <c r="W24" s="298"/>
    </row>
    <row r="25" spans="2:45" ht="15.75" thickBot="1" x14ac:dyDescent="0.3">
      <c r="B25" s="279"/>
      <c r="C25" s="279" t="s">
        <v>194</v>
      </c>
      <c r="D25" s="279"/>
      <c r="E25" s="303">
        <f>E21-E22-E23-E24</f>
        <v>-5461593.8640285255</v>
      </c>
      <c r="F25" s="303">
        <f>F21-F22-F23-F24</f>
        <v>-5461593.8640285302</v>
      </c>
      <c r="G25" s="303">
        <f>G21-G22-G23-G24</f>
        <v>-8.8039087131619453E-10</v>
      </c>
      <c r="H25" s="315">
        <f>G25/F25</f>
        <v>1.6119669335259008E-16</v>
      </c>
      <c r="M25" s="310"/>
      <c r="N25" s="311"/>
      <c r="O25" s="311"/>
      <c r="P25" s="311"/>
      <c r="Q25" s="311"/>
      <c r="R25" s="311"/>
      <c r="S25" s="311"/>
      <c r="T25" s="311"/>
      <c r="U25" s="311"/>
      <c r="V25" s="298"/>
      <c r="W25" s="298"/>
      <c r="AE25" s="293"/>
      <c r="AF25" s="293"/>
      <c r="AG25" s="293"/>
      <c r="AH25" s="293"/>
      <c r="AI25" s="293"/>
      <c r="AJ25" s="293"/>
      <c r="AK25" s="293"/>
      <c r="AL25" s="293"/>
      <c r="AM25" s="293"/>
      <c r="AN25" s="293"/>
      <c r="AO25" s="293"/>
      <c r="AP25" s="293"/>
      <c r="AQ25" s="293"/>
      <c r="AR25" s="293"/>
      <c r="AS25" s="293"/>
    </row>
    <row r="26" spans="2:45" x14ac:dyDescent="0.25">
      <c r="B26" s="279"/>
      <c r="C26" s="279"/>
      <c r="D26" s="279"/>
      <c r="F26" s="293"/>
      <c r="G26" s="293"/>
      <c r="M26" s="310"/>
      <c r="N26" s="311"/>
      <c r="O26" s="311"/>
      <c r="P26" s="311"/>
      <c r="Q26" s="311"/>
      <c r="R26" s="311"/>
      <c r="S26" s="311"/>
      <c r="T26" s="311"/>
      <c r="U26" s="311"/>
      <c r="V26" s="298"/>
      <c r="W26" s="298"/>
      <c r="AE26" s="293"/>
      <c r="AF26" s="293"/>
      <c r="AG26" s="293"/>
      <c r="AH26" s="293"/>
      <c r="AI26" s="293"/>
      <c r="AJ26" s="293"/>
      <c r="AK26" s="293"/>
      <c r="AL26" s="293"/>
      <c r="AM26" s="293"/>
      <c r="AN26" s="293"/>
      <c r="AO26" s="293"/>
      <c r="AP26" s="293"/>
      <c r="AQ26" s="293"/>
      <c r="AR26" s="293"/>
      <c r="AS26" s="293"/>
    </row>
    <row r="27" spans="2:45" x14ac:dyDescent="0.25">
      <c r="C27" s="276" t="s">
        <v>189</v>
      </c>
      <c r="E27" s="290"/>
      <c r="M27" s="310"/>
      <c r="N27" s="311"/>
      <c r="O27" s="311"/>
      <c r="P27" s="311"/>
      <c r="Q27" s="311"/>
      <c r="R27" s="311"/>
      <c r="S27" s="311"/>
      <c r="T27" s="311"/>
      <c r="U27" s="311"/>
      <c r="V27" s="298"/>
      <c r="W27" s="298"/>
      <c r="AE27" s="293"/>
      <c r="AF27" s="293"/>
      <c r="AG27" s="293"/>
      <c r="AH27" s="293"/>
      <c r="AI27" s="293"/>
      <c r="AJ27" s="293"/>
      <c r="AK27" s="293"/>
      <c r="AL27" s="293"/>
      <c r="AM27" s="293"/>
      <c r="AN27" s="293"/>
      <c r="AO27" s="293"/>
      <c r="AP27" s="293"/>
      <c r="AQ27" s="293"/>
      <c r="AR27" s="293"/>
      <c r="AS27" s="293"/>
    </row>
    <row r="28" spans="2:45" x14ac:dyDescent="0.25">
      <c r="B28" s="316" t="s">
        <v>116</v>
      </c>
      <c r="E28" s="319" t="s">
        <v>120</v>
      </c>
      <c r="F28" s="319" t="s">
        <v>121</v>
      </c>
      <c r="G28" s="319" t="s">
        <v>188</v>
      </c>
      <c r="H28" s="319" t="s">
        <v>117</v>
      </c>
      <c r="I28" s="319" t="s">
        <v>118</v>
      </c>
      <c r="M28" s="310"/>
      <c r="N28" s="311"/>
      <c r="O28" s="311"/>
      <c r="P28" s="311"/>
      <c r="Q28" s="311"/>
      <c r="R28" s="311"/>
      <c r="S28" s="311"/>
      <c r="T28" s="311"/>
      <c r="U28" s="311"/>
      <c r="V28" s="298"/>
      <c r="W28" s="298"/>
      <c r="AE28" s="293"/>
      <c r="AF28" s="293"/>
      <c r="AG28" s="293"/>
      <c r="AH28" s="293"/>
    </row>
    <row r="29" spans="2:45" x14ac:dyDescent="0.25">
      <c r="C29" s="275" t="s">
        <v>13</v>
      </c>
      <c r="E29" s="291">
        <f>'Whitby - 2019Jan-Apr'!D33</f>
        <v>12673448.609999999</v>
      </c>
      <c r="F29" s="291">
        <f>'Whitby - 2019Jan-Apr'!D16</f>
        <v>12580773.608180352</v>
      </c>
      <c r="G29" s="291">
        <f>E29-F29</f>
        <v>92675.001819647849</v>
      </c>
      <c r="H29" s="320">
        <f>'Whitby - 2019Jan-Apr'!E33</f>
        <v>7.7000202551813557E-2</v>
      </c>
      <c r="I29" s="291">
        <f>G29*H29</f>
        <v>7135.9939116025744</v>
      </c>
      <c r="N29" s="311"/>
      <c r="O29" s="311"/>
      <c r="P29" s="311"/>
      <c r="Q29" s="311"/>
      <c r="R29" s="311"/>
      <c r="S29" s="311"/>
      <c r="T29" s="311"/>
      <c r="U29" s="311"/>
      <c r="V29" s="298"/>
      <c r="W29" s="298"/>
      <c r="AI29" s="293"/>
      <c r="AP29" s="293"/>
      <c r="AQ29" s="293"/>
      <c r="AR29" s="293"/>
    </row>
    <row r="30" spans="2:45" x14ac:dyDescent="0.25">
      <c r="C30" s="275" t="s">
        <v>14</v>
      </c>
      <c r="E30" s="291">
        <f>'Whitby - 2019Jan-Apr'!D34</f>
        <v>5469421.6900000004</v>
      </c>
      <c r="F30" s="291">
        <f>'Whitby - 2019Jan-Apr'!D17</f>
        <v>5429426.3674424747</v>
      </c>
      <c r="G30" s="291">
        <f t="shared" ref="G30:G38" si="0">E30-F30</f>
        <v>39995.322557525709</v>
      </c>
      <c r="H30" s="320">
        <f>'Whitby - 2019Jan-Apr'!E34</f>
        <v>8.9000036491975063E-2</v>
      </c>
      <c r="I30" s="291">
        <f t="shared" ref="I30:I33" si="1">G30*H30</f>
        <v>3559.5851671281016</v>
      </c>
      <c r="M30" s="310"/>
      <c r="N30" s="311"/>
      <c r="O30" s="311"/>
      <c r="P30" s="311"/>
      <c r="Q30" s="311"/>
      <c r="R30" s="311"/>
      <c r="S30" s="311"/>
      <c r="T30" s="311"/>
      <c r="U30" s="311"/>
      <c r="V30" s="298"/>
      <c r="W30" s="298"/>
      <c r="AI30" s="293"/>
      <c r="AP30" s="293"/>
      <c r="AQ30" s="293"/>
      <c r="AR30" s="293"/>
    </row>
    <row r="31" spans="2:45" x14ac:dyDescent="0.25">
      <c r="C31" s="275" t="s">
        <v>15</v>
      </c>
      <c r="E31" s="291">
        <f>'Whitby - 2019Jan-Apr'!D35</f>
        <v>90150487.409999996</v>
      </c>
      <c r="F31" s="291">
        <f>'Whitby - 2019Jan-Apr'!D18</f>
        <v>89491259.06246312</v>
      </c>
      <c r="G31" s="291">
        <f t="shared" si="0"/>
        <v>659228.3475368768</v>
      </c>
      <c r="H31" s="320">
        <f>'Whitby - 2019Jan-Apr'!E35</f>
        <v>6.5000097596255482E-2</v>
      </c>
      <c r="I31" s="291">
        <f t="shared" si="1"/>
        <v>42849.906928115219</v>
      </c>
      <c r="M31" s="310"/>
      <c r="N31" s="311"/>
      <c r="O31" s="311"/>
      <c r="P31" s="311"/>
      <c r="Q31" s="311"/>
      <c r="R31" s="311"/>
      <c r="S31" s="311"/>
      <c r="T31" s="311"/>
      <c r="U31" s="311"/>
      <c r="V31" s="298"/>
      <c r="W31" s="298"/>
    </row>
    <row r="32" spans="2:45" x14ac:dyDescent="0.25">
      <c r="C32" s="275" t="s">
        <v>16</v>
      </c>
      <c r="E32" s="291">
        <f>'Whitby - 2019Jan-Apr'!D36</f>
        <v>23758153.440000001</v>
      </c>
      <c r="F32" s="291">
        <f>'Whitby - 2019Jan-Apr'!D19</f>
        <v>23584421.17650653</v>
      </c>
      <c r="G32" s="291">
        <f t="shared" si="0"/>
        <v>173732.26349347085</v>
      </c>
      <c r="H32" s="320">
        <f>'Whitby - 2019Jan-Apr'!E36</f>
        <v>9.4000293652451453E-2</v>
      </c>
      <c r="I32" s="291">
        <f t="shared" si="1"/>
        <v>16330.883785291331</v>
      </c>
      <c r="M32" s="310"/>
      <c r="N32" s="311"/>
      <c r="O32" s="311"/>
      <c r="P32" s="311"/>
      <c r="Q32" s="311"/>
      <c r="R32" s="311"/>
      <c r="S32" s="311"/>
      <c r="T32" s="311"/>
      <c r="U32" s="311"/>
      <c r="V32" s="298"/>
      <c r="W32" s="298"/>
    </row>
    <row r="33" spans="2:23" x14ac:dyDescent="0.25">
      <c r="C33" s="275" t="s">
        <v>17</v>
      </c>
      <c r="E33" s="291">
        <f>'Whitby - 2019Jan-Apr'!D37</f>
        <v>25158100.52</v>
      </c>
      <c r="F33" s="291">
        <f>'Whitby - 2019Jan-Apr'!D20</f>
        <v>24974131.098320238</v>
      </c>
      <c r="G33" s="291">
        <f t="shared" si="0"/>
        <v>183969.42167976126</v>
      </c>
      <c r="H33" s="320">
        <f>'Whitby - 2019Jan-Apr'!E37</f>
        <v>0.1320004074775038</v>
      </c>
      <c r="I33" s="291">
        <f t="shared" si="1"/>
        <v>24284.038625129208</v>
      </c>
      <c r="M33" s="310"/>
      <c r="N33" s="311"/>
      <c r="O33" s="311"/>
      <c r="P33" s="311"/>
      <c r="Q33" s="311"/>
      <c r="R33" s="311"/>
      <c r="S33" s="311"/>
      <c r="T33" s="311"/>
      <c r="U33" s="311"/>
      <c r="V33" s="298"/>
      <c r="W33" s="298"/>
    </row>
    <row r="34" spans="2:23" ht="15.75" thickBot="1" x14ac:dyDescent="0.3">
      <c r="C34" s="275" t="str">
        <f>C21</f>
        <v>RPP Revenue</v>
      </c>
      <c r="E34" s="303">
        <f>SUM(E29:E33)</f>
        <v>157209611.66999999</v>
      </c>
      <c r="F34" s="303">
        <f>'Whitby - 2019Jan-Apr'!D21</f>
        <v>156060011.3129127</v>
      </c>
      <c r="G34" s="303">
        <f>SUM(G29:G33)</f>
        <v>1149600.3570872825</v>
      </c>
      <c r="H34" s="321"/>
      <c r="I34" s="303">
        <f>SUM(I29:I33)</f>
        <v>94160.40841726643</v>
      </c>
      <c r="M34" s="310"/>
      <c r="N34" s="311"/>
      <c r="O34" s="311"/>
      <c r="P34" s="311"/>
      <c r="Q34" s="311"/>
      <c r="R34" s="311"/>
      <c r="S34" s="311"/>
      <c r="T34" s="311"/>
      <c r="U34" s="311"/>
      <c r="V34" s="298"/>
      <c r="W34" s="298"/>
    </row>
    <row r="35" spans="2:23" x14ac:dyDescent="0.25">
      <c r="C35" s="275" t="str">
        <f>C39</f>
        <v xml:space="preserve">  Adjustment for OEB Accounting Guidance (UFE)</v>
      </c>
      <c r="E35" s="300"/>
      <c r="F35" s="300"/>
      <c r="G35" s="300"/>
      <c r="H35" s="322"/>
      <c r="I35" s="300">
        <f>-I34</f>
        <v>-94160.40841726643</v>
      </c>
      <c r="K35" s="293"/>
      <c r="L35" s="293"/>
      <c r="M35" s="310"/>
      <c r="N35" s="311"/>
      <c r="O35" s="311"/>
      <c r="P35" s="311"/>
      <c r="Q35" s="311"/>
      <c r="R35" s="311"/>
      <c r="S35" s="311"/>
      <c r="T35" s="311"/>
      <c r="U35" s="311"/>
      <c r="V35" s="298"/>
      <c r="W35" s="298"/>
    </row>
    <row r="36" spans="2:23" ht="15.75" thickBot="1" x14ac:dyDescent="0.3">
      <c r="E36" s="300"/>
      <c r="F36" s="300"/>
      <c r="G36" s="300"/>
      <c r="H36" s="322"/>
      <c r="I36" s="303">
        <f>SUM(I34:I35)</f>
        <v>0</v>
      </c>
      <c r="M36" s="310"/>
      <c r="N36" s="311"/>
      <c r="O36" s="311"/>
      <c r="P36" s="311"/>
      <c r="Q36" s="311"/>
      <c r="R36" s="311"/>
      <c r="S36" s="311"/>
      <c r="T36" s="311"/>
      <c r="U36" s="311"/>
      <c r="V36" s="298"/>
      <c r="W36" s="298"/>
    </row>
    <row r="37" spans="2:23" x14ac:dyDescent="0.25">
      <c r="M37" s="310"/>
      <c r="N37" s="311"/>
      <c r="O37" s="311"/>
      <c r="P37" s="311"/>
      <c r="Q37" s="311"/>
      <c r="R37" s="311"/>
      <c r="S37" s="311"/>
      <c r="T37" s="311"/>
      <c r="U37" s="311"/>
      <c r="V37" s="298"/>
      <c r="W37" s="298"/>
    </row>
    <row r="38" spans="2:23" x14ac:dyDescent="0.25">
      <c r="B38" s="316" t="s">
        <v>119</v>
      </c>
      <c r="C38" s="275" t="str">
        <f>C22</f>
        <v>Energy Revenue - RPP</v>
      </c>
      <c r="E38" s="291">
        <f>E34</f>
        <v>157209611.66999999</v>
      </c>
      <c r="F38" s="291">
        <f>F34</f>
        <v>156060011.3129127</v>
      </c>
      <c r="G38" s="291">
        <f t="shared" si="0"/>
        <v>1149600.3570872843</v>
      </c>
      <c r="H38" s="323">
        <f>'Whitby - 2019Jan-Apr'!C84</f>
        <v>2.5022866402453468E-2</v>
      </c>
      <c r="I38" s="291">
        <f t="shared" ref="I38" si="2">G38*H38</f>
        <v>28766.296151607916</v>
      </c>
      <c r="M38" s="310"/>
      <c r="N38" s="311"/>
      <c r="O38" s="311"/>
      <c r="P38" s="311"/>
      <c r="Q38" s="311"/>
      <c r="R38" s="311"/>
      <c r="S38" s="311"/>
      <c r="T38" s="311"/>
      <c r="U38" s="311"/>
      <c r="V38" s="298"/>
      <c r="W38" s="298"/>
    </row>
    <row r="39" spans="2:23" x14ac:dyDescent="0.25">
      <c r="B39" s="316"/>
      <c r="C39" s="275" t="s">
        <v>208</v>
      </c>
      <c r="E39" s="291"/>
      <c r="F39" s="291"/>
      <c r="G39" s="291"/>
      <c r="H39" s="323"/>
      <c r="I39" s="291">
        <f>-I38</f>
        <v>-28766.296151607916</v>
      </c>
      <c r="M39" s="310"/>
      <c r="N39" s="311"/>
      <c r="O39" s="311"/>
      <c r="P39" s="311"/>
      <c r="Q39" s="311"/>
      <c r="R39" s="311"/>
      <c r="S39" s="311"/>
      <c r="T39" s="311"/>
      <c r="U39" s="311"/>
      <c r="V39" s="298"/>
      <c r="W39" s="298"/>
    </row>
    <row r="40" spans="2:23" ht="15.75" thickBot="1" x14ac:dyDescent="0.3">
      <c r="B40" s="316"/>
      <c r="E40" s="291"/>
      <c r="F40" s="291"/>
      <c r="G40" s="291"/>
      <c r="H40" s="323"/>
      <c r="I40" s="324">
        <f>SUM(I38:I39)</f>
        <v>0</v>
      </c>
      <c r="M40" s="310"/>
      <c r="N40" s="311"/>
      <c r="O40" s="311"/>
      <c r="P40" s="311"/>
      <c r="Q40" s="311"/>
      <c r="R40" s="311"/>
      <c r="S40" s="311"/>
      <c r="T40" s="311"/>
      <c r="U40" s="311"/>
      <c r="V40" s="298"/>
      <c r="W40" s="298"/>
    </row>
    <row r="41" spans="2:23" ht="15.75" thickBot="1" x14ac:dyDescent="0.3">
      <c r="B41" s="325"/>
      <c r="C41" s="326"/>
      <c r="D41" s="326"/>
      <c r="E41" s="327"/>
      <c r="F41" s="327"/>
      <c r="G41" s="327"/>
      <c r="H41" s="328"/>
      <c r="I41" s="327"/>
      <c r="M41" s="310"/>
      <c r="N41" s="311"/>
      <c r="O41" s="311"/>
      <c r="P41" s="311"/>
      <c r="Q41" s="311"/>
      <c r="R41" s="311"/>
      <c r="S41" s="311"/>
      <c r="T41" s="311"/>
      <c r="U41" s="311"/>
      <c r="V41" s="298"/>
      <c r="W41" s="298"/>
    </row>
    <row r="42" spans="2:23" ht="15" hidden="1" customHeight="1" x14ac:dyDescent="0.25">
      <c r="B42" s="277"/>
      <c r="C42" s="329"/>
      <c r="D42" s="277"/>
      <c r="E42" s="277"/>
      <c r="F42" s="277"/>
      <c r="G42" s="277"/>
      <c r="H42" s="277"/>
      <c r="I42" s="277"/>
      <c r="M42" s="310"/>
      <c r="N42" s="311"/>
      <c r="O42" s="311"/>
      <c r="P42" s="311"/>
      <c r="Q42" s="311"/>
      <c r="R42" s="311"/>
      <c r="S42" s="311"/>
      <c r="T42" s="311"/>
      <c r="U42" s="311"/>
      <c r="V42" s="298"/>
      <c r="W42" s="298"/>
    </row>
    <row r="43" spans="2:23" hidden="1" x14ac:dyDescent="0.25">
      <c r="B43" s="330"/>
      <c r="C43" s="277"/>
      <c r="D43" s="277"/>
      <c r="E43" s="292"/>
      <c r="F43" s="292"/>
      <c r="G43" s="300"/>
      <c r="H43" s="331"/>
      <c r="I43" s="300"/>
      <c r="M43" s="310"/>
      <c r="N43" s="311"/>
      <c r="O43" s="311"/>
      <c r="P43" s="311"/>
      <c r="Q43" s="311"/>
      <c r="R43" s="311"/>
      <c r="S43" s="311"/>
      <c r="T43" s="311"/>
      <c r="U43" s="311"/>
      <c r="V43" s="298"/>
      <c r="W43" s="298"/>
    </row>
    <row r="44" spans="2:23" hidden="1" x14ac:dyDescent="0.25">
      <c r="B44" s="277"/>
      <c r="C44" s="277"/>
      <c r="D44" s="277"/>
      <c r="E44" s="277"/>
      <c r="F44" s="292"/>
      <c r="G44" s="300"/>
      <c r="H44" s="331"/>
      <c r="I44" s="300"/>
      <c r="M44" s="310"/>
      <c r="N44" s="311"/>
      <c r="O44" s="311"/>
      <c r="P44" s="311"/>
      <c r="Q44" s="311"/>
      <c r="R44" s="311"/>
      <c r="S44" s="311"/>
      <c r="T44" s="311"/>
      <c r="U44" s="311"/>
      <c r="V44" s="298"/>
      <c r="W44" s="298"/>
    </row>
    <row r="45" spans="2:23" hidden="1" x14ac:dyDescent="0.25">
      <c r="B45" s="277"/>
      <c r="C45" s="277"/>
      <c r="D45" s="277"/>
      <c r="E45" s="277"/>
      <c r="F45" s="277"/>
      <c r="G45" s="277"/>
      <c r="H45" s="277"/>
      <c r="I45" s="292"/>
      <c r="M45" s="310"/>
      <c r="N45" s="311"/>
      <c r="O45" s="311"/>
      <c r="P45" s="311"/>
      <c r="Q45" s="311"/>
      <c r="R45" s="311"/>
      <c r="S45" s="311"/>
      <c r="T45" s="311"/>
      <c r="U45" s="311"/>
      <c r="V45" s="298"/>
      <c r="W45" s="298"/>
    </row>
    <row r="46" spans="2:23" hidden="1" x14ac:dyDescent="0.25">
      <c r="B46" s="277"/>
      <c r="C46" s="277"/>
      <c r="D46" s="277"/>
      <c r="E46" s="277"/>
      <c r="F46" s="277"/>
      <c r="G46" s="277"/>
      <c r="H46" s="277"/>
      <c r="I46" s="292"/>
      <c r="M46" s="310"/>
      <c r="N46" s="311"/>
      <c r="O46" s="311"/>
      <c r="P46" s="311"/>
      <c r="Q46" s="311"/>
      <c r="R46" s="311"/>
      <c r="S46" s="311"/>
      <c r="T46" s="311"/>
      <c r="U46" s="311"/>
      <c r="V46" s="298"/>
      <c r="W46" s="298"/>
    </row>
    <row r="47" spans="2:23" x14ac:dyDescent="0.25">
      <c r="I47" s="298"/>
      <c r="N47" s="311"/>
      <c r="O47" s="311"/>
      <c r="P47" s="311"/>
      <c r="Q47" s="311"/>
      <c r="R47" s="311"/>
      <c r="S47" s="311"/>
      <c r="T47" s="311"/>
      <c r="U47" s="311"/>
      <c r="V47" s="298"/>
      <c r="W47" s="298"/>
    </row>
    <row r="48" spans="2:23" x14ac:dyDescent="0.25">
      <c r="B48" s="276" t="s">
        <v>182</v>
      </c>
      <c r="E48" s="332" t="s">
        <v>180</v>
      </c>
      <c r="F48" s="332" t="s">
        <v>95</v>
      </c>
      <c r="G48" s="319" t="s">
        <v>65</v>
      </c>
      <c r="N48" s="311"/>
      <c r="O48" s="311"/>
      <c r="P48" s="311"/>
      <c r="Q48" s="311"/>
      <c r="R48" s="311"/>
      <c r="S48" s="311"/>
      <c r="T48" s="311"/>
      <c r="U48" s="311"/>
      <c r="V48" s="298"/>
      <c r="W48" s="298"/>
    </row>
    <row r="49" spans="2:29" x14ac:dyDescent="0.25">
      <c r="C49" s="275" t="s">
        <v>107</v>
      </c>
      <c r="E49" s="293">
        <f>'Whitby - 2019Jan-Apr'!E84</f>
        <v>3933835.11</v>
      </c>
      <c r="L49" s="277"/>
      <c r="M49" s="277"/>
      <c r="N49" s="277"/>
      <c r="O49" s="277"/>
      <c r="P49" s="277"/>
    </row>
    <row r="50" spans="2:29" x14ac:dyDescent="0.25">
      <c r="C50" s="275" t="s">
        <v>198</v>
      </c>
      <c r="E50" s="293">
        <f>-E7</f>
        <v>8942745.1300000008</v>
      </c>
      <c r="L50" s="333"/>
      <c r="M50" s="277"/>
      <c r="N50" s="277"/>
      <c r="O50" s="277"/>
      <c r="P50" s="277"/>
    </row>
    <row r="51" spans="2:29" x14ac:dyDescent="0.25">
      <c r="C51" s="275" t="s">
        <v>96</v>
      </c>
      <c r="E51" s="334">
        <f>SUM(E49:E50)</f>
        <v>12876580.24</v>
      </c>
      <c r="F51" s="334">
        <f>'Whitby - 2019Jan-Apr'!E72</f>
        <v>12876580.24</v>
      </c>
      <c r="G51" s="334">
        <f>E51-F51</f>
        <v>0</v>
      </c>
      <c r="L51" s="333"/>
      <c r="M51" s="335"/>
      <c r="N51" s="335"/>
      <c r="O51" s="333"/>
      <c r="P51" s="277"/>
    </row>
    <row r="52" spans="2:29" x14ac:dyDescent="0.25">
      <c r="L52" s="336"/>
      <c r="M52" s="337"/>
      <c r="N52" s="338"/>
      <c r="O52" s="338"/>
      <c r="P52" s="277"/>
    </row>
    <row r="53" spans="2:29" x14ac:dyDescent="0.25">
      <c r="C53" s="275" t="s">
        <v>105</v>
      </c>
      <c r="E53" s="293">
        <f>'Whitby - 2019Jan-Apr'!E76</f>
        <v>3440308.2451442587</v>
      </c>
      <c r="F53" s="293">
        <f>'Whitby - 2019Jan-Apr'!E76</f>
        <v>3440308.2451442587</v>
      </c>
      <c r="G53" s="293">
        <f>E53-F53</f>
        <v>0</v>
      </c>
      <c r="L53" s="339"/>
      <c r="M53" s="339"/>
      <c r="N53" s="339"/>
      <c r="O53" s="339"/>
      <c r="P53" s="277"/>
      <c r="Q53" s="291"/>
      <c r="R53" s="291"/>
      <c r="S53" s="291"/>
      <c r="T53" s="291"/>
      <c r="U53" s="291"/>
      <c r="V53" s="291"/>
      <c r="W53" s="291"/>
      <c r="X53" s="291"/>
      <c r="Y53" s="291"/>
      <c r="Z53" s="291"/>
      <c r="AA53" s="291"/>
      <c r="AB53" s="291"/>
      <c r="AC53" s="291"/>
    </row>
    <row r="54" spans="2:29" ht="15.75" thickBot="1" x14ac:dyDescent="0.3">
      <c r="E54" s="324">
        <f>SUM(E51:E53)</f>
        <v>16316888.485144259</v>
      </c>
      <c r="F54" s="324">
        <f>SUM(F51:F53)</f>
        <v>16316888.485144259</v>
      </c>
      <c r="G54" s="324">
        <f>E54-F54</f>
        <v>0</v>
      </c>
      <c r="L54" s="333"/>
      <c r="M54" s="340"/>
      <c r="N54" s="340"/>
      <c r="O54" s="340"/>
      <c r="P54" s="277"/>
      <c r="Q54" s="341"/>
      <c r="R54" s="341"/>
      <c r="S54" s="341"/>
      <c r="T54" s="341"/>
      <c r="U54" s="341"/>
      <c r="V54" s="341"/>
      <c r="W54" s="341"/>
      <c r="X54" s="341"/>
      <c r="Y54" s="341"/>
      <c r="Z54" s="341"/>
      <c r="AA54" s="341"/>
      <c r="AB54" s="341"/>
      <c r="AC54" s="341"/>
    </row>
    <row r="55" spans="2:29" x14ac:dyDescent="0.25">
      <c r="L55" s="342"/>
      <c r="M55" s="343"/>
      <c r="N55" s="344"/>
      <c r="O55" s="339"/>
      <c r="P55" s="277"/>
      <c r="Q55" s="291"/>
      <c r="R55" s="291"/>
      <c r="S55" s="291"/>
      <c r="T55" s="291"/>
      <c r="U55" s="291"/>
      <c r="V55" s="291"/>
      <c r="W55" s="291"/>
      <c r="X55" s="291"/>
      <c r="Y55" s="291"/>
      <c r="Z55" s="291"/>
      <c r="AA55" s="291"/>
      <c r="AB55" s="291"/>
      <c r="AC55" s="291"/>
    </row>
    <row r="56" spans="2:29" x14ac:dyDescent="0.25">
      <c r="B56" s="276" t="s">
        <v>130</v>
      </c>
      <c r="L56" s="333"/>
      <c r="M56" s="333"/>
      <c r="N56" s="333"/>
      <c r="O56" s="333"/>
      <c r="P56" s="277"/>
    </row>
    <row r="57" spans="2:29" x14ac:dyDescent="0.25">
      <c r="C57" s="275" t="s">
        <v>181</v>
      </c>
      <c r="E57" s="293">
        <f>'Whitby - 2019Jan-Apr'!E55</f>
        <v>7152438.8800000008</v>
      </c>
      <c r="F57" s="293">
        <f>'Whitby - 2019Jan-Apr'!E55</f>
        <v>7152438.8800000008</v>
      </c>
      <c r="L57" s="402" t="s">
        <v>207</v>
      </c>
      <c r="M57" s="403"/>
      <c r="N57" s="403"/>
      <c r="O57" s="403"/>
      <c r="P57" s="277"/>
      <c r="Q57" s="291"/>
      <c r="R57" s="291"/>
      <c r="S57" s="291"/>
      <c r="T57" s="291"/>
      <c r="U57" s="291"/>
      <c r="V57" s="291"/>
      <c r="W57" s="291"/>
      <c r="X57" s="291"/>
      <c r="Y57" s="291"/>
      <c r="Z57" s="291"/>
      <c r="AA57" s="291"/>
      <c r="AB57" s="291"/>
      <c r="AC57" s="291"/>
    </row>
    <row r="58" spans="2:29" ht="15" customHeight="1" x14ac:dyDescent="0.25">
      <c r="C58" s="275" t="s">
        <v>196</v>
      </c>
      <c r="E58" s="293">
        <f>'Whitby - 2019Jan-Apr'!E54+'Whitby - 2019Jan-Apr'!E60</f>
        <v>176427.08000000007</v>
      </c>
      <c r="F58" s="293">
        <f>'Whitby - 2019Jan-Apr'!E54+'Whitby - 2019Jan-Apr'!E60</f>
        <v>176427.08000000007</v>
      </c>
      <c r="L58" s="403"/>
      <c r="M58" s="403"/>
      <c r="N58" s="403"/>
      <c r="O58" s="403"/>
      <c r="Q58" s="341"/>
      <c r="R58" s="341"/>
      <c r="S58" s="341"/>
      <c r="T58" s="341"/>
      <c r="U58" s="341"/>
      <c r="V58" s="341"/>
      <c r="W58" s="341"/>
      <c r="X58" s="341"/>
      <c r="Y58" s="341"/>
      <c r="Z58" s="341"/>
      <c r="AA58" s="341"/>
      <c r="AB58" s="341"/>
      <c r="AC58" s="341"/>
    </row>
    <row r="59" spans="2:29" x14ac:dyDescent="0.25">
      <c r="C59" s="275" t="s">
        <v>220</v>
      </c>
      <c r="E59" s="293">
        <f>E50</f>
        <v>8942745.1300000008</v>
      </c>
      <c r="F59" s="293"/>
      <c r="L59" s="345"/>
      <c r="M59" s="346" t="s">
        <v>200</v>
      </c>
      <c r="N59" s="346" t="s">
        <v>200</v>
      </c>
      <c r="O59" s="346" t="s">
        <v>200</v>
      </c>
      <c r="Q59" s="291"/>
      <c r="R59" s="291"/>
      <c r="S59" s="291"/>
      <c r="T59" s="291"/>
      <c r="U59" s="291"/>
      <c r="V59" s="291"/>
      <c r="W59" s="291"/>
      <c r="X59" s="291"/>
      <c r="Y59" s="291"/>
      <c r="Z59" s="291"/>
      <c r="AA59" s="291"/>
      <c r="AB59" s="291"/>
      <c r="AC59" s="291"/>
    </row>
    <row r="60" spans="2:29" x14ac:dyDescent="0.25">
      <c r="C60" s="275" t="s">
        <v>108</v>
      </c>
      <c r="E60" s="293"/>
      <c r="F60" s="293">
        <f>'Whitby - 2019Jan-Apr'!E57</f>
        <v>14338944.881762872</v>
      </c>
      <c r="L60" s="347" t="s">
        <v>199</v>
      </c>
      <c r="M60" s="348" t="s">
        <v>98</v>
      </c>
      <c r="N60" s="349" t="s">
        <v>99</v>
      </c>
      <c r="O60" s="349" t="s">
        <v>100</v>
      </c>
    </row>
    <row r="61" spans="2:29" ht="15.75" thickBot="1" x14ac:dyDescent="0.3">
      <c r="C61" s="275" t="s">
        <v>109</v>
      </c>
      <c r="E61" s="293"/>
      <c r="F61" s="293">
        <f>'Whitby 2019 RPP 2nd TU'!K23</f>
        <v>-5461593.8640285302</v>
      </c>
      <c r="L61" s="350" t="s">
        <v>101</v>
      </c>
      <c r="M61" s="350">
        <f>'Whitby - 2019Jan-Apr'!D8</f>
        <v>242751126.94000003</v>
      </c>
      <c r="N61" s="351">
        <v>86691116</v>
      </c>
      <c r="O61" s="351">
        <v>156060011.31291267</v>
      </c>
    </row>
    <row r="62" spans="2:29" ht="15" customHeight="1" x14ac:dyDescent="0.25">
      <c r="C62" s="275" t="str">
        <f>C15</f>
        <v xml:space="preserve">  Adjustment for OEB Accounting Guidance (UFE)</v>
      </c>
      <c r="E62" s="293">
        <f>-E15</f>
        <v>-65394.112265658514</v>
      </c>
      <c r="F62" s="293"/>
      <c r="I62" s="400" t="s">
        <v>209</v>
      </c>
      <c r="L62" s="352" t="s">
        <v>102</v>
      </c>
      <c r="M62" s="353">
        <f>M63/M61</f>
        <v>9.193474333701479E-2</v>
      </c>
      <c r="N62" s="353">
        <f>N63/N61</f>
        <v>9.2031548554203743E-2</v>
      </c>
      <c r="O62" s="353">
        <f>O63/O61</f>
        <v>9.1880967847760495E-2</v>
      </c>
      <c r="Q62" s="354"/>
    </row>
    <row r="63" spans="2:29" ht="15.75" thickBot="1" x14ac:dyDescent="0.3">
      <c r="E63" s="324">
        <f>SUM(E57:E62)</f>
        <v>16206216.977734344</v>
      </c>
      <c r="F63" s="324">
        <f>SUM(F57:F62)</f>
        <v>16206216.97773434</v>
      </c>
      <c r="G63" s="324">
        <f>E63-F63</f>
        <v>0</v>
      </c>
      <c r="H63" s="316"/>
      <c r="I63" s="401"/>
      <c r="L63" s="355" t="s">
        <v>103</v>
      </c>
      <c r="M63" s="356">
        <v>22317262.550000001</v>
      </c>
      <c r="N63" s="357">
        <v>7978317.6513721095</v>
      </c>
      <c r="O63" s="357">
        <v>14338944.881762868</v>
      </c>
    </row>
    <row r="64" spans="2:29" x14ac:dyDescent="0.25">
      <c r="I64" s="358">
        <v>5.0000000000000001E-3</v>
      </c>
      <c r="L64" s="359"/>
      <c r="M64" s="277"/>
      <c r="N64" s="300"/>
      <c r="O64" s="277"/>
      <c r="P64" s="277"/>
      <c r="Q64" s="277"/>
      <c r="R64" s="277"/>
    </row>
    <row r="65" spans="2:18" ht="15.75" thickBot="1" x14ac:dyDescent="0.3">
      <c r="B65" s="360" t="s">
        <v>190</v>
      </c>
      <c r="C65" s="360"/>
      <c r="D65" s="360"/>
      <c r="E65" s="361">
        <f>E63-E54</f>
        <v>-110671.50740991533</v>
      </c>
      <c r="F65" s="361">
        <f>F63-F54</f>
        <v>-110671.50740991905</v>
      </c>
      <c r="G65" s="361">
        <f>ROUND(E65-F65,0)</f>
        <v>0</v>
      </c>
      <c r="I65" s="362">
        <f>I64*F63</f>
        <v>81031.084888671699</v>
      </c>
      <c r="J65" s="292"/>
      <c r="L65" s="292"/>
      <c r="M65" s="277"/>
      <c r="N65" s="363"/>
      <c r="O65" s="364"/>
      <c r="P65" s="277"/>
      <c r="Q65" s="277"/>
      <c r="R65" s="277"/>
    </row>
    <row r="66" spans="2:18" ht="16.5" thickTop="1" thickBot="1" x14ac:dyDescent="0.3">
      <c r="B66" s="385" t="s">
        <v>221</v>
      </c>
      <c r="I66" s="365" t="str">
        <f>IF(G65=0,"Not Applicable","Review")</f>
        <v>Not Applicable</v>
      </c>
      <c r="J66" s="292"/>
      <c r="L66" s="292"/>
      <c r="M66" s="277"/>
      <c r="N66" s="292"/>
      <c r="O66" s="277"/>
      <c r="P66" s="277"/>
      <c r="Q66" s="277"/>
      <c r="R66" s="277"/>
    </row>
    <row r="67" spans="2:18" x14ac:dyDescent="0.25">
      <c r="B67" s="329"/>
      <c r="C67" s="277"/>
      <c r="D67" s="277"/>
      <c r="E67" s="277"/>
      <c r="F67" s="277"/>
      <c r="G67" s="292"/>
      <c r="L67" s="300"/>
      <c r="M67" s="277"/>
      <c r="N67" s="300"/>
      <c r="O67" s="277"/>
      <c r="P67" s="292"/>
      <c r="Q67" s="277"/>
      <c r="R67" s="292"/>
    </row>
    <row r="68" spans="2:18" hidden="1" x14ac:dyDescent="0.25">
      <c r="B68" s="330"/>
      <c r="C68" s="277"/>
      <c r="D68" s="277"/>
      <c r="E68" s="277"/>
      <c r="F68" s="277"/>
      <c r="G68" s="292"/>
      <c r="L68" s="292"/>
      <c r="M68" s="277"/>
      <c r="N68" s="300"/>
      <c r="O68" s="277"/>
      <c r="P68" s="277"/>
      <c r="Q68" s="277"/>
      <c r="R68" s="277"/>
    </row>
    <row r="69" spans="2:18" hidden="1" x14ac:dyDescent="0.25">
      <c r="B69" s="277"/>
      <c r="C69" s="277"/>
      <c r="D69" s="277"/>
      <c r="E69" s="277"/>
      <c r="F69" s="277"/>
      <c r="G69" s="292"/>
      <c r="L69" s="277"/>
      <c r="M69" s="277"/>
      <c r="N69" s="292"/>
      <c r="O69" s="277"/>
      <c r="P69" s="277"/>
      <c r="Q69" s="277"/>
      <c r="R69" s="292"/>
    </row>
    <row r="70" spans="2:18" hidden="1" x14ac:dyDescent="0.25">
      <c r="B70" s="277"/>
      <c r="C70" s="277"/>
      <c r="D70" s="277"/>
      <c r="E70" s="277"/>
      <c r="F70" s="277"/>
      <c r="G70" s="292"/>
    </row>
    <row r="71" spans="2:18" hidden="1" x14ac:dyDescent="0.25"/>
    <row r="72" spans="2:18" hidden="1" x14ac:dyDescent="0.25">
      <c r="F72" s="293"/>
    </row>
    <row r="73" spans="2:18" hidden="1" x14ac:dyDescent="0.25">
      <c r="C73" s="276"/>
    </row>
    <row r="74" spans="2:18" ht="18" customHeight="1" x14ac:dyDescent="0.25">
      <c r="B74" s="276" t="s">
        <v>83</v>
      </c>
      <c r="E74" s="332" t="str">
        <f>E48</f>
        <v>EW Method</v>
      </c>
      <c r="F74" s="332" t="s">
        <v>95</v>
      </c>
      <c r="G74" s="319" t="s">
        <v>65</v>
      </c>
    </row>
    <row r="75" spans="2:18" x14ac:dyDescent="0.25">
      <c r="C75" s="275" t="s">
        <v>123</v>
      </c>
      <c r="E75" s="293">
        <f>'Whitby - 2019Jan-Apr'!E78</f>
        <v>7048074.919999999</v>
      </c>
      <c r="F75" s="293">
        <f>'Whitby - 2019Jan-Apr'!E78</f>
        <v>7048074.919999999</v>
      </c>
      <c r="G75" s="277"/>
      <c r="H75" s="277"/>
    </row>
    <row r="76" spans="2:18" x14ac:dyDescent="0.25">
      <c r="C76" s="275" t="s">
        <v>113</v>
      </c>
      <c r="E76" s="293">
        <f>'Whitby - 2019Jan-Apr'!E77</f>
        <v>3168655.34</v>
      </c>
      <c r="F76" s="293">
        <f>'Whitby - 2019Jan-Apr'!E77</f>
        <v>3168655.34</v>
      </c>
      <c r="G76" s="277"/>
      <c r="H76" s="366"/>
    </row>
    <row r="77" spans="2:18" ht="15.75" thickBot="1" x14ac:dyDescent="0.3">
      <c r="C77" s="275" t="s">
        <v>110</v>
      </c>
      <c r="E77" s="324">
        <f>SUM(E75:E76)</f>
        <v>10216730.259999998</v>
      </c>
      <c r="F77" s="324">
        <f>SUM(F75:F76)</f>
        <v>10216730.259999998</v>
      </c>
      <c r="G77" s="324">
        <f>E77-F77</f>
        <v>0</v>
      </c>
      <c r="H77" s="366"/>
      <c r="I77" s="293"/>
    </row>
    <row r="78" spans="2:18" ht="14.45" x14ac:dyDescent="0.3">
      <c r="E78" s="292"/>
      <c r="F78" s="292"/>
      <c r="G78" s="293"/>
      <c r="H78" s="366"/>
      <c r="I78" s="293"/>
    </row>
    <row r="79" spans="2:18" ht="14.45" x14ac:dyDescent="0.3">
      <c r="B79" s="275" t="s">
        <v>131</v>
      </c>
      <c r="E79" s="300"/>
      <c r="F79" s="296"/>
      <c r="G79" s="277"/>
      <c r="H79" s="366"/>
    </row>
    <row r="80" spans="2:18" thickBot="1" x14ac:dyDescent="0.35">
      <c r="C80" s="275" t="s">
        <v>111</v>
      </c>
      <c r="E80" s="300">
        <f>'Whitby - 2019Jan-Apr'!E56</f>
        <v>3168655.34</v>
      </c>
      <c r="F80" s="293">
        <f>'Whitby - 2019Jan-Apr'!E56</f>
        <v>3168655.34</v>
      </c>
      <c r="G80" s="277"/>
      <c r="H80" s="366"/>
    </row>
    <row r="81" spans="1:42" x14ac:dyDescent="0.25">
      <c r="C81" s="275" t="s">
        <v>112</v>
      </c>
      <c r="E81" s="300">
        <f>N63</f>
        <v>7978317.6513721095</v>
      </c>
      <c r="F81" s="293">
        <f>'Whitby - 2019Jan-Apr'!E58</f>
        <v>7978317.6513721095</v>
      </c>
      <c r="G81" s="277"/>
      <c r="H81" s="366"/>
      <c r="I81" s="400" t="s">
        <v>209</v>
      </c>
    </row>
    <row r="82" spans="1:42" ht="15.75" thickBot="1" x14ac:dyDescent="0.3">
      <c r="C82" s="275" t="s">
        <v>114</v>
      </c>
      <c r="E82" s="324">
        <f>SUM(E80:E81)</f>
        <v>11146972.991372108</v>
      </c>
      <c r="F82" s="324">
        <f>SUM(F80:F81)</f>
        <v>11146972.991372108</v>
      </c>
      <c r="G82" s="324">
        <f>E82-F82</f>
        <v>0</v>
      </c>
      <c r="H82" s="367"/>
      <c r="I82" s="401"/>
    </row>
    <row r="83" spans="1:42" ht="14.45" x14ac:dyDescent="0.3">
      <c r="G83" s="277"/>
      <c r="H83" s="366"/>
      <c r="I83" s="358">
        <v>5.0000000000000001E-3</v>
      </c>
    </row>
    <row r="84" spans="1:42" thickBot="1" x14ac:dyDescent="0.35">
      <c r="B84" s="360" t="s">
        <v>178</v>
      </c>
      <c r="C84" s="360"/>
      <c r="D84" s="360"/>
      <c r="E84" s="361">
        <f>E82-E77</f>
        <v>930242.73137211055</v>
      </c>
      <c r="F84" s="361">
        <f>F82-F77</f>
        <v>930242.73137211055</v>
      </c>
      <c r="G84" s="361">
        <f>E84-F84</f>
        <v>0</v>
      </c>
      <c r="H84" s="366"/>
      <c r="I84" s="362">
        <f>I83*F82</f>
        <v>55734.864956860547</v>
      </c>
      <c r="J84" s="292"/>
    </row>
    <row r="85" spans="1:42" ht="15.6" thickTop="1" thickBot="1" x14ac:dyDescent="0.35">
      <c r="E85" s="368"/>
      <c r="F85" s="368"/>
      <c r="G85" s="277"/>
      <c r="H85" s="366"/>
      <c r="I85" s="365" t="str">
        <f>IF(G84=0,"Not Applicable","Review")</f>
        <v>Not Applicable</v>
      </c>
      <c r="J85" s="292"/>
    </row>
    <row r="86" spans="1:42" ht="14.45" x14ac:dyDescent="0.3">
      <c r="A86" s="277"/>
      <c r="B86" s="330"/>
      <c r="C86" s="314"/>
      <c r="D86" s="277"/>
      <c r="E86" s="300"/>
      <c r="F86" s="296"/>
      <c r="G86" s="277"/>
      <c r="H86" s="366"/>
      <c r="I86" s="277"/>
    </row>
    <row r="87" spans="1:42" hidden="1" x14ac:dyDescent="0.25">
      <c r="A87" s="277"/>
      <c r="B87" s="277"/>
      <c r="C87" s="277"/>
      <c r="D87" s="277"/>
      <c r="E87" s="296"/>
      <c r="F87" s="296"/>
      <c r="G87" s="296"/>
      <c r="H87" s="296"/>
      <c r="I87" s="296"/>
    </row>
    <row r="88" spans="1:42" hidden="1" x14ac:dyDescent="0.25">
      <c r="A88" s="277"/>
      <c r="B88" s="277"/>
      <c r="C88" s="277"/>
      <c r="D88" s="277"/>
      <c r="E88" s="300"/>
      <c r="F88" s="300"/>
      <c r="G88" s="300"/>
      <c r="H88" s="369"/>
      <c r="I88" s="300"/>
    </row>
    <row r="89" spans="1:42" hidden="1" x14ac:dyDescent="0.25">
      <c r="A89" s="277"/>
      <c r="B89" s="277"/>
      <c r="C89" s="277"/>
      <c r="D89" s="277"/>
      <c r="E89" s="300"/>
      <c r="F89" s="300"/>
      <c r="G89" s="300"/>
      <c r="H89" s="369"/>
      <c r="I89" s="300"/>
    </row>
    <row r="90" spans="1:42" hidden="1" x14ac:dyDescent="0.25">
      <c r="A90" s="277"/>
      <c r="B90" s="277"/>
      <c r="C90" s="277"/>
      <c r="D90" s="277"/>
      <c r="E90" s="300"/>
      <c r="F90" s="300"/>
      <c r="G90" s="300"/>
      <c r="H90" s="322"/>
      <c r="I90" s="300"/>
    </row>
    <row r="91" spans="1:42" hidden="1" x14ac:dyDescent="0.25">
      <c r="B91" s="277"/>
      <c r="C91" s="277"/>
      <c r="D91" s="277"/>
      <c r="E91" s="277"/>
      <c r="F91" s="277"/>
      <c r="G91" s="370"/>
    </row>
    <row r="92" spans="1:42" hidden="1" x14ac:dyDescent="0.25">
      <c r="B92" s="277"/>
      <c r="C92" s="277"/>
      <c r="D92" s="277"/>
      <c r="E92" s="277"/>
      <c r="F92" s="277"/>
      <c r="I92" s="293"/>
    </row>
    <row r="93" spans="1:42" hidden="1" x14ac:dyDescent="0.25">
      <c r="B93" s="277"/>
      <c r="C93" s="277"/>
      <c r="D93" s="277"/>
      <c r="E93" s="277"/>
      <c r="F93" s="277"/>
      <c r="G93" s="371"/>
      <c r="H93" s="372"/>
    </row>
    <row r="94" spans="1:42" thickBot="1" x14ac:dyDescent="0.35">
      <c r="B94" s="277"/>
      <c r="C94" s="277"/>
      <c r="D94" s="277"/>
      <c r="E94" s="292"/>
      <c r="F94" s="277"/>
      <c r="G94" s="373"/>
      <c r="N94" s="311"/>
      <c r="O94" s="311"/>
      <c r="P94" s="311"/>
      <c r="Q94" s="311"/>
      <c r="R94" s="311"/>
      <c r="S94" s="311"/>
      <c r="T94" s="311"/>
      <c r="V94" s="311"/>
      <c r="X94" s="311"/>
      <c r="Z94" s="311"/>
      <c r="AB94" s="311"/>
      <c r="AE94" s="311"/>
      <c r="AG94" s="311"/>
      <c r="AK94" s="311"/>
      <c r="AL94" s="311"/>
      <c r="AM94" s="311"/>
      <c r="AO94" s="311"/>
      <c r="AP94" s="311"/>
    </row>
    <row r="95" spans="1:42" ht="14.45" x14ac:dyDescent="0.3">
      <c r="B95" s="374"/>
      <c r="C95" s="375"/>
      <c r="D95" s="375"/>
      <c r="E95" s="375"/>
      <c r="F95" s="376"/>
      <c r="AO95" s="275" t="s">
        <v>135</v>
      </c>
    </row>
    <row r="96" spans="1:42" ht="14.45" x14ac:dyDescent="0.3">
      <c r="B96" s="377" t="s">
        <v>210</v>
      </c>
      <c r="C96" s="277"/>
      <c r="D96" s="277"/>
      <c r="E96" s="277"/>
      <c r="F96" s="378"/>
    </row>
    <row r="97" spans="2:9" ht="14.45" x14ac:dyDescent="0.3">
      <c r="B97" s="377" t="str">
        <f>IF(E97&gt;0,"DR","CR")</f>
        <v>CR</v>
      </c>
      <c r="C97" s="277" t="s">
        <v>132</v>
      </c>
      <c r="D97" s="277"/>
      <c r="E97" s="292">
        <f>E62</f>
        <v>-65394.112265658514</v>
      </c>
      <c r="F97" s="378"/>
    </row>
    <row r="98" spans="2:9" ht="14.45" x14ac:dyDescent="0.3">
      <c r="B98" s="377" t="str">
        <f>IF(E98&gt;0,"DR","CR")</f>
        <v>CR</v>
      </c>
      <c r="C98" s="277" t="s">
        <v>129</v>
      </c>
      <c r="D98" s="277"/>
      <c r="E98" s="292">
        <f>-G81</f>
        <v>0</v>
      </c>
      <c r="F98" s="378"/>
    </row>
    <row r="99" spans="2:9" ht="14.45" x14ac:dyDescent="0.3">
      <c r="B99" s="377" t="str">
        <f>IF(E99&gt;0,"DR","CR")</f>
        <v>DR</v>
      </c>
      <c r="C99" s="277" t="s">
        <v>128</v>
      </c>
      <c r="D99" s="277"/>
      <c r="E99" s="292">
        <f>E15</f>
        <v>65394.112265658514</v>
      </c>
      <c r="F99" s="379"/>
    </row>
    <row r="100" spans="2:9" thickBot="1" x14ac:dyDescent="0.35">
      <c r="B100" s="380"/>
      <c r="C100" s="326"/>
      <c r="D100" s="326"/>
      <c r="E100" s="326"/>
      <c r="F100" s="381"/>
      <c r="G100" s="291"/>
      <c r="I100" s="298"/>
    </row>
    <row r="103" spans="2:9" ht="14.45" x14ac:dyDescent="0.3">
      <c r="E103" s="293"/>
      <c r="F103" s="293"/>
    </row>
    <row r="106" spans="2:9" ht="14.45" x14ac:dyDescent="0.3">
      <c r="E106" s="293"/>
      <c r="F106" s="293"/>
      <c r="G106" s="293"/>
    </row>
    <row r="108" spans="2:9" ht="14.45" x14ac:dyDescent="0.3">
      <c r="F108" s="291"/>
    </row>
    <row r="110" spans="2:9" ht="14.45" x14ac:dyDescent="0.3">
      <c r="E110" s="291"/>
      <c r="F110" s="293"/>
    </row>
    <row r="112" spans="2:9" ht="14.45" x14ac:dyDescent="0.3">
      <c r="E112" s="293"/>
      <c r="F112" s="293"/>
    </row>
    <row r="115" spans="5:7" ht="14.45" x14ac:dyDescent="0.3">
      <c r="E115" s="293"/>
      <c r="F115" s="382"/>
      <c r="G115" s="293"/>
    </row>
    <row r="116" spans="5:7" ht="14.45" x14ac:dyDescent="0.3">
      <c r="E116" s="293"/>
      <c r="F116" s="383"/>
      <c r="G116" s="293"/>
    </row>
    <row r="117" spans="5:7" ht="14.45" x14ac:dyDescent="0.3">
      <c r="F117" s="384"/>
    </row>
    <row r="120" spans="5:7" x14ac:dyDescent="0.25">
      <c r="E120" s="293"/>
      <c r="F120" s="383"/>
      <c r="G120" s="293"/>
    </row>
    <row r="121" spans="5:7" x14ac:dyDescent="0.25">
      <c r="E121" s="293"/>
      <c r="F121" s="382"/>
      <c r="G121" s="293"/>
    </row>
    <row r="122" spans="5:7" x14ac:dyDescent="0.25">
      <c r="G122" s="293"/>
    </row>
  </sheetData>
  <mergeCells count="4">
    <mergeCell ref="I62:I63"/>
    <mergeCell ref="I81:I82"/>
    <mergeCell ref="L57:O58"/>
    <mergeCell ref="F11:I12"/>
  </mergeCells>
  <pageMargins left="0.2" right="0.2" top="0.25" bottom="0.2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zoomScaleNormal="100" workbookViewId="0">
      <selection activeCell="G9" sqref="G9"/>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4" customWidth="1"/>
    <col min="12" max="12" width="18" style="124" bestFit="1" customWidth="1"/>
    <col min="13" max="14" width="12.7109375" style="124" customWidth="1"/>
  </cols>
  <sheetData>
    <row r="1" spans="1:14" ht="26.25" x14ac:dyDescent="0.4">
      <c r="A1" s="414" t="s">
        <v>202</v>
      </c>
      <c r="B1" s="414"/>
      <c r="C1" s="414"/>
      <c r="D1" s="414"/>
      <c r="E1" s="414"/>
      <c r="F1" s="414"/>
      <c r="G1" s="414"/>
      <c r="H1" s="414"/>
      <c r="I1" s="414"/>
      <c r="J1" s="123"/>
    </row>
    <row r="2" spans="1:14" ht="26.25" x14ac:dyDescent="0.4">
      <c r="A2" s="125"/>
      <c r="B2" s="125"/>
      <c r="C2" s="125"/>
      <c r="D2" s="125"/>
      <c r="E2" s="125"/>
      <c r="F2" s="125"/>
      <c r="G2" s="125"/>
      <c r="H2" s="125"/>
      <c r="I2" s="125"/>
      <c r="J2" s="123"/>
    </row>
    <row r="3" spans="1:14" x14ac:dyDescent="0.25">
      <c r="A3" s="2" t="s">
        <v>136</v>
      </c>
      <c r="I3" s="3"/>
    </row>
    <row r="4" spans="1:14" ht="29.45" customHeight="1" thickBot="1" x14ac:dyDescent="0.3">
      <c r="A4" s="415" t="s">
        <v>137</v>
      </c>
      <c r="B4" s="416"/>
      <c r="C4" s="417"/>
      <c r="D4" s="418" t="s">
        <v>138</v>
      </c>
      <c r="E4" s="419"/>
      <c r="F4" s="420" t="s">
        <v>139</v>
      </c>
      <c r="G4" s="421"/>
      <c r="I4" s="13"/>
    </row>
    <row r="5" spans="1:14" ht="30.75" thickBot="1" x14ac:dyDescent="0.3">
      <c r="A5" s="126" t="s">
        <v>140</v>
      </c>
      <c r="B5" s="127" t="s">
        <v>141</v>
      </c>
      <c r="C5" s="127" t="s">
        <v>142</v>
      </c>
      <c r="D5" s="128" t="s">
        <v>117</v>
      </c>
      <c r="E5" s="129" t="s">
        <v>38</v>
      </c>
      <c r="F5" s="130" t="s">
        <v>143</v>
      </c>
      <c r="G5" s="129" t="s">
        <v>38</v>
      </c>
      <c r="I5" s="13"/>
      <c r="K5" s="131"/>
      <c r="L5" s="132"/>
      <c r="M5" s="133"/>
    </row>
    <row r="6" spans="1:14" x14ac:dyDescent="0.25">
      <c r="A6" s="134" t="s">
        <v>144</v>
      </c>
      <c r="B6" s="135">
        <f>'Whitby - 2019Jan-Apr'!D27</f>
        <v>157209611.66999999</v>
      </c>
      <c r="C6" s="135">
        <f>'Whitby - 2019Jan-Apr'!E27</f>
        <v>157209611.66999999</v>
      </c>
      <c r="D6" s="136">
        <f>'Whitby 2019 RPP 2nd TU'!B23</f>
        <v>8.1907080001121929E-2</v>
      </c>
      <c r="E6" s="135">
        <f>C6*D6</f>
        <v>12876580.24</v>
      </c>
      <c r="F6" s="137"/>
      <c r="G6" s="137"/>
      <c r="I6" s="3"/>
      <c r="K6" s="131"/>
      <c r="L6" s="132"/>
      <c r="M6" s="133"/>
    </row>
    <row r="7" spans="1:14" s="124" customFormat="1" x14ac:dyDescent="0.25">
      <c r="A7" s="134" t="s">
        <v>145</v>
      </c>
      <c r="B7" s="138">
        <v>0</v>
      </c>
      <c r="C7" s="138">
        <f>-'Whitby - 2019Jan-Apr'!D7</f>
        <v>45731417.789999999</v>
      </c>
      <c r="D7" s="139">
        <f>'Whitby - 2019Jan-Apr'!C85</f>
        <v>2.585509473201043E-2</v>
      </c>
      <c r="E7" s="138">
        <f>+C7*D7</f>
        <v>1182390.139189597</v>
      </c>
      <c r="F7" s="140"/>
      <c r="G7" s="138">
        <f>'Whitby - 2019Jan-Apr'!E77</f>
        <v>3168655.34</v>
      </c>
      <c r="I7"/>
      <c r="J7"/>
      <c r="K7" s="131"/>
      <c r="L7" s="131"/>
      <c r="N7" s="131"/>
    </row>
    <row r="8" spans="1:14" s="124" customFormat="1" ht="15.75" thickBot="1" x14ac:dyDescent="0.3">
      <c r="A8" s="134" t="s">
        <v>146</v>
      </c>
      <c r="B8" s="141">
        <f>'Whitby - 2019Jan-Apr'!D28</f>
        <v>87329717</v>
      </c>
      <c r="C8" s="141">
        <f>'Whitby - 2019Jan-Apr'!D28</f>
        <v>87329717</v>
      </c>
      <c r="D8" s="142">
        <f>'Whitby - 2019Jan-Apr'!C85</f>
        <v>2.585509473201043E-2</v>
      </c>
      <c r="E8" s="141">
        <f>+D8*C8</f>
        <v>2257918.1059546615</v>
      </c>
      <c r="F8" s="142">
        <f>'Whitby - 2019Jan-Apr'!C45</f>
        <v>8.0706489865299796E-2</v>
      </c>
      <c r="G8" s="141">
        <f>B8*F8</f>
        <v>7048074.919999999</v>
      </c>
      <c r="I8"/>
      <c r="J8"/>
      <c r="N8" s="143"/>
    </row>
    <row r="9" spans="1:14" s="124" customFormat="1" ht="15.75" thickBot="1" x14ac:dyDescent="0.3">
      <c r="A9" s="140"/>
      <c r="B9" s="144">
        <f>SUM(B6:B8)</f>
        <v>244539328.66999999</v>
      </c>
      <c r="C9" s="144">
        <f>SUM(C6:C8)</f>
        <v>290270746.45999998</v>
      </c>
      <c r="D9" s="145"/>
      <c r="E9" s="146">
        <f>SUM(E6:E8)</f>
        <v>16316888.485144259</v>
      </c>
      <c r="F9" s="145"/>
      <c r="G9" s="146">
        <f>SUM(G6:G8)</f>
        <v>10216730.259999998</v>
      </c>
      <c r="I9"/>
      <c r="J9"/>
      <c r="K9" s="131"/>
      <c r="L9" s="147"/>
      <c r="M9" s="148"/>
    </row>
    <row r="10" spans="1:14" s="124" customFormat="1" ht="15.75" thickTop="1" x14ac:dyDescent="0.25">
      <c r="A10" s="3"/>
      <c r="B10" s="18"/>
      <c r="C10" s="18"/>
      <c r="D10" s="3"/>
      <c r="E10" s="149"/>
      <c r="F10" s="77"/>
      <c r="G10" s="149"/>
      <c r="I10"/>
      <c r="J10"/>
      <c r="K10" s="131"/>
      <c r="L10" s="147"/>
      <c r="M10" s="148"/>
    </row>
    <row r="11" spans="1:14" ht="15.75" thickBot="1" x14ac:dyDescent="0.3">
      <c r="A11" s="2" t="s">
        <v>147</v>
      </c>
      <c r="K11" s="131"/>
      <c r="L11" s="132"/>
      <c r="M11" s="148"/>
    </row>
    <row r="12" spans="1:14" s="124" customFormat="1" ht="16.5" thickBot="1" x14ac:dyDescent="0.3">
      <c r="A12" s="150"/>
      <c r="B12" s="151"/>
      <c r="C12" s="152"/>
      <c r="D12" s="422" t="s">
        <v>148</v>
      </c>
      <c r="E12" s="423"/>
      <c r="F12" s="423"/>
      <c r="G12" s="423"/>
      <c r="H12" s="423"/>
      <c r="I12" s="424"/>
      <c r="N12" s="143"/>
    </row>
    <row r="13" spans="1:14" s="124" customFormat="1" ht="29.45" customHeight="1" thickBot="1" x14ac:dyDescent="0.3">
      <c r="A13" s="408" t="s">
        <v>137</v>
      </c>
      <c r="B13" s="409"/>
      <c r="C13" s="410"/>
      <c r="D13" s="411" t="s">
        <v>149</v>
      </c>
      <c r="E13" s="412"/>
      <c r="F13" s="411" t="s">
        <v>150</v>
      </c>
      <c r="G13" s="413"/>
      <c r="H13" s="153" t="s">
        <v>151</v>
      </c>
      <c r="I13" s="154" t="s">
        <v>152</v>
      </c>
    </row>
    <row r="14" spans="1:14" s="124" customFormat="1" ht="48" customHeight="1" thickBot="1" x14ac:dyDescent="0.35">
      <c r="A14" s="126" t="s">
        <v>140</v>
      </c>
      <c r="B14" s="127" t="s">
        <v>153</v>
      </c>
      <c r="C14" s="127" t="s">
        <v>154</v>
      </c>
      <c r="D14" s="130" t="s">
        <v>155</v>
      </c>
      <c r="E14" s="129" t="s">
        <v>38</v>
      </c>
      <c r="F14" s="130" t="s">
        <v>156</v>
      </c>
      <c r="G14" s="129" t="s">
        <v>38</v>
      </c>
      <c r="H14" s="153" t="s">
        <v>38</v>
      </c>
      <c r="I14" s="155" t="s">
        <v>38</v>
      </c>
    </row>
    <row r="15" spans="1:14" s="124" customFormat="1" ht="14.45" x14ac:dyDescent="0.3">
      <c r="A15" s="156" t="s">
        <v>157</v>
      </c>
      <c r="B15" s="157">
        <f>'Whitby - 2019Jan-Apr'!D10</f>
        <v>156060011.3129127</v>
      </c>
      <c r="C15" s="158">
        <f>'Whitby - 2019Jan-Apr'!E10</f>
        <v>156060011.3129127</v>
      </c>
      <c r="D15" s="159">
        <f>'Whitby - 2019Jan-Apr'!C43</f>
        <v>2.5022866402453468E-2</v>
      </c>
      <c r="E15" s="158">
        <f>C15*D15</f>
        <v>3905068.8138483912</v>
      </c>
      <c r="F15" s="268">
        <f>'Whitby - 2019Jan-Apr'!C49</f>
        <v>9.1880967847760495E-2</v>
      </c>
      <c r="G15" s="158">
        <f>B15*F15</f>
        <v>14338944.881762872</v>
      </c>
      <c r="H15" s="160">
        <f>'Whitby 2019 RPP 2nd TU'!K23</f>
        <v>-5461593.8640285302</v>
      </c>
      <c r="I15" s="161">
        <f>+E15+G15+H15</f>
        <v>12782419.831582731</v>
      </c>
      <c r="J15" s="131"/>
      <c r="K15" s="131"/>
    </row>
    <row r="16" spans="1:14" s="124" customFormat="1" ht="14.45" x14ac:dyDescent="0.3">
      <c r="A16" s="134" t="s">
        <v>145</v>
      </c>
      <c r="B16" s="162">
        <v>0</v>
      </c>
      <c r="C16" s="163">
        <f>-'Whitby - 2019Jan-Apr'!D7</f>
        <v>45731417.789999999</v>
      </c>
      <c r="D16" s="164">
        <f>'Whitby - 2019Jan-Apr'!C44</f>
        <v>2.585509473201043E-2</v>
      </c>
      <c r="E16" s="163">
        <f>C16*D16</f>
        <v>1182390.139189597</v>
      </c>
      <c r="F16" s="164"/>
      <c r="G16" s="163"/>
      <c r="H16" s="165"/>
      <c r="I16" s="166">
        <f>+E16+G16+H16</f>
        <v>1182390.139189597</v>
      </c>
      <c r="J16" s="131"/>
      <c r="K16" s="167"/>
    </row>
    <row r="17" spans="1:12" s="124" customFormat="1" thickBot="1" x14ac:dyDescent="0.35">
      <c r="A17" s="134" t="s">
        <v>146</v>
      </c>
      <c r="B17" s="168">
        <f>'Whitby - 2019Jan-Apr'!D11</f>
        <v>86691115.62708731</v>
      </c>
      <c r="C17" s="163">
        <f>'Whitby - 2019Jan-Apr'!D11</f>
        <v>86691115.62708731</v>
      </c>
      <c r="D17" s="169">
        <f>'Whitby - 2019Jan-Apr'!C44</f>
        <v>2.585509473201043E-2</v>
      </c>
      <c r="E17" s="170">
        <f>C17*D17</f>
        <v>2241407.006962012</v>
      </c>
      <c r="F17" s="142"/>
      <c r="G17" s="171"/>
      <c r="H17" s="165"/>
      <c r="I17" s="166">
        <f>+E17+G17+H17</f>
        <v>2241407.006962012</v>
      </c>
      <c r="J17" s="131"/>
    </row>
    <row r="18" spans="1:12" s="124" customFormat="1" thickBot="1" x14ac:dyDescent="0.35">
      <c r="A18" s="140"/>
      <c r="B18" s="144">
        <f>SUM(B15:B17)</f>
        <v>242751126.94</v>
      </c>
      <c r="C18" s="144">
        <f>SUM(C15:C17)</f>
        <v>288482544.73000002</v>
      </c>
      <c r="D18" s="144"/>
      <c r="E18" s="144">
        <f>SUM(E15:E17)</f>
        <v>7328865.9600000009</v>
      </c>
      <c r="F18" s="145"/>
      <c r="G18" s="144">
        <f>SUM(G15:G17)</f>
        <v>14338944.881762872</v>
      </c>
      <c r="H18" s="144">
        <f>SUM(H15:H17)</f>
        <v>-5461593.8640285302</v>
      </c>
      <c r="I18" s="146">
        <f>SUM(I15:I17)</f>
        <v>16206216.97773434</v>
      </c>
      <c r="J18" s="131"/>
      <c r="K18" s="131"/>
      <c r="L18" s="131"/>
    </row>
    <row r="19" spans="1:12" s="124" customFormat="1" thickTop="1" x14ac:dyDescent="0.3">
      <c r="A19"/>
      <c r="B19"/>
      <c r="C19"/>
      <c r="D19"/>
      <c r="E19" s="172"/>
      <c r="F19" s="173"/>
      <c r="G19" s="3"/>
      <c r="H19" s="3"/>
      <c r="I19" s="109"/>
      <c r="J19" s="7" t="s">
        <v>158</v>
      </c>
      <c r="K19" s="131"/>
    </row>
    <row r="20" spans="1:12" s="124" customFormat="1" ht="14.45" x14ac:dyDescent="0.3">
      <c r="A20" s="2" t="s">
        <v>159</v>
      </c>
      <c r="B20"/>
      <c r="C20"/>
      <c r="D20"/>
      <c r="E20"/>
      <c r="F20"/>
      <c r="G20"/>
      <c r="H20"/>
      <c r="I20"/>
      <c r="J20"/>
      <c r="K20" s="132"/>
    </row>
    <row r="21" spans="1:12" s="124" customFormat="1" ht="16.149999999999999" customHeight="1" thickBot="1" x14ac:dyDescent="0.35">
      <c r="A21" s="415" t="s">
        <v>137</v>
      </c>
      <c r="B21" s="416"/>
      <c r="C21" s="417"/>
      <c r="D21" s="428" t="s">
        <v>160</v>
      </c>
      <c r="E21" s="429"/>
      <c r="F21" s="174"/>
      <c r="G21" s="175"/>
      <c r="H21" s="175"/>
      <c r="I21" s="175"/>
      <c r="J21" s="175"/>
      <c r="K21" s="143"/>
    </row>
    <row r="22" spans="1:12" s="124" customFormat="1" ht="45" customHeight="1" thickBot="1" x14ac:dyDescent="0.35">
      <c r="A22" s="126" t="s">
        <v>140</v>
      </c>
      <c r="B22" s="127" t="s">
        <v>153</v>
      </c>
      <c r="C22" s="127" t="s">
        <v>154</v>
      </c>
      <c r="D22" s="130" t="s">
        <v>156</v>
      </c>
      <c r="E22" s="176" t="s">
        <v>38</v>
      </c>
      <c r="F22" s="3"/>
      <c r="G22" s="177"/>
      <c r="H22" s="177"/>
      <c r="I22" s="3"/>
      <c r="J22" s="3"/>
    </row>
    <row r="23" spans="1:12" s="124" customFormat="1" ht="14.45" x14ac:dyDescent="0.3">
      <c r="A23" s="134" t="s">
        <v>145</v>
      </c>
      <c r="B23" s="178"/>
      <c r="C23" s="163"/>
      <c r="D23" s="164"/>
      <c r="E23" s="163">
        <f>'Whitby - 2019Jan-Apr'!E77</f>
        <v>3168655.34</v>
      </c>
      <c r="F23" s="94"/>
      <c r="G23" s="177"/>
      <c r="H23" s="177"/>
      <c r="I23" s="3"/>
      <c r="J23" s="3"/>
    </row>
    <row r="24" spans="1:12" s="124" customFormat="1" thickBot="1" x14ac:dyDescent="0.35">
      <c r="A24" s="134" t="s">
        <v>146</v>
      </c>
      <c r="B24" s="178">
        <f>B17</f>
        <v>86691115.62708731</v>
      </c>
      <c r="C24" s="163"/>
      <c r="D24" s="267">
        <f>'Whitby - 2019Jan-Apr'!C50</f>
        <v>9.2031548950088984E-2</v>
      </c>
      <c r="E24" s="170">
        <f>+D24*B24</f>
        <v>7978317.6513721095</v>
      </c>
      <c r="F24" s="94"/>
      <c r="G24" s="177"/>
      <c r="H24" s="177"/>
      <c r="I24" s="3"/>
      <c r="J24" s="3"/>
    </row>
    <row r="25" spans="1:12" s="124" customFormat="1" thickBot="1" x14ac:dyDescent="0.35">
      <c r="A25" s="140"/>
      <c r="B25" s="141">
        <f>+B23+B24</f>
        <v>86691115.62708731</v>
      </c>
      <c r="C25" s="141">
        <f>+C23+C24</f>
        <v>0</v>
      </c>
      <c r="D25" s="179"/>
      <c r="E25" s="180">
        <f>+E23+E24</f>
        <v>11146972.991372108</v>
      </c>
      <c r="F25" s="94"/>
      <c r="G25" s="177"/>
      <c r="H25" s="181"/>
      <c r="I25" s="3"/>
      <c r="J25" s="3"/>
      <c r="K25" s="143"/>
    </row>
    <row r="26" spans="1:12" s="124" customFormat="1" ht="14.45" x14ac:dyDescent="0.3">
      <c r="A26" s="3"/>
      <c r="B26" s="18"/>
      <c r="C26" s="18"/>
      <c r="D26" s="17"/>
      <c r="E26" s="149"/>
      <c r="F26" s="3"/>
      <c r="G26" s="177"/>
      <c r="H26" s="181"/>
      <c r="I26" s="3"/>
      <c r="J26" s="3"/>
      <c r="K26" s="143"/>
    </row>
    <row r="27" spans="1:12" s="124" customFormat="1" thickBot="1" x14ac:dyDescent="0.35">
      <c r="A27" s="2" t="s">
        <v>161</v>
      </c>
      <c r="B27" s="17"/>
      <c r="C27" s="18"/>
      <c r="D27" s="3"/>
      <c r="E27"/>
      <c r="F27"/>
      <c r="G27"/>
      <c r="H27" s="7" t="s">
        <v>158</v>
      </c>
      <c r="I27"/>
      <c r="J27"/>
    </row>
    <row r="28" spans="1:12" s="124" customFormat="1" ht="15" customHeight="1" thickBot="1" x14ac:dyDescent="0.3">
      <c r="A28" s="182"/>
      <c r="B28" s="183"/>
      <c r="C28" s="430" t="s">
        <v>162</v>
      </c>
      <c r="D28" s="423"/>
      <c r="E28" s="423"/>
      <c r="F28" s="423"/>
      <c r="G28" s="423"/>
      <c r="H28" s="423"/>
      <c r="I28" s="424"/>
    </row>
    <row r="29" spans="1:12" s="124" customFormat="1" ht="15.75" thickBot="1" x14ac:dyDescent="0.3">
      <c r="A29" s="431"/>
      <c r="B29" s="432"/>
      <c r="C29" s="184"/>
      <c r="D29" s="13"/>
      <c r="E29" s="177"/>
      <c r="F29" s="437"/>
      <c r="G29" s="438"/>
      <c r="H29" s="438"/>
      <c r="I29" s="439"/>
    </row>
    <row r="30" spans="1:12" s="124" customFormat="1" ht="15" customHeight="1" thickBot="1" x14ac:dyDescent="0.3">
      <c r="A30" s="433"/>
      <c r="B30" s="434"/>
      <c r="C30" s="440" t="s">
        <v>163</v>
      </c>
      <c r="D30" s="441"/>
      <c r="E30" s="185">
        <f>+I18-E9</f>
        <v>-110671.50740991905</v>
      </c>
      <c r="F30" s="425" t="s">
        <v>164</v>
      </c>
      <c r="G30" s="426"/>
      <c r="H30" s="426"/>
      <c r="I30" s="427"/>
      <c r="J30" s="131"/>
    </row>
    <row r="31" spans="1:12" s="124" customFormat="1" ht="16.5" thickTop="1" thickBot="1" x14ac:dyDescent="0.3">
      <c r="A31" s="435"/>
      <c r="B31" s="436"/>
      <c r="C31" s="186"/>
      <c r="E31" s="187"/>
      <c r="F31" s="442"/>
      <c r="G31" s="443"/>
      <c r="H31" s="443"/>
      <c r="I31" s="444"/>
    </row>
    <row r="32" spans="1:12" s="124" customFormat="1" ht="16.5" thickBot="1" x14ac:dyDescent="0.3">
      <c r="A32" s="126" t="s">
        <v>140</v>
      </c>
      <c r="B32" s="188" t="s">
        <v>165</v>
      </c>
      <c r="C32" s="189" t="s">
        <v>166</v>
      </c>
      <c r="D32" s="190" t="s">
        <v>167</v>
      </c>
      <c r="E32" s="191" t="s">
        <v>89</v>
      </c>
      <c r="F32" s="445" t="s">
        <v>168</v>
      </c>
      <c r="G32" s="446"/>
      <c r="H32" s="446"/>
      <c r="I32" s="447"/>
    </row>
    <row r="33" spans="1:10" s="124" customFormat="1" x14ac:dyDescent="0.25">
      <c r="A33" s="192" t="s">
        <v>144</v>
      </c>
      <c r="B33" s="193" t="s">
        <v>169</v>
      </c>
      <c r="C33" s="194">
        <f>+C15</f>
        <v>156060011.3129127</v>
      </c>
      <c r="D33" s="195">
        <f>((+I15)/C15)-D6</f>
        <v>0</v>
      </c>
      <c r="E33" s="196">
        <f>+C33*D33</f>
        <v>0</v>
      </c>
      <c r="F33" s="426" t="s">
        <v>170</v>
      </c>
      <c r="G33" s="426"/>
      <c r="H33" s="426"/>
      <c r="I33" s="427"/>
    </row>
    <row r="34" spans="1:10" s="124" customFormat="1" x14ac:dyDescent="0.25">
      <c r="A34" s="192" t="s">
        <v>144</v>
      </c>
      <c r="B34" s="193" t="s">
        <v>171</v>
      </c>
      <c r="C34" s="197">
        <f>+C15-C6</f>
        <v>-1149600.3570872843</v>
      </c>
      <c r="D34" s="198">
        <f>D6</f>
        <v>8.1907080001121929E-2</v>
      </c>
      <c r="E34" s="199">
        <f>+C34*D34</f>
        <v>-94160.408417266532</v>
      </c>
      <c r="F34" s="426" t="s">
        <v>172</v>
      </c>
      <c r="G34" s="426"/>
      <c r="H34" s="426"/>
      <c r="I34" s="427"/>
    </row>
    <row r="35" spans="1:10" s="124" customFormat="1" x14ac:dyDescent="0.25">
      <c r="A35" s="200" t="s">
        <v>146</v>
      </c>
      <c r="B35" s="193" t="s">
        <v>173</v>
      </c>
      <c r="C35" s="197">
        <f>+C16+C17</f>
        <v>132422533.41708732</v>
      </c>
      <c r="D35" s="201">
        <f>+D16-D7</f>
        <v>0</v>
      </c>
      <c r="E35" s="199">
        <f>+C35*D35</f>
        <v>0</v>
      </c>
      <c r="F35" s="426" t="s">
        <v>170</v>
      </c>
      <c r="G35" s="426"/>
      <c r="H35" s="426"/>
      <c r="I35" s="427"/>
      <c r="J35" s="202"/>
    </row>
    <row r="36" spans="1:10" s="124" customFormat="1" ht="15.75" thickBot="1" x14ac:dyDescent="0.3">
      <c r="A36" s="192" t="s">
        <v>146</v>
      </c>
      <c r="B36" s="193" t="s">
        <v>171</v>
      </c>
      <c r="C36" s="203">
        <f>(+C17+C16)-(C8+C7)</f>
        <v>-638601.37291267514</v>
      </c>
      <c r="D36" s="204">
        <f>+D7</f>
        <v>2.585509473201043E-2</v>
      </c>
      <c r="E36" s="205">
        <f>+C36*D36</f>
        <v>-16511.098992649135</v>
      </c>
      <c r="F36" s="426" t="s">
        <v>172</v>
      </c>
      <c r="G36" s="426"/>
      <c r="H36" s="426"/>
      <c r="I36" s="427"/>
      <c r="J36" s="202"/>
    </row>
    <row r="37" spans="1:10" s="124" customFormat="1" ht="15.75" thickBot="1" x14ac:dyDescent="0.3">
      <c r="A37" s="206"/>
      <c r="B37" s="140"/>
      <c r="C37" s="207" t="s">
        <v>174</v>
      </c>
      <c r="D37" s="208"/>
      <c r="E37" s="209">
        <f>SUM(E33:E36)</f>
        <v>-110671.50740991566</v>
      </c>
      <c r="F37" s="425"/>
      <c r="G37" s="426"/>
      <c r="H37" s="426"/>
      <c r="I37" s="427"/>
    </row>
    <row r="38" spans="1:10" s="124" customFormat="1" ht="15.75" thickTop="1" x14ac:dyDescent="0.25">
      <c r="A38" s="177"/>
      <c r="B38" s="3"/>
      <c r="C38" s="110"/>
      <c r="D38" s="3"/>
      <c r="E38" s="149"/>
      <c r="F38" s="110"/>
      <c r="G38" s="110"/>
      <c r="H38" s="110"/>
      <c r="I38" s="110"/>
    </row>
    <row r="39" spans="1:10" s="124" customFormat="1" ht="15.75" thickBot="1" x14ac:dyDescent="0.3">
      <c r="A39" s="2" t="s">
        <v>175</v>
      </c>
      <c r="B39" s="18"/>
      <c r="C39" s="18"/>
      <c r="D39"/>
      <c r="E39"/>
      <c r="F39"/>
      <c r="G39" s="202"/>
      <c r="H39" s="202"/>
      <c r="I39" s="177"/>
      <c r="J39"/>
    </row>
    <row r="40" spans="1:10" s="124" customFormat="1" ht="16.5" thickBot="1" x14ac:dyDescent="0.3">
      <c r="A40" s="182"/>
      <c r="B40" s="210"/>
      <c r="C40" s="430" t="s">
        <v>176</v>
      </c>
      <c r="D40" s="423"/>
      <c r="E40" s="423"/>
      <c r="F40" s="423" t="s">
        <v>168</v>
      </c>
      <c r="G40" s="423"/>
      <c r="H40" s="423"/>
      <c r="I40" s="424"/>
    </row>
    <row r="41" spans="1:10" s="124" customFormat="1" ht="15.75" thickBot="1" x14ac:dyDescent="0.3">
      <c r="A41" s="431"/>
      <c r="B41" s="432"/>
      <c r="C41" s="211"/>
      <c r="D41" s="13"/>
      <c r="E41" s="3"/>
      <c r="F41" s="442"/>
      <c r="G41" s="443"/>
      <c r="H41" s="443"/>
      <c r="I41" s="444"/>
    </row>
    <row r="42" spans="1:10" s="124" customFormat="1" ht="15" customHeight="1" thickBot="1" x14ac:dyDescent="0.3">
      <c r="A42" s="433"/>
      <c r="B42" s="434"/>
      <c r="C42" s="440" t="s">
        <v>163</v>
      </c>
      <c r="D42" s="441"/>
      <c r="E42" s="185">
        <f>+E25-G9</f>
        <v>930242.73137211055</v>
      </c>
      <c r="F42" s="425" t="s">
        <v>164</v>
      </c>
      <c r="G42" s="426"/>
      <c r="H42" s="426"/>
      <c r="I42" s="427"/>
    </row>
    <row r="43" spans="1:10" s="124" customFormat="1" ht="16.5" thickTop="1" thickBot="1" x14ac:dyDescent="0.3">
      <c r="A43" s="435"/>
      <c r="B43" s="436"/>
      <c r="C43" s="186"/>
      <c r="E43" s="187"/>
      <c r="F43" s="442"/>
      <c r="G43" s="443"/>
      <c r="H43" s="443"/>
      <c r="I43" s="444"/>
    </row>
    <row r="44" spans="1:10" s="124" customFormat="1" ht="16.5" thickBot="1" x14ac:dyDescent="0.3">
      <c r="A44" s="126" t="s">
        <v>140</v>
      </c>
      <c r="B44" s="188" t="s">
        <v>165</v>
      </c>
      <c r="C44" s="189" t="s">
        <v>166</v>
      </c>
      <c r="D44" s="190" t="s">
        <v>167</v>
      </c>
      <c r="E44" s="191" t="s">
        <v>89</v>
      </c>
      <c r="F44" s="445" t="s">
        <v>168</v>
      </c>
      <c r="G44" s="446"/>
      <c r="H44" s="446"/>
      <c r="I44" s="447"/>
    </row>
    <row r="45" spans="1:10" s="124" customFormat="1" x14ac:dyDescent="0.25">
      <c r="A45" s="212" t="s">
        <v>146</v>
      </c>
      <c r="B45" s="213" t="s">
        <v>169</v>
      </c>
      <c r="C45" s="214">
        <f>+B24</f>
        <v>86691115.62708731</v>
      </c>
      <c r="D45" s="215">
        <f>+D24-F8</f>
        <v>1.1325059084789188E-2</v>
      </c>
      <c r="E45" s="216">
        <f>+D45*C45</f>
        <v>981782.00660305505</v>
      </c>
      <c r="F45" s="448" t="s">
        <v>177</v>
      </c>
      <c r="G45" s="448"/>
      <c r="H45" s="448"/>
      <c r="I45" s="449"/>
      <c r="J45" s="217"/>
    </row>
    <row r="46" spans="1:10" s="124" customFormat="1" ht="15.75" thickBot="1" x14ac:dyDescent="0.3">
      <c r="A46" s="192" t="s">
        <v>146</v>
      </c>
      <c r="B46" s="193" t="s">
        <v>171</v>
      </c>
      <c r="C46" s="218">
        <f>+B8-B24</f>
        <v>638601.37291269004</v>
      </c>
      <c r="D46" s="219">
        <f>-F8</f>
        <v>-8.0706489865299796E-2</v>
      </c>
      <c r="E46" s="220">
        <f>+C46*D46</f>
        <v>-51539.275230944557</v>
      </c>
      <c r="F46" s="450" t="s">
        <v>172</v>
      </c>
      <c r="G46" s="450"/>
      <c r="H46" s="450"/>
      <c r="I46" s="451"/>
      <c r="J46" s="221"/>
    </row>
    <row r="47" spans="1:10" s="124" customFormat="1" ht="15.75" thickBot="1" x14ac:dyDescent="0.3">
      <c r="A47" s="206"/>
      <c r="B47" s="140"/>
      <c r="C47" s="207" t="s">
        <v>174</v>
      </c>
      <c r="D47" s="207"/>
      <c r="E47" s="209">
        <f>SUM(E45:E46)</f>
        <v>930242.73137211055</v>
      </c>
      <c r="F47" s="452"/>
      <c r="G47" s="453"/>
      <c r="H47" s="453"/>
      <c r="I47" s="454"/>
    </row>
    <row r="48" spans="1:10" s="124" customFormat="1" ht="15.75" thickTop="1" x14ac:dyDescent="0.25">
      <c r="A48"/>
      <c r="B48" s="77"/>
      <c r="C48"/>
    </row>
    <row r="58" spans="9:11" x14ac:dyDescent="0.25">
      <c r="I58" s="222"/>
      <c r="J58" s="121"/>
      <c r="K58" s="143"/>
    </row>
    <row r="59" spans="9:11" x14ac:dyDescent="0.25">
      <c r="I59" s="222"/>
      <c r="J59" s="121"/>
      <c r="K59" s="143"/>
    </row>
    <row r="60" spans="9:11" x14ac:dyDescent="0.25">
      <c r="I60" s="35"/>
      <c r="J60" s="31"/>
      <c r="K60" s="143"/>
    </row>
  </sheetData>
  <mergeCells count="32">
    <mergeCell ref="F44:I44"/>
    <mergeCell ref="F45:I45"/>
    <mergeCell ref="F46:I46"/>
    <mergeCell ref="F47:I47"/>
    <mergeCell ref="C40:I40"/>
    <mergeCell ref="A41:B43"/>
    <mergeCell ref="F41:I41"/>
    <mergeCell ref="C42:D42"/>
    <mergeCell ref="F42:I42"/>
    <mergeCell ref="F43:I43"/>
    <mergeCell ref="F37:I37"/>
    <mergeCell ref="A21:C21"/>
    <mergeCell ref="D21:E21"/>
    <mergeCell ref="C28:I28"/>
    <mergeCell ref="A29:B31"/>
    <mergeCell ref="F29:I29"/>
    <mergeCell ref="C30:D30"/>
    <mergeCell ref="F30:I30"/>
    <mergeCell ref="F31:I31"/>
    <mergeCell ref="F32:I32"/>
    <mergeCell ref="F33:I33"/>
    <mergeCell ref="F34:I34"/>
    <mergeCell ref="F35:I35"/>
    <mergeCell ref="F36:I36"/>
    <mergeCell ref="A13:C13"/>
    <mergeCell ref="D13:E13"/>
    <mergeCell ref="F13:G13"/>
    <mergeCell ref="A1:I1"/>
    <mergeCell ref="A4:C4"/>
    <mergeCell ref="D4:E4"/>
    <mergeCell ref="F4:G4"/>
    <mergeCell ref="D12:I12"/>
  </mergeCells>
  <pageMargins left="0.7" right="0.7" top="0.75" bottom="0.75" header="0.3" footer="0.3"/>
  <pageSetup paperSize="17"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Whitby - 2019Jan-Apr</vt:lpstr>
      <vt:lpstr>Whitby 2019 RPP 2nd TU</vt:lpstr>
      <vt:lpstr>WH Settlement Comparison</vt:lpstr>
      <vt:lpstr>Final RSVA Balances</vt:lpstr>
      <vt:lpstr>'WH Settlement Comparison'!Print_Area</vt:lpstr>
      <vt:lpstr>'Whitby - 2019Jan-Apr'!Print_Area</vt:lpstr>
      <vt:lpstr>'Whitby 2019 RPP 2nd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Susan Reffle</cp:lastModifiedBy>
  <cp:lastPrinted>2019-08-08T00:57:19Z</cp:lastPrinted>
  <dcterms:created xsi:type="dcterms:W3CDTF">2019-07-16T19:41:05Z</dcterms:created>
  <dcterms:modified xsi:type="dcterms:W3CDTF">2019-10-16T17:24:50Z</dcterms:modified>
</cp:coreProperties>
</file>