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185" yWindow="375" windowWidth="17985" windowHeight="11940" tabRatio="800" activeTab="2"/>
  </bookViews>
  <sheets>
    <sheet name="Whitby - 2018" sheetId="5" r:id="rId1"/>
    <sheet name="Whitby 2018 RPP 2nd TU" sheetId="6" r:id="rId2"/>
    <sheet name="WH Settlement Comparison" sheetId="7" r:id="rId3"/>
    <sheet name="Final RSVA Balances" sheetId="9" r:id="rId4"/>
  </sheets>
  <externalReferences>
    <externalReference r:id="rId5"/>
  </externalReferences>
  <definedNames>
    <definedName name="_xlnm.Print_Area" localSheetId="2">'WH Settlement Comparison'!$B$70:$I$86</definedName>
    <definedName name="_xlnm.Print_Area" localSheetId="0">'Whitby - 2018'!$A$1:$E$89</definedName>
  </definedNames>
  <calcPr calcId="145621"/>
</workbook>
</file>

<file path=xl/calcChain.xml><?xml version="1.0" encoding="utf-8"?>
<calcChain xmlns="http://schemas.openxmlformats.org/spreadsheetml/2006/main">
  <c r="C50" i="5" l="1"/>
  <c r="D24" i="9" s="1"/>
  <c r="C49" i="5"/>
  <c r="F15" i="9" s="1"/>
  <c r="N57" i="7"/>
  <c r="O57" i="7" l="1"/>
  <c r="F72" i="7" l="1"/>
  <c r="E21" i="7" l="1"/>
  <c r="N48" i="7" l="1"/>
  <c r="M48" i="7"/>
  <c r="M56" i="7" s="1"/>
  <c r="M57" i="7" s="1"/>
  <c r="E71" i="7"/>
  <c r="E77" i="7"/>
  <c r="E45" i="7" l="1"/>
  <c r="C39" i="7"/>
  <c r="E70" i="7" l="1"/>
  <c r="C38" i="7" l="1"/>
  <c r="C37" i="7"/>
  <c r="C16" i="9" l="1"/>
  <c r="F8" i="9"/>
  <c r="C8" i="9"/>
  <c r="C7" i="9"/>
  <c r="B8" i="9"/>
  <c r="C25" i="9"/>
  <c r="G8" i="9" l="1"/>
  <c r="D46" i="9"/>
  <c r="E53" i="7" l="1"/>
  <c r="F53" i="7"/>
  <c r="E84" i="7"/>
  <c r="E22" i="7" l="1"/>
  <c r="E44" i="7"/>
  <c r="E18" i="7" l="1"/>
  <c r="E38" i="7" l="1"/>
  <c r="C33" i="7"/>
  <c r="C35" i="7"/>
  <c r="E32" i="7"/>
  <c r="E31" i="7"/>
  <c r="E30" i="7"/>
  <c r="E29" i="7"/>
  <c r="E28" i="7"/>
  <c r="E76" i="7"/>
  <c r="F76" i="7"/>
  <c r="F52" i="7"/>
  <c r="E52" i="7"/>
  <c r="E33" i="7" l="1"/>
  <c r="E35" i="7" s="1"/>
  <c r="E54" i="7" l="1"/>
  <c r="E58" i="7" s="1"/>
  <c r="E46" i="7"/>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7" i="5"/>
  <c r="E36" i="5"/>
  <c r="E35" i="5"/>
  <c r="E34" i="5"/>
  <c r="E33" i="5"/>
  <c r="J38" i="5"/>
  <c r="E28" i="5"/>
  <c r="H30" i="7" l="1"/>
  <c r="C69" i="5"/>
  <c r="B20" i="6" s="1"/>
  <c r="H28" i="7"/>
  <c r="C67" i="5"/>
  <c r="B18" i="6" s="1"/>
  <c r="B29" i="6" s="1"/>
  <c r="D85" i="5"/>
  <c r="H31" i="7"/>
  <c r="C70" i="5"/>
  <c r="B21" i="6" s="1"/>
  <c r="B32" i="6" s="1"/>
  <c r="H32" i="7"/>
  <c r="C71" i="5"/>
  <c r="B22" i="6" s="1"/>
  <c r="B33" i="6" s="1"/>
  <c r="H29" i="7"/>
  <c r="C68" i="5"/>
  <c r="B19" i="6" s="1"/>
  <c r="B30" i="6" s="1"/>
  <c r="K12" i="6"/>
  <c r="B31" i="6" l="1"/>
  <c r="D38" i="5"/>
  <c r="D27" i="5" s="1"/>
  <c r="D5" i="5"/>
  <c r="D6" i="5"/>
  <c r="B6" i="9" l="1"/>
  <c r="B9" i="9" s="1"/>
  <c r="C34" i="5"/>
  <c r="C37" i="5"/>
  <c r="C33" i="5"/>
  <c r="C36" i="5"/>
  <c r="C35" i="5"/>
  <c r="C38" i="5" l="1"/>
  <c r="D78" i="5" l="1"/>
  <c r="D71" i="5"/>
  <c r="D70" i="5"/>
  <c r="D69" i="5"/>
  <c r="D68" i="5"/>
  <c r="D67" i="5"/>
  <c r="E77" i="5"/>
  <c r="D29" i="5"/>
  <c r="C27" i="5" s="1"/>
  <c r="C10" i="5" s="1"/>
  <c r="E27" i="5"/>
  <c r="C6" i="9" s="1"/>
  <c r="C9" i="9" s="1"/>
  <c r="C20" i="5"/>
  <c r="C19" i="5"/>
  <c r="C18" i="5"/>
  <c r="C17" i="5"/>
  <c r="C16" i="5"/>
  <c r="G7" i="9" l="1"/>
  <c r="G9" i="9" s="1"/>
  <c r="E23" i="9"/>
  <c r="E72" i="7"/>
  <c r="E73" i="7" s="1"/>
  <c r="C21" i="5"/>
  <c r="E68" i="5"/>
  <c r="E69" i="5"/>
  <c r="E29" i="5"/>
  <c r="E25" i="5" s="1"/>
  <c r="K56" i="5"/>
  <c r="D76" i="5"/>
  <c r="E67" i="5"/>
  <c r="E70" i="5"/>
  <c r="E71" i="5"/>
  <c r="C78" i="5"/>
  <c r="D25" i="5"/>
  <c r="C28" i="5"/>
  <c r="C11" i="5" s="1"/>
  <c r="C12" i="5" s="1"/>
  <c r="D72" i="5"/>
  <c r="D84" i="5"/>
  <c r="E78" i="5" l="1"/>
  <c r="F71" i="7" s="1"/>
  <c r="F73" i="7" s="1"/>
  <c r="G73" i="7" s="1"/>
  <c r="E72" i="5"/>
  <c r="C29" i="5"/>
  <c r="D86" i="5"/>
  <c r="D8" i="5"/>
  <c r="J78" i="5"/>
  <c r="D60" i="5"/>
  <c r="D54" i="5"/>
  <c r="C54" i="5" s="1"/>
  <c r="F46" i="7" l="1"/>
  <c r="G46" i="7" s="1"/>
  <c r="C72" i="5"/>
  <c r="J60" i="5"/>
  <c r="C60" i="5"/>
  <c r="J54" i="5"/>
  <c r="E8" i="5"/>
  <c r="D55" i="5"/>
  <c r="J72" i="5"/>
  <c r="D10" i="5"/>
  <c r="D11" i="5"/>
  <c r="F84" i="7" l="1"/>
  <c r="F85" i="7" s="1"/>
  <c r="F39" i="7" s="1"/>
  <c r="B17" i="9"/>
  <c r="B24" i="9" s="1"/>
  <c r="C17" i="9"/>
  <c r="B15" i="9"/>
  <c r="B18" i="9" s="1"/>
  <c r="F38" i="7"/>
  <c r="G38" i="7" s="1"/>
  <c r="J55" i="5"/>
  <c r="C55" i="5"/>
  <c r="G54" i="5"/>
  <c r="E11" i="5"/>
  <c r="D58" i="5"/>
  <c r="D12" i="5"/>
  <c r="D31" i="5" s="1"/>
  <c r="E31" i="5" s="1"/>
  <c r="D57" i="5"/>
  <c r="D17" i="5"/>
  <c r="E10" i="5"/>
  <c r="C15" i="9" s="1"/>
  <c r="D18" i="5"/>
  <c r="D19" i="5"/>
  <c r="D20" i="5"/>
  <c r="D16" i="5"/>
  <c r="G84" i="7" l="1"/>
  <c r="C33" i="9"/>
  <c r="C34" i="9"/>
  <c r="C18" i="9"/>
  <c r="C35" i="9"/>
  <c r="C36" i="9"/>
  <c r="C46" i="9"/>
  <c r="E46" i="9" s="1"/>
  <c r="C45" i="9"/>
  <c r="B25" i="9"/>
  <c r="F28" i="7"/>
  <c r="G28" i="7" s="1"/>
  <c r="G18" i="6"/>
  <c r="H18" i="6" s="1"/>
  <c r="F32" i="7"/>
  <c r="G32" i="7" s="1"/>
  <c r="I32" i="7" s="1"/>
  <c r="G22" i="6"/>
  <c r="J85" i="5"/>
  <c r="C85" i="5"/>
  <c r="F29" i="7"/>
  <c r="G29" i="7" s="1"/>
  <c r="I29" i="7" s="1"/>
  <c r="G19" i="6"/>
  <c r="F31" i="7"/>
  <c r="G31" i="7" s="1"/>
  <c r="I31" i="7" s="1"/>
  <c r="G21" i="6"/>
  <c r="F30" i="7"/>
  <c r="G30" i="7" s="1"/>
  <c r="I30" i="7" s="1"/>
  <c r="G20" i="6"/>
  <c r="D21" i="5"/>
  <c r="J84" i="5"/>
  <c r="E12" i="5"/>
  <c r="D8" i="9" l="1"/>
  <c r="E8" i="9" s="1"/>
  <c r="D7" i="9"/>
  <c r="F33" i="7"/>
  <c r="F35" i="7" s="1"/>
  <c r="G35" i="7" s="1"/>
  <c r="H19" i="6"/>
  <c r="G30" i="6"/>
  <c r="G31" i="6"/>
  <c r="H20" i="6"/>
  <c r="H21" i="6"/>
  <c r="G32" i="6"/>
  <c r="H22" i="6"/>
  <c r="G33" i="6"/>
  <c r="G29" i="6"/>
  <c r="G23" i="6"/>
  <c r="I28" i="7"/>
  <c r="I33" i="7" s="1"/>
  <c r="G33" i="7"/>
  <c r="E7" i="9" l="1"/>
  <c r="D36" i="9"/>
  <c r="E36" i="9" s="1"/>
  <c r="G34" i="6"/>
  <c r="H29" i="6"/>
  <c r="H23" i="6"/>
  <c r="H31" i="6"/>
  <c r="H33" i="6"/>
  <c r="H32" i="6"/>
  <c r="H30" i="6"/>
  <c r="B23" i="6" l="1"/>
  <c r="D6" i="9" s="1"/>
  <c r="F21" i="7"/>
  <c r="H34" i="6"/>
  <c r="D34" i="9" l="1"/>
  <c r="E34" i="9" s="1"/>
  <c r="E6" i="9"/>
  <c r="E9" i="9" s="1"/>
  <c r="G21" i="7"/>
  <c r="H21" i="7" l="1"/>
  <c r="K85" i="5" l="1"/>
  <c r="C44" i="5"/>
  <c r="E85" i="5"/>
  <c r="C84" i="5" s="1"/>
  <c r="C76" i="5" l="1"/>
  <c r="D16" i="9"/>
  <c r="D17" i="9"/>
  <c r="E17" i="9" s="1"/>
  <c r="I17" i="9" s="1"/>
  <c r="C43" i="5"/>
  <c r="H35" i="7"/>
  <c r="I35" i="7" s="1"/>
  <c r="E86" i="5"/>
  <c r="C86" i="5" s="1"/>
  <c r="E76" i="5"/>
  <c r="K84" i="5"/>
  <c r="K86" i="5" s="1"/>
  <c r="C18" i="6" l="1"/>
  <c r="C29" i="6" s="1"/>
  <c r="D15" i="9"/>
  <c r="E15" i="9" s="1"/>
  <c r="E16" i="9"/>
  <c r="I16" i="9" s="1"/>
  <c r="D35" i="9"/>
  <c r="E35" i="9" s="1"/>
  <c r="F48" i="7"/>
  <c r="F49" i="7" s="1"/>
  <c r="E48" i="7"/>
  <c r="J73" i="5"/>
  <c r="J74" i="5" s="1"/>
  <c r="E79" i="5"/>
  <c r="C19" i="6"/>
  <c r="I18" i="6"/>
  <c r="E18" i="9" l="1"/>
  <c r="I29" i="6"/>
  <c r="G48" i="7"/>
  <c r="E49" i="7"/>
  <c r="E60" i="7" s="1"/>
  <c r="C20" i="6"/>
  <c r="C30" i="6"/>
  <c r="I19" i="6"/>
  <c r="G49" i="7" l="1"/>
  <c r="I30" i="6"/>
  <c r="C21" i="6"/>
  <c r="C31" i="6"/>
  <c r="I20" i="6"/>
  <c r="I31" i="6" l="1"/>
  <c r="C22" i="6"/>
  <c r="C32" i="6"/>
  <c r="I21" i="6"/>
  <c r="I32" i="6" l="1"/>
  <c r="C33" i="6"/>
  <c r="I22" i="6"/>
  <c r="I23" i="6" s="1"/>
  <c r="F22" i="7" s="1"/>
  <c r="G22" i="7" l="1"/>
  <c r="I33" i="6"/>
  <c r="H22" i="7" l="1"/>
  <c r="I34" i="6"/>
  <c r="M49" i="7" l="1"/>
  <c r="G15" i="9"/>
  <c r="O48" i="7" l="1"/>
  <c r="C58" i="5"/>
  <c r="G18" i="9"/>
  <c r="E24" i="9"/>
  <c r="E25" i="9" s="1"/>
  <c r="E42" i="9" s="1"/>
  <c r="D45" i="9"/>
  <c r="E45" i="9" s="1"/>
  <c r="E47" i="9" s="1"/>
  <c r="O50" i="7"/>
  <c r="E13" i="7" s="1"/>
  <c r="N49" i="7"/>
  <c r="E58" i="5" l="1"/>
  <c r="H84" i="7"/>
  <c r="H85" i="7" s="1"/>
  <c r="H39" i="7" s="1"/>
  <c r="I39" i="7" s="1"/>
  <c r="O49" i="7"/>
  <c r="E78" i="7"/>
  <c r="F77" i="7" l="1"/>
  <c r="F78" i="7" s="1"/>
  <c r="G78" i="7" s="1"/>
  <c r="K58" i="5"/>
  <c r="K61" i="5" s="1"/>
  <c r="H38" i="7"/>
  <c r="I85" i="7"/>
  <c r="E23" i="7"/>
  <c r="E16" i="7"/>
  <c r="E80" i="7"/>
  <c r="F80" i="7" l="1"/>
  <c r="G80" i="7" s="1"/>
  <c r="I80" i="7"/>
  <c r="E24" i="7"/>
  <c r="D18" i="6" l="1"/>
  <c r="C57" i="5"/>
  <c r="E57" i="5" s="1"/>
  <c r="J57" i="5" l="1"/>
  <c r="F55" i="7"/>
  <c r="D20" i="6"/>
  <c r="D19" i="6"/>
  <c r="D22" i="6"/>
  <c r="D21" i="6"/>
  <c r="D29" i="6"/>
  <c r="E18" i="6"/>
  <c r="J18" i="6"/>
  <c r="I84" i="7"/>
  <c r="G65" i="7" l="1"/>
  <c r="I86" i="7"/>
  <c r="J29" i="6"/>
  <c r="K18" i="6"/>
  <c r="D33" i="6"/>
  <c r="E22" i="6"/>
  <c r="J22" i="6"/>
  <c r="J20" i="6"/>
  <c r="D31" i="6"/>
  <c r="E20" i="6"/>
  <c r="D32" i="6"/>
  <c r="E21" i="6"/>
  <c r="J21" i="6"/>
  <c r="F18" i="6"/>
  <c r="F29" i="6" s="1"/>
  <c r="E29" i="6"/>
  <c r="E19" i="6"/>
  <c r="J19" i="6"/>
  <c r="D30" i="6"/>
  <c r="I38" i="7"/>
  <c r="E31" i="6" l="1"/>
  <c r="F20" i="6"/>
  <c r="F31" i="6" s="1"/>
  <c r="J30" i="6"/>
  <c r="K30" i="6" s="1"/>
  <c r="K19" i="6"/>
  <c r="J23" i="6"/>
  <c r="F23" i="7" s="1"/>
  <c r="G23" i="7" s="1"/>
  <c r="I40" i="7" s="1"/>
  <c r="I41" i="7" s="1"/>
  <c r="K22" i="6"/>
  <c r="J33" i="6"/>
  <c r="K33" i="6" s="1"/>
  <c r="F22" i="6"/>
  <c r="F33" i="6" s="1"/>
  <c r="E33" i="6"/>
  <c r="K29" i="6"/>
  <c r="J32" i="6"/>
  <c r="K32" i="6" s="1"/>
  <c r="K21" i="6"/>
  <c r="E30" i="6"/>
  <c r="F19" i="6"/>
  <c r="F30" i="6" s="1"/>
  <c r="E32" i="6"/>
  <c r="F21" i="6"/>
  <c r="F32" i="6" s="1"/>
  <c r="K20" i="6"/>
  <c r="J31" i="6"/>
  <c r="K31" i="6" s="1"/>
  <c r="K23" i="6" l="1"/>
  <c r="K34" i="6"/>
  <c r="J34" i="6"/>
  <c r="F24" i="7"/>
  <c r="H15" i="9" l="1"/>
  <c r="I15" i="9" s="1"/>
  <c r="E59" i="5"/>
  <c r="F56" i="7"/>
  <c r="F58" i="7" s="1"/>
  <c r="G24" i="7"/>
  <c r="H23" i="7"/>
  <c r="E61" i="5" l="1"/>
  <c r="J59" i="5"/>
  <c r="J61" i="5" s="1"/>
  <c r="L61" i="5" s="1"/>
  <c r="H18" i="9"/>
  <c r="G64" i="7"/>
  <c r="G66" i="7" s="1"/>
  <c r="D33" i="9"/>
  <c r="E33" i="9" s="1"/>
  <c r="E37" i="9" s="1"/>
  <c r="I18" i="9"/>
  <c r="E30" i="9" s="1"/>
  <c r="I60" i="7"/>
  <c r="F60" i="7"/>
  <c r="G60" i="7" s="1"/>
  <c r="G58" i="7"/>
  <c r="H24" i="7"/>
</calcChain>
</file>

<file path=xl/sharedStrings.xml><?xml version="1.0" encoding="utf-8"?>
<sst xmlns="http://schemas.openxmlformats.org/spreadsheetml/2006/main" count="355" uniqueCount="222">
  <si>
    <t>Table 22: Wholesale Volume data per IESO Power Bill</t>
  </si>
  <si>
    <t>GA RPP/non-RPP Ratios</t>
  </si>
  <si>
    <t>GA Volumes</t>
  </si>
  <si>
    <t>Energy Volumes</t>
  </si>
  <si>
    <t>AQEW</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</si>
  <si>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</si>
  <si>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</si>
  <si>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</si>
  <si>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</si>
  <si>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</si>
  <si>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</si>
  <si>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</si>
  <si>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</si>
  <si>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</si>
  <si>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</si>
  <si>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</si>
  <si>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</si>
  <si>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</si>
  <si>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</si>
  <si>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</si>
  <si>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</si>
  <si>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</si>
  <si>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</si>
  <si>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</si>
  <si>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</si>
  <si>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</si>
  <si>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</si>
  <si>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</si>
  <si>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</si>
  <si>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</si>
  <si>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</si>
  <si>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</si>
  <si>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</si>
  <si>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</si>
  <si>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</si>
  <si>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Commodity Cost of Power per IESO Invoice:</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</si>
  <si>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</si>
  <si>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</si>
  <si>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</si>
  <si>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</si>
  <si>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</si>
  <si>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</si>
  <si>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</si>
  <si>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</si>
  <si>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</si>
  <si>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</si>
  <si>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</si>
  <si>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</si>
  <si>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</si>
  <si>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</si>
  <si>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</si>
  <si>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</si>
  <si>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</si>
  <si>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</si>
  <si>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</si>
  <si>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</si>
  <si>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</si>
  <si>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- 2nd True-UP</t>
  </si>
  <si>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</si>
  <si>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</si>
  <si>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</si>
  <si>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</si>
  <si>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</si>
  <si>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</si>
  <si>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</si>
  <si>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</si>
  <si>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</si>
  <si>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</si>
  <si>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</si>
  <si>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</si>
  <si>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</si>
  <si>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</si>
  <si>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</si>
  <si>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</si>
  <si>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</si>
  <si>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</si>
  <si>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</si>
  <si>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</si>
  <si>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</si>
  <si>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</si>
  <si>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</si>
  <si>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</si>
  <si>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</si>
  <si>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</si>
  <si>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</si>
  <si>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</si>
  <si>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</si>
  <si>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</si>
  <si>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</si>
  <si>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</si>
  <si>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IESO Invoice Breakdown:</t>
  </si>
  <si>
    <t xml:space="preserve">        1598 regular estimate</t>
  </si>
  <si>
    <t>Closing Balance</t>
  </si>
  <si>
    <t>Total Actual IESO Settlement</t>
  </si>
  <si>
    <t>Comparison</t>
  </si>
  <si>
    <t>OEB Method</t>
  </si>
  <si>
    <t>RPP Revenue</t>
  </si>
  <si>
    <t>GA - RPP</t>
  </si>
  <si>
    <t>IESO</t>
  </si>
  <si>
    <t>nonRPP</t>
  </si>
  <si>
    <t>RPP</t>
  </si>
  <si>
    <t>kWh</t>
  </si>
  <si>
    <t>rate</t>
  </si>
  <si>
    <t>$'s</t>
  </si>
  <si>
    <t>Diff</t>
  </si>
  <si>
    <t>Non-RPP Revenue</t>
  </si>
  <si>
    <t>Energy Revenue - RPP</t>
  </si>
  <si>
    <t>RPP - Spot</t>
  </si>
  <si>
    <t>GA RPP Portion</t>
  </si>
  <si>
    <t>1598 Final Settlement</t>
  </si>
  <si>
    <t>GA - T otal Revenue</t>
  </si>
  <si>
    <t>GA - Class A Cost</t>
  </si>
  <si>
    <t xml:space="preserve">GA - Class B Cost </t>
  </si>
  <si>
    <t>GA - Class A Revenue</t>
  </si>
  <si>
    <t>GA - Total Cost</t>
  </si>
  <si>
    <t xml:space="preserve">Final RPP Settlement Calculation </t>
  </si>
  <si>
    <t>(1)</t>
  </si>
  <si>
    <t>Wholesale vs Retail Volume Differences (UAF Energy)</t>
  </si>
  <si>
    <t>Rate</t>
  </si>
  <si>
    <t>$ Amount</t>
  </si>
  <si>
    <t>(2)</t>
  </si>
  <si>
    <t>Retail kWh</t>
  </si>
  <si>
    <t>Wholesale kWh</t>
  </si>
  <si>
    <t>(3)</t>
  </si>
  <si>
    <t>GA - Class B Non-RPP Revenue</t>
  </si>
  <si>
    <t>GA - Class B Non-RPP</t>
  </si>
  <si>
    <t>Final True-up with IESO (based on actuals)</t>
  </si>
  <si>
    <t>Comparison:</t>
  </si>
  <si>
    <t>Difference in 1598 Final Settlement</t>
  </si>
  <si>
    <t>Difference in GA RPP Portion</t>
  </si>
  <si>
    <t>(4)</t>
  </si>
  <si>
    <t>(A)</t>
  </si>
  <si>
    <t>(B)</t>
  </si>
  <si>
    <t>(C)</t>
  </si>
  <si>
    <t>Cost of Energy (4705)</t>
  </si>
  <si>
    <t>GA - Cost (4707)</t>
  </si>
  <si>
    <t>Total $</t>
  </si>
  <si>
    <t xml:space="preserve">Opening Balance </t>
  </si>
  <si>
    <t>from above</t>
  </si>
  <si>
    <t>Data for 2nd True up of RPP Settlement based on Actual Revenue Volumes Jan -Dec 2018:</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</si>
  <si>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</si>
  <si>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</si>
  <si>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</si>
  <si>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</si>
  <si>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</si>
  <si>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</si>
  <si>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</si>
  <si>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</si>
  <si>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</si>
  <si>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</si>
  <si>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</si>
  <si>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</si>
  <si>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</si>
  <si>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</si>
  <si>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</si>
  <si>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</si>
  <si>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</si>
  <si>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</si>
  <si>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</si>
  <si>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</si>
  <si>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</si>
  <si>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</si>
  <si>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</si>
  <si>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</si>
  <si>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</si>
  <si>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</si>
  <si>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</si>
  <si>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</si>
  <si>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</si>
  <si>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</si>
  <si>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</si>
  <si>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</si>
  <si>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</si>
  <si>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</si>
  <si>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</si>
  <si>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</si>
  <si>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</si>
  <si>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</si>
  <si>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</si>
  <si>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</si>
  <si>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</si>
  <si>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</si>
  <si>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</si>
  <si>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</si>
  <si>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Small Price Difference</t>
  </si>
  <si>
    <t>EW Method</t>
  </si>
  <si>
    <t>Net Energy Cost Settlement (IESO charge type 101)</t>
  </si>
  <si>
    <t xml:space="preserve">Sale of Energy </t>
  </si>
  <si>
    <t>not required</t>
  </si>
  <si>
    <t>see split below</t>
  </si>
  <si>
    <t>RPP - Class B GA actual</t>
  </si>
  <si>
    <t>Non RPP - Class B GA actual</t>
  </si>
  <si>
    <t>linked  to final 2nd true-up</t>
  </si>
  <si>
    <t>UFE</t>
  </si>
  <si>
    <t>Wholesale vs Retail Volume Differences (UFE )</t>
  </si>
  <si>
    <t xml:space="preserve">1588 Variance Account - Final(after true-up) </t>
  </si>
  <si>
    <t xml:space="preserve">        Est. GA - Class B RPP Portion</t>
  </si>
  <si>
    <t>Rounding</t>
  </si>
  <si>
    <t>Retail</t>
  </si>
  <si>
    <t>For Informational Purposes Only:</t>
  </si>
  <si>
    <t>Final IESO Settlement (A-B-C)</t>
  </si>
  <si>
    <t xml:space="preserve">Actual differential - Billings from CIS - Final (RPP - Spot) </t>
  </si>
  <si>
    <t xml:space="preserve">FIT/MicroFit @ spot </t>
  </si>
  <si>
    <t>Retail kWh + UFE</t>
  </si>
  <si>
    <t xml:space="preserve">GA - Class B RPP Portion - Final True Up </t>
  </si>
  <si>
    <t>RPP - actual differential - Billing from CIS Final (RPP - spot)</t>
  </si>
  <si>
    <t>2018</t>
  </si>
  <si>
    <t>W/S kWh</t>
  </si>
  <si>
    <t>GA Actuals</t>
  </si>
  <si>
    <t>EW Method:  Clearing Account - IESO A/R/AP</t>
  </si>
  <si>
    <t>Summary and Explanation of Final Balances of RSVA 1588 and 1589 -OEB Guidance</t>
  </si>
  <si>
    <t>Summary:</t>
  </si>
  <si>
    <t>Energy  Cost</t>
  </si>
  <si>
    <t>GA Cost</t>
  </si>
  <si>
    <t>COMPARISON - EW AND OEB METHODOLOGY OUTCOME</t>
  </si>
  <si>
    <t xml:space="preserve">  As per IESO monthly settlement claim/IESO invoice</t>
  </si>
  <si>
    <t>Final settlement true-up with IESO (clears account to -0-)</t>
  </si>
  <si>
    <t xml:space="preserve">* This line is effectively a combination of the net impact of GA RPP Portion plus 1598 Final Settlement </t>
  </si>
  <si>
    <t>RPP - actual differential - Billing from CIS Final (RPP - spot)*</t>
  </si>
  <si>
    <t>Materiality Threshold</t>
  </si>
  <si>
    <t xml:space="preserve">EW Method </t>
  </si>
  <si>
    <t>EW Method - GA CT 148 Split Adjusted for OEB Accounting Guidance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</si>
</sst>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8" formatCode="_(&quot;$&quot;* #,##0.00000000_);_(&quot;$&quot;* \(#,##0.00000000\);_(&quot;$&quot;* &quot;-&quot;??_);_(@_)"/>
    <numFmt numFmtId="179" formatCode="_-&quot;$&quot;* #,##0_-;\-&quot;$&quot;* #,##0_-;_-&quot;$&quot;* &quot;-&quot;??_-;_-@_-"/>
    <numFmt numFmtId="180" formatCode="_-&quot;$&quot;* #,##0.00000_-;\-&quot;$&quot;* #,##0.00000_-;_-&quot;$&quot;* &quot;-&quot;??_-;_-@_-"/>
    <numFmt numFmtId="181" formatCode="0.000000"/>
    <numFmt numFmtId="182" formatCode="_(* #,##0.000_);_(* \(#,##0.000\);_(* &quot;-&quot;??_);_(@_)"/>
    <numFmt numFmtId="183" formatCode="0.00000"/>
    <numFmt numFmtId="184" formatCode="\ mm\/dd\/yyyy"/>
    <numFmt numFmtId="185" formatCode="0.0000"/>
    <numFmt numFmtId="186" formatCode="_(* #,##0.000000_);_(* \(#,##0.000000\);_(* &quot;-&quot;??_);_(@_)"/>
    <numFmt numFmtId="187" formatCode="0.0%"/>
    <numFmt numFmtId="188" formatCode="_(&quot;$&quot;* #,##0.000000_);_(&quot;$&quot;* \(#,##0.000000\);_(&quot;$&quot;* &quot;-&quot;??_);_(@_)"/>
    <numFmt numFmtId="189" formatCode="0.000%"/>
    <numFmt numFmtId="190" formatCode="_(* #,##0.0000000_);_(* \(#,##0.0000000\);_(* &quot;-&quot;??_);_(@_)"/>
    <numFmt numFmtId="191" formatCode="_-* #,##0.000000_-;\-* #,##0.000000_-;_-* &quot;-&quot;??_-;_-@_-"/>
    <numFmt numFmtId="192" formatCode="#,##0.00000_);[Red]\(#,##0.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u/>
      <sz val="11"/>
      <color theme="1"/>
      <name val="Calibri"/>
      <family val="2"/>
      <scheme val="minor"/>
    </font>
    <font>
      <sz val="12"/>
      <name val="Arial"/>
      <family val="2"/>
    </font>
    <font>
      <u/>
      <sz val="10"/>
      <name val="Arial"/>
      <family val="2"/>
    </font>
    <font>
      <b/>
      <sz val="11"/>
      <name val="Comic Sans MS"/>
      <family val="4"/>
    </font>
    <font>
      <b/>
      <sz val="11"/>
      <name val="Arial"/>
      <family val="2"/>
    </font>
    <font>
      <sz val="11"/>
      <name val="Comic Sans MS"/>
      <family val="4"/>
    </font>
    <font>
      <b/>
      <sz val="11"/>
      <name val="Calibri"/>
      <family val="2"/>
      <scheme val="minor"/>
    </font>
    <font>
      <b/>
      <u/>
      <sz val="11"/>
      <color theme="1"/>
      <name val="Calibri"/>
      <family val="2"/>
      <scheme val="minor"/>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b/>
      <u/>
      <sz val="16"/>
      <color theme="1"/>
      <name val="Calibri"/>
      <family val="2"/>
      <scheme val="minor"/>
    </font>
    <font>
      <i/>
      <sz val="9"/>
      <color theme="1"/>
      <name val="Calibri"/>
      <family val="2"/>
      <scheme val="minor"/>
    </font>
    <font>
      <u/>
      <sz val="10"/>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63">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right/>
      <top style="medium">
        <color indexed="64"/>
      </top>
      <bottom/>
      <diagonal/>
    </border>
    <border>
      <left style="medium">
        <color indexed="64"/>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425">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72" fontId="0" fillId="0" borderId="0" xfId="1" applyNumberFormat="1" applyFont="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8"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80"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80"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0"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65" fontId="1" fillId="2" borderId="0" xfId="2" applyNumberFormat="1" applyFont="1" applyFill="1" applyBorder="1"/>
    <xf numFmtId="173" fontId="0" fillId="0" borderId="0" xfId="0" applyNumberFormat="1"/>
    <xf numFmtId="165" fontId="0" fillId="2" borderId="0" xfId="2" applyNumberFormat="1" applyFont="1" applyFill="1" applyBorder="1"/>
    <xf numFmtId="167" fontId="0" fillId="2" borderId="5" xfId="2" applyNumberFormat="1" applyFont="1" applyFill="1" applyBorder="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21" fillId="0" borderId="0" xfId="0" applyFont="1" applyAlignment="1"/>
    <xf numFmtId="0" fontId="0" fillId="0" borderId="0" xfId="0" applyAlignment="1">
      <alignment wrapText="1"/>
    </xf>
    <xf numFmtId="0" fontId="21" fillId="0" borderId="0" xfId="0" applyFont="1" applyAlignment="1">
      <alignment horizontal="center"/>
    </xf>
    <xf numFmtId="0" fontId="2" fillId="0" borderId="27" xfId="0" applyFont="1" applyBorder="1"/>
    <xf numFmtId="0" fontId="2" fillId="0" borderId="28" xfId="0" applyFont="1" applyBorder="1" applyAlignment="1">
      <alignment horizontal="center" wrapText="1"/>
    </xf>
    <xf numFmtId="0" fontId="2" fillId="0" borderId="29" xfId="0" applyFont="1" applyBorder="1" applyAlignment="1">
      <alignment horizontal="center"/>
    </xf>
    <xf numFmtId="0" fontId="2" fillId="0" borderId="30" xfId="0" applyFont="1" applyBorder="1" applyAlignment="1">
      <alignment horizontal="center"/>
    </xf>
    <xf numFmtId="0" fontId="2" fillId="0" borderId="29"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90" fontId="0" fillId="0" borderId="0" xfId="0" applyNumberFormat="1" applyAlignment="1">
      <alignment wrapText="1"/>
    </xf>
    <xf numFmtId="0" fontId="0" fillId="0" borderId="3" xfId="0" applyFont="1" applyBorder="1"/>
    <xf numFmtId="164" fontId="0" fillId="0" borderId="31" xfId="0" applyNumberFormat="1" applyBorder="1"/>
    <xf numFmtId="167" fontId="0" fillId="0" borderId="31" xfId="0" applyNumberFormat="1" applyBorder="1"/>
    <xf numFmtId="0" fontId="0" fillId="0" borderId="31" xfId="0" applyBorder="1"/>
    <xf numFmtId="164" fontId="0" fillId="0" borderId="3" xfId="0" applyNumberFormat="1" applyBorder="1"/>
    <xf numFmtId="167" fontId="0" fillId="0" borderId="3" xfId="0" applyNumberFormat="1" applyBorder="1"/>
    <xf numFmtId="0" fontId="0" fillId="0" borderId="3" xfId="0" applyBorder="1"/>
    <xf numFmtId="164" fontId="0" fillId="0" borderId="32" xfId="0" applyNumberFormat="1" applyBorder="1"/>
    <xf numFmtId="167" fontId="0" fillId="0" borderId="32" xfId="0" applyNumberFormat="1" applyBorder="1"/>
    <xf numFmtId="43" fontId="0" fillId="0" borderId="0" xfId="0" applyNumberFormat="1" applyAlignment="1">
      <alignment wrapText="1"/>
    </xf>
    <xf numFmtId="164" fontId="0" fillId="0" borderId="33" xfId="0" applyNumberFormat="1" applyBorder="1"/>
    <xf numFmtId="0" fontId="0" fillId="0" borderId="24" xfId="0" applyBorder="1"/>
    <xf numFmtId="164" fontId="0" fillId="4" borderId="34" xfId="0" applyNumberFormat="1" applyFill="1"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25" xfId="0" applyFill="1" applyBorder="1"/>
    <xf numFmtId="0" fontId="2" fillId="0" borderId="36" xfId="0" applyFont="1" applyBorder="1" applyAlignment="1">
      <alignment horizontal="center" wrapText="1"/>
    </xf>
    <xf numFmtId="0" fontId="2" fillId="0" borderId="17" xfId="0" applyFont="1" applyBorder="1" applyAlignment="1">
      <alignment horizontal="center" wrapText="1"/>
    </xf>
    <xf numFmtId="0" fontId="2" fillId="0" borderId="17" xfId="0" applyFont="1" applyBorder="1" applyAlignment="1">
      <alignment horizontal="center"/>
    </xf>
    <xf numFmtId="0" fontId="0" fillId="0" borderId="14" xfId="0" applyFont="1" applyBorder="1"/>
    <xf numFmtId="164" fontId="0" fillId="0" borderId="37" xfId="0" applyNumberFormat="1" applyBorder="1"/>
    <xf numFmtId="164" fontId="0" fillId="0" borderId="38" xfId="0" applyNumberFormat="1" applyBorder="1"/>
    <xf numFmtId="167" fontId="0" fillId="0" borderId="37" xfId="0" applyNumberFormat="1" applyBorder="1"/>
    <xf numFmtId="164" fontId="0" fillId="0" borderId="39" xfId="1" applyNumberFormat="1" applyFont="1" applyBorder="1"/>
    <xf numFmtId="164" fontId="0" fillId="0" borderId="40" xfId="0" applyNumberFormat="1" applyBorder="1"/>
    <xf numFmtId="164" fontId="0" fillId="0" borderId="4" xfId="0" applyNumberFormat="1" applyBorder="1"/>
    <xf numFmtId="164" fontId="0" fillId="0" borderId="41" xfId="0" applyNumberFormat="1" applyBorder="1"/>
    <xf numFmtId="167" fontId="0" fillId="0" borderId="26" xfId="0" applyNumberFormat="1" applyBorder="1"/>
    <xf numFmtId="0" fontId="0" fillId="0" borderId="42" xfId="0" applyBorder="1"/>
    <xf numFmtId="164" fontId="0" fillId="0" borderId="22" xfId="0" applyNumberFormat="1" applyBorder="1"/>
    <xf numFmtId="170" fontId="0" fillId="0" borderId="0" xfId="0" applyNumberFormat="1" applyAlignment="1">
      <alignment wrapText="1"/>
    </xf>
    <xf numFmtId="164" fontId="0" fillId="0" borderId="43" xfId="0" applyNumberFormat="1" applyBorder="1"/>
    <xf numFmtId="167" fontId="0" fillId="0" borderId="43" xfId="0" applyNumberFormat="1" applyBorder="1"/>
    <xf numFmtId="164" fontId="0" fillId="0" borderId="41" xfId="0" applyNumberFormat="1" applyFill="1" applyBorder="1"/>
    <xf numFmtId="43" fontId="0" fillId="0" borderId="41" xfId="0" applyNumberFormat="1" applyBorder="1"/>
    <xf numFmtId="191"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44" xfId="0" applyFont="1" applyBorder="1" applyAlignment="1">
      <alignment horizontal="center"/>
    </xf>
    <xf numFmtId="0" fontId="0" fillId="0" borderId="0" xfId="0" applyBorder="1" applyAlignment="1">
      <alignment wrapText="1"/>
    </xf>
    <xf numFmtId="164" fontId="0" fillId="0" borderId="26" xfId="0" applyNumberFormat="1" applyBorder="1"/>
    <xf numFmtId="167" fontId="0" fillId="0" borderId="24" xfId="0" applyNumberFormat="1" applyBorder="1"/>
    <xf numFmtId="164" fontId="0" fillId="4" borderId="45" xfId="0" applyNumberFormat="1" applyFill="1" applyBorder="1"/>
    <xf numFmtId="164" fontId="0" fillId="0" borderId="0" xfId="0" applyNumberFormat="1" applyBorder="1" applyAlignment="1">
      <alignment wrapText="1"/>
    </xf>
    <xf numFmtId="0" fontId="0" fillId="0" borderId="4" xfId="0" applyBorder="1" applyAlignment="1"/>
    <xf numFmtId="0" fontId="0" fillId="3" borderId="20" xfId="0" applyFill="1" applyBorder="1" applyAlignment="1"/>
    <xf numFmtId="0" fontId="2" fillId="0" borderId="4" xfId="0" applyFont="1" applyBorder="1" applyAlignment="1">
      <alignment horizontal="center" wrapText="1"/>
    </xf>
    <xf numFmtId="164" fontId="0" fillId="4" borderId="46" xfId="0" applyNumberFormat="1" applyFill="1" applyBorder="1" applyAlignment="1">
      <alignment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28" xfId="0" applyFont="1" applyBorder="1"/>
    <xf numFmtId="164" fontId="2" fillId="0" borderId="29" xfId="0" applyNumberFormat="1" applyFont="1" applyFill="1" applyBorder="1" applyAlignment="1">
      <alignment horizontal="center" wrapText="1"/>
    </xf>
    <xf numFmtId="0" fontId="2" fillId="0" borderId="49" xfId="0" applyFont="1" applyBorder="1" applyAlignment="1">
      <alignment horizontal="center" wrapText="1"/>
    </xf>
    <xf numFmtId="0" fontId="2" fillId="0" borderId="35" xfId="0" applyFont="1" applyBorder="1" applyAlignment="1">
      <alignment horizontal="center"/>
    </xf>
    <xf numFmtId="0" fontId="23" fillId="0" borderId="3" xfId="0" applyFont="1" applyBorder="1"/>
    <xf numFmtId="0" fontId="23" fillId="0" borderId="26" xfId="0" applyFont="1" applyBorder="1" applyAlignment="1">
      <alignment wrapText="1"/>
    </xf>
    <xf numFmtId="164" fontId="0" fillId="0" borderId="50" xfId="0" applyNumberFormat="1" applyFill="1" applyBorder="1" applyAlignment="1">
      <alignment wrapText="1"/>
    </xf>
    <xf numFmtId="167" fontId="0" fillId="0" borderId="51" xfId="2" applyNumberFormat="1" applyFont="1" applyFill="1" applyBorder="1" applyAlignment="1">
      <alignment wrapText="1"/>
    </xf>
    <xf numFmtId="165" fontId="0" fillId="0" borderId="52" xfId="0" applyNumberFormat="1" applyFill="1" applyBorder="1" applyAlignment="1">
      <alignment wrapText="1"/>
    </xf>
    <xf numFmtId="164" fontId="0" fillId="0" borderId="11" xfId="0" applyNumberFormat="1" applyBorder="1" applyAlignment="1">
      <alignment wrapText="1"/>
    </xf>
    <xf numFmtId="167" fontId="0" fillId="0" borderId="53" xfId="2" applyNumberFormat="1" applyFont="1" applyFill="1" applyBorder="1" applyAlignment="1">
      <alignment wrapText="1"/>
    </xf>
    <xf numFmtId="165" fontId="0" fillId="0" borderId="54" xfId="0" applyNumberFormat="1" applyBorder="1" applyAlignment="1">
      <alignment wrapText="1"/>
    </xf>
    <xf numFmtId="0" fontId="23" fillId="0" borderId="3" xfId="0" applyFont="1" applyBorder="1" applyAlignment="1">
      <alignment wrapText="1"/>
    </xf>
    <xf numFmtId="167" fontId="0" fillId="0" borderId="53" xfId="0" applyNumberFormat="1" applyBorder="1" applyAlignment="1">
      <alignment wrapText="1"/>
    </xf>
    <xf numFmtId="0" fontId="0" fillId="0" borderId="0" xfId="0" applyAlignment="1"/>
    <xf numFmtId="164" fontId="0" fillId="0" borderId="55" xfId="1" applyNumberFormat="1" applyFont="1" applyBorder="1" applyAlignment="1">
      <alignment wrapText="1"/>
    </xf>
    <xf numFmtId="167" fontId="0" fillId="0" borderId="56" xfId="2" applyNumberFormat="1" applyFont="1" applyBorder="1" applyAlignment="1">
      <alignment wrapText="1"/>
    </xf>
    <xf numFmtId="165" fontId="0" fillId="0" borderId="57" xfId="0" applyNumberFormat="1" applyBorder="1" applyAlignment="1">
      <alignment wrapText="1"/>
    </xf>
    <xf numFmtId="0" fontId="0" fillId="0" borderId="3" xfId="0" applyBorder="1" applyAlignment="1">
      <alignment wrapText="1"/>
    </xf>
    <xf numFmtId="0" fontId="0" fillId="0" borderId="23" xfId="0" applyBorder="1" applyAlignment="1">
      <alignment horizontal="left"/>
    </xf>
    <xf numFmtId="0" fontId="0" fillId="0" borderId="23" xfId="0" applyBorder="1"/>
    <xf numFmtId="164" fontId="0" fillId="0" borderId="58" xfId="0" applyNumberFormat="1" applyFill="1" applyBorder="1"/>
    <xf numFmtId="0" fontId="0" fillId="0" borderId="5" xfId="0" applyBorder="1" applyAlignment="1"/>
    <xf numFmtId="0" fontId="2" fillId="0" borderId="6" xfId="0" applyFont="1" applyBorder="1" applyAlignment="1">
      <alignment horizontal="center" wrapText="1"/>
    </xf>
    <xf numFmtId="0" fontId="23" fillId="0" borderId="14" xfId="0" applyFont="1" applyBorder="1"/>
    <xf numFmtId="0" fontId="23" fillId="0" borderId="7" xfId="0" applyFont="1" applyBorder="1" applyAlignment="1">
      <alignment wrapText="1"/>
    </xf>
    <xf numFmtId="164" fontId="0" fillId="0" borderId="50" xfId="1" applyNumberFormat="1" applyFont="1" applyBorder="1" applyAlignment="1">
      <alignment wrapText="1"/>
    </xf>
    <xf numFmtId="167" fontId="0" fillId="0" borderId="51" xfId="2" applyNumberFormat="1" applyFont="1" applyBorder="1" applyAlignment="1">
      <alignment wrapText="1"/>
    </xf>
    <xf numFmtId="165" fontId="0" fillId="0" borderId="52" xfId="0" applyNumberFormat="1" applyBorder="1" applyAlignment="1">
      <alignment wrapText="1"/>
    </xf>
    <xf numFmtId="44" fontId="0" fillId="0" borderId="0" xfId="0" applyNumberFormat="1" applyAlignment="1">
      <alignment wrapText="1"/>
    </xf>
    <xf numFmtId="164" fontId="0" fillId="0" borderId="55" xfId="0" applyNumberFormat="1" applyBorder="1" applyAlignment="1">
      <alignment wrapText="1"/>
    </xf>
    <xf numFmtId="167" fontId="0" fillId="0" borderId="56" xfId="2" applyNumberFormat="1" applyFont="1" applyFill="1" applyBorder="1" applyAlignment="1">
      <alignment wrapText="1"/>
    </xf>
    <xf numFmtId="165" fontId="0" fillId="0" borderId="57"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2" borderId="0" xfId="1" applyNumberFormat="1" applyFont="1" applyFill="1"/>
    <xf numFmtId="43" fontId="0" fillId="0" borderId="0" xfId="0" applyNumberFormat="1" applyFill="1"/>
    <xf numFmtId="173" fontId="0" fillId="0" borderId="0" xfId="2" applyNumberFormat="1" applyFont="1" applyFill="1"/>
    <xf numFmtId="173" fontId="0" fillId="0" borderId="0" xfId="2" applyNumberFormat="1" applyFont="1" applyFill="1" applyAlignment="1">
      <alignment horizontal="right"/>
    </xf>
    <xf numFmtId="173" fontId="0" fillId="2" borderId="0" xfId="0" applyNumberFormat="1" applyFill="1"/>
    <xf numFmtId="165" fontId="0" fillId="2" borderId="0" xfId="2" applyNumberFormat="1" applyFont="1" applyFill="1"/>
    <xf numFmtId="179"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1" xfId="2" applyNumberFormat="1" applyFont="1" applyBorder="1"/>
    <xf numFmtId="164" fontId="2" fillId="0" borderId="6" xfId="1" applyNumberFormat="1" applyFont="1" applyBorder="1" applyAlignment="1">
      <alignment horizontal="center"/>
    </xf>
    <xf numFmtId="165" fontId="2" fillId="0" borderId="21" xfId="2" applyNumberFormat="1" applyFont="1" applyBorder="1" applyAlignment="1">
      <alignment horizontal="center"/>
    </xf>
    <xf numFmtId="164" fontId="0" fillId="0" borderId="6" xfId="0" applyNumberFormat="1" applyFill="1" applyBorder="1"/>
    <xf numFmtId="165" fontId="0" fillId="0" borderId="21" xfId="2" applyNumberFormat="1" applyFont="1" applyFill="1" applyBorder="1"/>
    <xf numFmtId="164" fontId="0" fillId="0" borderId="7" xfId="1" applyNumberFormat="1" applyFont="1" applyFill="1" applyBorder="1"/>
    <xf numFmtId="165" fontId="0" fillId="0" borderId="59" xfId="0" applyNumberFormat="1" applyFill="1" applyBorder="1"/>
    <xf numFmtId="0" fontId="0" fillId="0" borderId="6" xfId="0" applyFill="1" applyBorder="1"/>
    <xf numFmtId="0" fontId="0" fillId="0" borderId="21"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81"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20" xfId="0" applyBorder="1"/>
    <xf numFmtId="0" fontId="0" fillId="0" borderId="7" xfId="0" applyBorder="1" applyAlignment="1">
      <alignment horizontal="center"/>
    </xf>
    <xf numFmtId="0" fontId="0" fillId="0" borderId="21"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1" xfId="0" applyNumberFormat="1" applyFill="1" applyBorder="1"/>
    <xf numFmtId="165" fontId="0" fillId="0" borderId="26" xfId="0" applyNumberFormat="1" applyFill="1" applyBorder="1"/>
    <xf numFmtId="175" fontId="0" fillId="0" borderId="21" xfId="0" applyNumberFormat="1" applyFill="1" applyBorder="1"/>
    <xf numFmtId="165" fontId="0" fillId="0" borderId="22" xfId="0" applyNumberFormat="1" applyBorder="1"/>
    <xf numFmtId="0" fontId="0" fillId="0" borderId="22" xfId="0" applyFill="1" applyBorder="1"/>
    <xf numFmtId="174" fontId="0" fillId="0" borderId="22" xfId="0" applyNumberFormat="1" applyFill="1" applyBorder="1"/>
    <xf numFmtId="165" fontId="24" fillId="0" borderId="0" xfId="2" applyNumberFormat="1" applyFont="1" applyFill="1" applyAlignment="1">
      <alignment horizontal="left"/>
    </xf>
    <xf numFmtId="167" fontId="0" fillId="3" borderId="32" xfId="0" applyNumberFormat="1" applyFill="1" applyBorder="1"/>
    <xf numFmtId="167" fontId="0" fillId="3" borderId="37" xfId="0" applyNumberFormat="1" applyFill="1" applyBorder="1"/>
    <xf numFmtId="0" fontId="0" fillId="0" borderId="0" xfId="0" applyAlignment="1">
      <alignment horizontal="left" vertical="top" wrapText="1"/>
    </xf>
    <xf numFmtId="0" fontId="0" fillId="0" borderId="0" xfId="0" applyFill="1" applyAlignment="1">
      <alignment horizontal="left" wrapText="1"/>
    </xf>
    <xf numFmtId="165" fontId="24" fillId="0" borderId="4" xfId="2" applyNumberFormat="1" applyFont="1" applyBorder="1" applyAlignment="1">
      <alignment horizontal="center"/>
    </xf>
    <xf numFmtId="0" fontId="24" fillId="0" borderId="20" xfId="0" applyFont="1" applyBorder="1" applyAlignment="1">
      <alignment horizontal="center"/>
    </xf>
    <xf numFmtId="0" fontId="10" fillId="0" borderId="26" xfId="0" applyFont="1" applyFill="1" applyBorder="1" applyAlignment="1">
      <alignment horizontal="center"/>
    </xf>
    <xf numFmtId="0" fontId="10" fillId="0" borderId="1" xfId="0" applyFont="1" applyBorder="1" applyAlignment="1">
      <alignment horizontal="center"/>
    </xf>
    <xf numFmtId="0" fontId="10" fillId="0" borderId="22"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35" xfId="0" applyFont="1" applyBorder="1" applyAlignment="1">
      <alignment horizontal="center"/>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35" xfId="0" applyFont="1" applyBorder="1" applyAlignment="1">
      <alignment horizontal="center" wrapText="1"/>
    </xf>
    <xf numFmtId="0" fontId="25" fillId="0" borderId="0" xfId="0" applyFont="1" applyAlignment="1">
      <alignment horizontal="center"/>
    </xf>
    <xf numFmtId="0" fontId="2" fillId="3" borderId="24" xfId="0" applyFont="1" applyFill="1" applyBorder="1" applyAlignment="1">
      <alignment horizontal="center"/>
    </xf>
    <xf numFmtId="0" fontId="2" fillId="3" borderId="9" xfId="0" applyFont="1" applyFill="1" applyBorder="1" applyAlignment="1">
      <alignment horizontal="center"/>
    </xf>
    <xf numFmtId="0" fontId="2" fillId="3" borderId="25" xfId="0" applyFont="1" applyFill="1" applyBorder="1" applyAlignment="1">
      <alignment horizontal="center"/>
    </xf>
    <xf numFmtId="0" fontId="22" fillId="3" borderId="26" xfId="0" applyFont="1" applyFill="1" applyBorder="1" applyAlignment="1">
      <alignment horizontal="center" wrapText="1"/>
    </xf>
    <xf numFmtId="0" fontId="22" fillId="3" borderId="22" xfId="0" applyFont="1" applyFill="1" applyBorder="1" applyAlignment="1">
      <alignment horizontal="center" wrapText="1"/>
    </xf>
    <xf numFmtId="0" fontId="22" fillId="3" borderId="26" xfId="0" applyFont="1" applyFill="1" applyBorder="1" applyAlignment="1">
      <alignment horizontal="center"/>
    </xf>
    <xf numFmtId="0" fontId="22" fillId="3" borderId="22" xfId="0" applyFont="1" applyFill="1" applyBorder="1" applyAlignment="1">
      <alignment horizontal="center"/>
    </xf>
    <xf numFmtId="0" fontId="22" fillId="3" borderId="29" xfId="0" applyFont="1" applyFill="1" applyBorder="1" applyAlignment="1">
      <alignment horizontal="center"/>
    </xf>
    <xf numFmtId="0" fontId="22" fillId="3" borderId="16" xfId="0" applyFont="1" applyFill="1" applyBorder="1" applyAlignment="1">
      <alignment horizontal="center"/>
    </xf>
    <xf numFmtId="0" fontId="22" fillId="3" borderId="17" xfId="0" applyFont="1" applyFill="1" applyBorder="1" applyAlignment="1">
      <alignment horizontal="center"/>
    </xf>
    <xf numFmtId="0" fontId="0" fillId="0" borderId="26" xfId="0" applyBorder="1" applyAlignment="1">
      <alignment horizontal="left"/>
    </xf>
    <xf numFmtId="0" fontId="0" fillId="0" borderId="1" xfId="0" applyBorder="1" applyAlignment="1">
      <alignment horizontal="left"/>
    </xf>
    <xf numFmtId="0" fontId="0" fillId="0" borderId="22" xfId="0" applyBorder="1" applyAlignment="1">
      <alignment horizontal="left"/>
    </xf>
    <xf numFmtId="0" fontId="22" fillId="3" borderId="4" xfId="0" applyFont="1" applyFill="1" applyBorder="1" applyAlignment="1">
      <alignment horizontal="center"/>
    </xf>
    <xf numFmtId="0" fontId="22" fillId="3" borderId="20" xfId="0" applyFont="1" applyFill="1" applyBorder="1" applyAlignment="1">
      <alignment horizontal="center"/>
    </xf>
    <xf numFmtId="0" fontId="22" fillId="3" borderId="15" xfId="0" applyFont="1" applyFill="1" applyBorder="1" applyAlignment="1">
      <alignment horizontal="center"/>
    </xf>
    <xf numFmtId="0" fontId="0" fillId="0" borderId="4" xfId="0" applyBorder="1" applyAlignment="1">
      <alignment horizontal="center"/>
    </xf>
    <xf numFmtId="0" fontId="0" fillId="0" borderId="20" xfId="0"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0"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1" xfId="0" applyNumberFormat="1" applyBorder="1" applyAlignment="1">
      <alignment horizontal="center" wrapText="1"/>
    </xf>
    <xf numFmtId="0" fontId="22" fillId="2" borderId="29" xfId="0" applyFont="1" applyFill="1" applyBorder="1" applyAlignment="1">
      <alignment horizontal="center"/>
    </xf>
    <xf numFmtId="0" fontId="22" fillId="2" borderId="16" xfId="0" applyFont="1" applyFill="1" applyBorder="1" applyAlignment="1">
      <alignment horizontal="center"/>
    </xf>
    <xf numFmtId="0" fontId="22" fillId="2" borderId="17" xfId="0" applyFont="1" applyFill="1" applyBorder="1" applyAlignment="1">
      <alignment horizontal="center"/>
    </xf>
    <xf numFmtId="44" fontId="0" fillId="0" borderId="8" xfId="0" applyNumberFormat="1" applyBorder="1" applyAlignment="1">
      <alignment horizontal="left"/>
    </xf>
    <xf numFmtId="44" fontId="0" fillId="0" borderId="23" xfId="0" applyNumberFormat="1" applyBorder="1" applyAlignment="1">
      <alignment horizontal="left"/>
    </xf>
    <xf numFmtId="44" fontId="0" fillId="0" borderId="1" xfId="0" applyNumberFormat="1" applyBorder="1" applyAlignment="1">
      <alignment horizontal="left"/>
    </xf>
    <xf numFmtId="44" fontId="0" fillId="0" borderId="22" xfId="0" applyNumberFormat="1" applyBorder="1" applyAlignment="1">
      <alignment horizontal="left"/>
    </xf>
    <xf numFmtId="0" fontId="0" fillId="0" borderId="26"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5" borderId="0" xfId="0" applyFill="1"/>
    <xf numFmtId="0" fontId="13" fillId="5" borderId="0" xfId="0" applyFont="1" applyFill="1"/>
    <xf numFmtId="0" fontId="0" fillId="5" borderId="0" xfId="0" applyFill="1" applyBorder="1"/>
    <xf numFmtId="0" fontId="20" fillId="5" borderId="0" xfId="0" applyFont="1" applyFill="1"/>
    <xf numFmtId="0" fontId="0" fillId="5" borderId="0" xfId="0" applyFont="1" applyFill="1"/>
    <xf numFmtId="0" fontId="19" fillId="5" borderId="0" xfId="4" applyNumberFormat="1" applyFont="1" applyFill="1" applyAlignment="1"/>
    <xf numFmtId="0" fontId="16" fillId="5" borderId="0" xfId="4" applyNumberFormat="1" applyFont="1" applyFill="1" applyAlignment="1"/>
    <xf numFmtId="0" fontId="17" fillId="5" borderId="0" xfId="4" applyNumberFormat="1" applyFont="1" applyFill="1" applyAlignment="1"/>
    <xf numFmtId="42" fontId="19" fillId="5" borderId="1" xfId="4" applyNumberFormat="1" applyFont="1" applyFill="1" applyBorder="1" applyAlignment="1"/>
    <xf numFmtId="184" fontId="0" fillId="5" borderId="0" xfId="0" applyNumberFormat="1" applyFill="1" applyBorder="1"/>
    <xf numFmtId="0" fontId="0" fillId="5" borderId="0" xfId="0" applyFill="1" applyBorder="1" applyAlignment="1">
      <alignment horizontal="right"/>
    </xf>
    <xf numFmtId="0" fontId="18" fillId="5" borderId="0" xfId="4" applyNumberFormat="1" applyFont="1" applyFill="1" applyAlignment="1"/>
    <xf numFmtId="3" fontId="18" fillId="5" borderId="0" xfId="4" applyNumberFormat="1" applyFont="1" applyFill="1" applyAlignment="1"/>
    <xf numFmtId="4" fontId="18" fillId="5" borderId="0" xfId="4" applyNumberFormat="1" applyFont="1" applyFill="1" applyAlignment="1"/>
    <xf numFmtId="0" fontId="0" fillId="5" borderId="0" xfId="0" applyFill="1" applyAlignment="1">
      <alignment horizontal="center"/>
    </xf>
    <xf numFmtId="164" fontId="0" fillId="5" borderId="0" xfId="1" applyNumberFormat="1" applyFont="1" applyFill="1"/>
    <xf numFmtId="164" fontId="0" fillId="5" borderId="0" xfId="0" applyNumberFormat="1" applyFill="1" applyBorder="1"/>
    <xf numFmtId="164" fontId="0" fillId="5" borderId="0" xfId="0" applyNumberFormat="1" applyFill="1"/>
    <xf numFmtId="0" fontId="5" fillId="5" borderId="0" xfId="4" applyNumberFormat="1" applyFont="1" applyFill="1" applyAlignment="1"/>
    <xf numFmtId="41" fontId="0" fillId="5" borderId="0" xfId="1" applyNumberFormat="1" applyFont="1" applyFill="1"/>
    <xf numFmtId="164" fontId="1" fillId="5" borderId="0" xfId="1" applyNumberFormat="1" applyFont="1" applyFill="1"/>
    <xf numFmtId="0" fontId="0" fillId="5" borderId="0" xfId="0" applyFill="1" applyBorder="1" applyAlignment="1">
      <alignment horizontal="center"/>
    </xf>
    <xf numFmtId="187" fontId="0" fillId="5" borderId="0" xfId="3" applyNumberFormat="1" applyFont="1" applyFill="1"/>
    <xf numFmtId="43" fontId="0" fillId="5" borderId="0" xfId="0" applyNumberFormat="1" applyFill="1"/>
    <xf numFmtId="0" fontId="0" fillId="5" borderId="0" xfId="1" applyNumberFormat="1" applyFont="1" applyFill="1"/>
    <xf numFmtId="164" fontId="0" fillId="5" borderId="0" xfId="1" applyNumberFormat="1" applyFont="1" applyFill="1" applyBorder="1"/>
    <xf numFmtId="164" fontId="0" fillId="5" borderId="9" xfId="1" applyNumberFormat="1" applyFont="1" applyFill="1" applyBorder="1"/>
    <xf numFmtId="43" fontId="0" fillId="5" borderId="0" xfId="1" applyFont="1" applyFill="1" applyBorder="1"/>
    <xf numFmtId="43" fontId="0" fillId="5" borderId="0" xfId="0" applyNumberFormat="1" applyFill="1" applyBorder="1"/>
    <xf numFmtId="0" fontId="0" fillId="5" borderId="15" xfId="0" applyFont="1" applyFill="1" applyBorder="1"/>
    <xf numFmtId="0" fontId="0" fillId="5" borderId="16" xfId="0" applyFont="1" applyFill="1" applyBorder="1"/>
    <xf numFmtId="164" fontId="0" fillId="5" borderId="16" xfId="1" applyNumberFormat="1" applyFont="1" applyFill="1" applyBorder="1"/>
    <xf numFmtId="164" fontId="0" fillId="5" borderId="17" xfId="1" applyNumberFormat="1" applyFont="1" applyFill="1" applyBorder="1"/>
    <xf numFmtId="184" fontId="0" fillId="5" borderId="0" xfId="0" applyNumberFormat="1" applyFill="1"/>
    <xf numFmtId="43" fontId="0" fillId="5" borderId="0" xfId="1" applyFont="1" applyFill="1"/>
    <xf numFmtId="164" fontId="0" fillId="5" borderId="8" xfId="1" applyNumberFormat="1" applyFont="1" applyFill="1" applyBorder="1" applyAlignment="1">
      <alignment horizontal="center"/>
    </xf>
    <xf numFmtId="164" fontId="0" fillId="5" borderId="8" xfId="1" applyNumberFormat="1" applyFont="1" applyFill="1" applyBorder="1"/>
    <xf numFmtId="0" fontId="0" fillId="5" borderId="0" xfId="0" applyFont="1" applyFill="1" applyBorder="1"/>
    <xf numFmtId="9" fontId="0" fillId="5" borderId="0" xfId="3" applyFont="1" applyFill="1"/>
    <xf numFmtId="0" fontId="0" fillId="5" borderId="0" xfId="0" quotePrefix="1" applyFill="1"/>
    <xf numFmtId="186" fontId="0" fillId="5" borderId="0" xfId="0" applyNumberFormat="1" applyFill="1"/>
    <xf numFmtId="0" fontId="0" fillId="5" borderId="0" xfId="0" quotePrefix="1" applyFont="1" applyFill="1" applyBorder="1"/>
    <xf numFmtId="0" fontId="0" fillId="5" borderId="8" xfId="0" applyFill="1" applyBorder="1" applyAlignment="1">
      <alignment horizontal="center"/>
    </xf>
    <xf numFmtId="182" fontId="0" fillId="5" borderId="0" xfId="1" applyNumberFormat="1" applyFont="1" applyFill="1"/>
    <xf numFmtId="182" fontId="0" fillId="5" borderId="9" xfId="1" applyNumberFormat="1" applyFont="1" applyFill="1" applyBorder="1"/>
    <xf numFmtId="185" fontId="0" fillId="5" borderId="0" xfId="0" applyNumberFormat="1" applyFill="1"/>
    <xf numFmtId="183" fontId="0" fillId="5" borderId="0" xfId="0" applyNumberFormat="1" applyFill="1"/>
    <xf numFmtId="164" fontId="0" fillId="5" borderId="1" xfId="0" applyNumberFormat="1" applyFill="1" applyBorder="1"/>
    <xf numFmtId="0" fontId="0" fillId="5" borderId="8" xfId="0" applyFill="1" applyBorder="1" applyAlignment="1">
      <alignment horizontal="center" wrapText="1"/>
    </xf>
    <xf numFmtId="0" fontId="23" fillId="5" borderId="0" xfId="0" applyFont="1" applyFill="1"/>
    <xf numFmtId="0" fontId="23" fillId="5" borderId="0" xfId="0" applyFont="1" applyFill="1" applyAlignment="1">
      <alignment horizontal="center"/>
    </xf>
    <xf numFmtId="16" fontId="15" fillId="5" borderId="12" xfId="0" quotePrefix="1" applyNumberFormat="1" applyFont="1" applyFill="1" applyBorder="1"/>
    <xf numFmtId="38" fontId="15" fillId="5" borderId="12" xfId="0" applyNumberFormat="1" applyFont="1" applyFill="1" applyBorder="1" applyAlignment="1">
      <alignment horizontal="center"/>
    </xf>
    <xf numFmtId="0" fontId="15" fillId="5" borderId="12" xfId="0" applyFont="1" applyFill="1" applyBorder="1" applyAlignment="1">
      <alignment horizontal="center"/>
    </xf>
    <xf numFmtId="38" fontId="23" fillId="5" borderId="13" xfId="0" applyNumberFormat="1" applyFont="1" applyFill="1" applyBorder="1"/>
    <xf numFmtId="164" fontId="0" fillId="5" borderId="9" xfId="0" applyNumberFormat="1" applyFill="1" applyBorder="1"/>
    <xf numFmtId="0" fontId="23" fillId="5" borderId="13" xfId="0" applyFont="1" applyFill="1" applyBorder="1"/>
    <xf numFmtId="181" fontId="23" fillId="5" borderId="13" xfId="0" applyNumberFormat="1" applyFont="1" applyFill="1" applyBorder="1"/>
    <xf numFmtId="186" fontId="0" fillId="5" borderId="0" xfId="1" applyNumberFormat="1" applyFont="1" applyFill="1"/>
    <xf numFmtId="40" fontId="23" fillId="5" borderId="14" xfId="0" applyNumberFormat="1" applyFont="1" applyFill="1" applyBorder="1"/>
    <xf numFmtId="164" fontId="23" fillId="5" borderId="14" xfId="1" applyNumberFormat="1" applyFont="1" applyFill="1" applyBorder="1"/>
    <xf numFmtId="38" fontId="23" fillId="5" borderId="14" xfId="0" applyNumberFormat="1" applyFont="1" applyFill="1" applyBorder="1"/>
    <xf numFmtId="182" fontId="0" fillId="5" borderId="0" xfId="0" applyNumberFormat="1" applyFill="1" applyBorder="1"/>
    <xf numFmtId="185" fontId="0" fillId="5" borderId="0" xfId="0" applyNumberFormat="1" applyFill="1" applyBorder="1"/>
    <xf numFmtId="188" fontId="0" fillId="5" borderId="0" xfId="2" applyNumberFormat="1" applyFont="1" applyFill="1"/>
    <xf numFmtId="187" fontId="0" fillId="5" borderId="18" xfId="3" applyNumberFormat="1" applyFont="1" applyFill="1" applyBorder="1"/>
    <xf numFmtId="164" fontId="0" fillId="5" borderId="0" xfId="1" quotePrefix="1" applyNumberFormat="1" applyFont="1" applyFill="1" applyBorder="1"/>
    <xf numFmtId="0" fontId="0" fillId="5" borderId="2" xfId="0" applyFill="1" applyBorder="1"/>
    <xf numFmtId="164" fontId="0" fillId="5" borderId="2" xfId="0" applyNumberFormat="1" applyFill="1" applyBorder="1"/>
    <xf numFmtId="164" fontId="0" fillId="5" borderId="19" xfId="0" applyNumberFormat="1" applyFill="1" applyBorder="1"/>
    <xf numFmtId="165" fontId="0" fillId="5" borderId="0" xfId="2" applyNumberFormat="1" applyFont="1" applyFill="1" applyBorder="1"/>
    <xf numFmtId="165" fontId="0" fillId="5" borderId="0" xfId="2" quotePrefix="1" applyNumberFormat="1" applyFont="1" applyFill="1" applyBorder="1"/>
    <xf numFmtId="164" fontId="0" fillId="5" borderId="0" xfId="0" applyNumberFormat="1" applyFill="1" applyBorder="1" applyAlignment="1">
      <alignment horizontal="left"/>
    </xf>
    <xf numFmtId="166" fontId="0" fillId="5" borderId="0" xfId="1" applyNumberFormat="1" applyFont="1" applyFill="1"/>
    <xf numFmtId="10" fontId="0" fillId="5" borderId="0" xfId="3" applyNumberFormat="1" applyFont="1" applyFill="1"/>
    <xf numFmtId="189" fontId="0" fillId="5" borderId="0" xfId="3" applyNumberFormat="1" applyFont="1" applyFill="1"/>
    <xf numFmtId="166" fontId="0" fillId="5" borderId="0" xfId="0" applyNumberFormat="1" applyFill="1"/>
    <xf numFmtId="189" fontId="0" fillId="5" borderId="0" xfId="0" applyNumberFormat="1" applyFill="1"/>
    <xf numFmtId="181" fontId="0" fillId="5" borderId="0" xfId="0" applyNumberFormat="1" applyFill="1"/>
    <xf numFmtId="192" fontId="0" fillId="5" borderId="0" xfId="0" applyNumberFormat="1" applyFill="1"/>
    <xf numFmtId="38" fontId="0" fillId="5" borderId="0" xfId="0" applyNumberFormat="1" applyFill="1"/>
    <xf numFmtId="0" fontId="26" fillId="0" borderId="0" xfId="0" applyFont="1"/>
    <xf numFmtId="0" fontId="2" fillId="5" borderId="8" xfId="0" applyFont="1" applyFill="1" applyBorder="1" applyAlignment="1">
      <alignment horizontal="center"/>
    </xf>
    <xf numFmtId="164" fontId="27" fillId="5" borderId="0" xfId="1" applyNumberFormat="1" applyFont="1" applyFill="1" applyAlignment="1">
      <alignment vertical="center" wrapText="1"/>
    </xf>
    <xf numFmtId="0" fontId="27"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wrapText="1"/>
    </xf>
    <xf numFmtId="164" fontId="27" fillId="5" borderId="0" xfId="1" applyNumberFormat="1" applyFont="1" applyFill="1"/>
    <xf numFmtId="0" fontId="27" fillId="5" borderId="0" xfId="0" applyFont="1" applyFill="1"/>
    <xf numFmtId="0" fontId="0" fillId="5" borderId="60" xfId="0" applyFill="1" applyBorder="1"/>
    <xf numFmtId="43" fontId="0" fillId="5" borderId="60" xfId="0" applyNumberFormat="1" applyFill="1" applyBorder="1"/>
    <xf numFmtId="0" fontId="0" fillId="5" borderId="61" xfId="0" applyFill="1" applyBorder="1" applyAlignment="1">
      <alignment horizontal="center" wrapText="1"/>
    </xf>
    <xf numFmtId="0" fontId="0" fillId="5" borderId="62" xfId="0" applyFill="1" applyBorder="1" applyAlignment="1">
      <alignment horizontal="center" wrapText="1"/>
    </xf>
    <xf numFmtId="0" fontId="28" fillId="5" borderId="0" xfId="0" applyFont="1" applyFill="1" applyAlignment="1">
      <alignment horizontal="center" wrapText="1"/>
    </xf>
    <xf numFmtId="0" fontId="0" fillId="5" borderId="0" xfId="0" applyFill="1" applyAlignment="1">
      <alignment horizontal="center" wrapText="1"/>
    </xf>
    <xf numFmtId="0" fontId="13" fillId="0" borderId="0" xfId="0" applyFont="1" applyAlignment="1">
      <alignment horizontal="center" wrapText="1"/>
    </xf>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47625</xdr:colOff>
      <xdr:row>10</xdr:row>
      <xdr:rowOff>57150</xdr:rowOff>
    </xdr:from>
    <xdr:to>
      <xdr:col>5</xdr:col>
      <xdr:colOff>93344</xdr:colOff>
      <xdr:row>12</xdr:row>
      <xdr:rowOff>0</xdr:rowOff>
    </xdr:to>
    <xdr:sp macro="" textlink="">
      <xdr:nvSpPr>
        <xdr:cNvPr id="2" name="Right Brace 1"/>
        <xdr:cNvSpPr/>
      </xdr:nvSpPr>
      <xdr:spPr>
        <a:xfrm>
          <a:off x="5524500" y="2438400"/>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28575</xdr:colOff>
      <xdr:row>10</xdr:row>
      <xdr:rowOff>38100</xdr:rowOff>
    </xdr:from>
    <xdr:to>
      <xdr:col>5</xdr:col>
      <xdr:colOff>74294</xdr:colOff>
      <xdr:row>11</xdr:row>
      <xdr:rowOff>190500</xdr:rowOff>
    </xdr:to>
    <xdr:sp macro="" textlink="">
      <xdr:nvSpPr>
        <xdr:cNvPr id="3" name="Right Brace 2"/>
        <xdr:cNvSpPr/>
      </xdr:nvSpPr>
      <xdr:spPr>
        <a:xfrm>
          <a:off x="5505450" y="2409825"/>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showGridLines="0" zoomScaleNormal="100" workbookViewId="0">
      <selection activeCell="I83" sqref="I83"/>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139</v>
      </c>
      <c r="G1" s="1"/>
    </row>
    <row r="3" spans="1:23" x14ac:dyDescent="0.25">
      <c r="B3" s="2" t="s">
        <v>0</v>
      </c>
      <c r="G3" s="3"/>
      <c r="H3" s="3"/>
      <c r="I3" s="3"/>
      <c r="J3" s="3"/>
      <c r="K3" s="3"/>
      <c r="L3" s="3"/>
      <c r="M3" s="3"/>
      <c r="N3" s="3"/>
      <c r="O3" s="3"/>
      <c r="P3" s="3"/>
    </row>
    <row r="4" spans="1:23" ht="30" x14ac:dyDescent="0.25">
      <c r="B4" s="2"/>
      <c r="C4" s="108" t="s">
        <v>1</v>
      </c>
      <c r="D4" s="107" t="s">
        <v>2</v>
      </c>
      <c r="E4" s="107" t="s">
        <v>3</v>
      </c>
      <c r="G4" s="78"/>
      <c r="H4" s="78"/>
      <c r="I4" s="78"/>
      <c r="J4" s="123"/>
      <c r="K4" s="123"/>
      <c r="L4" s="123"/>
      <c r="M4" s="123"/>
      <c r="N4" s="123"/>
      <c r="O4" s="123"/>
      <c r="P4" s="123"/>
      <c r="Q4" s="123"/>
      <c r="R4" s="123"/>
      <c r="S4" s="123"/>
      <c r="T4" s="123"/>
      <c r="U4" s="123"/>
      <c r="V4" s="123"/>
    </row>
    <row r="5" spans="1:23" x14ac:dyDescent="0.25">
      <c r="A5" s="21"/>
      <c r="B5" s="228" t="s">
        <v>4</v>
      </c>
      <c r="D5" s="6">
        <f>E5</f>
        <v>892706576</v>
      </c>
      <c r="E5" s="115">
        <v>892706576</v>
      </c>
      <c r="G5" s="228"/>
      <c r="H5" s="78"/>
      <c r="I5" s="78"/>
      <c r="J5" s="78"/>
      <c r="K5" s="80"/>
      <c r="L5" s="80"/>
      <c r="M5" s="80"/>
      <c r="N5" s="80"/>
      <c r="O5" s="5"/>
      <c r="P5" s="80"/>
      <c r="Q5" s="5"/>
      <c r="R5" s="5"/>
      <c r="S5" s="5"/>
      <c r="T5" s="5"/>
      <c r="U5" s="5"/>
      <c r="V5" s="5"/>
      <c r="W5" s="56"/>
    </row>
    <row r="6" spans="1:23" x14ac:dyDescent="0.25">
      <c r="A6" s="21"/>
      <c r="B6" s="228" t="s">
        <v>5</v>
      </c>
      <c r="D6" s="5">
        <f>E6</f>
        <v>6538475.1499999994</v>
      </c>
      <c r="E6" s="115">
        <v>6538475.1499999994</v>
      </c>
      <c r="G6" s="228"/>
      <c r="H6" s="78"/>
      <c r="I6" s="78"/>
      <c r="J6" s="78"/>
      <c r="K6" s="80"/>
      <c r="L6" s="80"/>
      <c r="M6" s="80"/>
      <c r="N6" s="80"/>
      <c r="O6" s="5"/>
      <c r="P6" s="80"/>
      <c r="Q6" s="5"/>
      <c r="R6" s="5"/>
      <c r="S6" s="5"/>
      <c r="T6" s="5"/>
      <c r="U6" s="5"/>
      <c r="V6" s="5"/>
      <c r="W6" s="56"/>
    </row>
    <row r="7" spans="1:23" x14ac:dyDescent="0.25">
      <c r="A7" s="21"/>
      <c r="B7" s="228" t="s">
        <v>6</v>
      </c>
      <c r="D7" s="114">
        <v>-145114780.17000002</v>
      </c>
      <c r="G7" s="228"/>
      <c r="H7" s="78"/>
      <c r="I7" s="78"/>
      <c r="J7" s="78"/>
      <c r="K7" s="5"/>
      <c r="L7" s="5"/>
      <c r="M7" s="5"/>
      <c r="N7" s="5"/>
      <c r="O7" s="5"/>
      <c r="P7" s="5"/>
      <c r="Q7" s="5"/>
      <c r="R7" s="5"/>
      <c r="S7" s="5"/>
      <c r="T7" s="5"/>
      <c r="U7" s="5"/>
      <c r="V7" s="5"/>
      <c r="W7" s="56"/>
    </row>
    <row r="8" spans="1:23" x14ac:dyDescent="0.25">
      <c r="B8" s="4"/>
      <c r="D8" s="10">
        <f>SUM(D5:D7)</f>
        <v>754130270.98000002</v>
      </c>
      <c r="E8" s="10">
        <f>SUM(E5:E7)</f>
        <v>899245051.14999998</v>
      </c>
      <c r="G8" s="228"/>
      <c r="H8" s="78"/>
      <c r="I8" s="79"/>
      <c r="J8" s="79"/>
      <c r="K8" s="251"/>
      <c r="L8" s="251"/>
      <c r="M8" s="251"/>
      <c r="N8" s="251"/>
      <c r="O8" s="251"/>
      <c r="P8" s="251"/>
      <c r="Q8" s="251"/>
      <c r="R8" s="251"/>
      <c r="S8" s="251"/>
      <c r="T8" s="251"/>
      <c r="U8" s="251"/>
      <c r="V8" s="251"/>
      <c r="W8" s="124"/>
    </row>
    <row r="9" spans="1:23" x14ac:dyDescent="0.25">
      <c r="B9" s="4"/>
      <c r="D9" s="6"/>
      <c r="G9" s="4"/>
      <c r="H9" s="11"/>
      <c r="I9" s="12"/>
      <c r="J9" s="11"/>
      <c r="K9" s="13"/>
      <c r="L9" s="12"/>
      <c r="M9" s="11"/>
      <c r="N9" s="13"/>
      <c r="O9" s="13"/>
      <c r="P9" s="3"/>
    </row>
    <row r="10" spans="1:23" x14ac:dyDescent="0.25">
      <c r="B10" t="s">
        <v>7</v>
      </c>
      <c r="C10" s="15">
        <f>+C27</f>
        <v>0.66425023283812457</v>
      </c>
      <c r="D10" s="6">
        <f>+D8*C10</f>
        <v>500931208.08874297</v>
      </c>
      <c r="E10" s="7">
        <f>+D10</f>
        <v>500931208.08874297</v>
      </c>
      <c r="G10" s="16"/>
      <c r="H10" s="17"/>
      <c r="I10" s="18"/>
      <c r="J10" s="19"/>
      <c r="K10" s="94"/>
      <c r="L10" s="94"/>
      <c r="M10" s="94"/>
      <c r="N10" s="94"/>
      <c r="O10" s="94"/>
      <c r="P10" s="94"/>
      <c r="Q10" s="94"/>
      <c r="R10" s="94"/>
      <c r="S10" s="94"/>
      <c r="T10" s="94"/>
      <c r="U10" s="94"/>
      <c r="V10" s="94"/>
      <c r="W10" s="94"/>
    </row>
    <row r="11" spans="1:23" x14ac:dyDescent="0.25">
      <c r="B11" t="s">
        <v>8</v>
      </c>
      <c r="C11" s="15">
        <f>+C28</f>
        <v>0.33574976716187532</v>
      </c>
      <c r="D11" s="6">
        <f>+D8*C11</f>
        <v>253199062.89125696</v>
      </c>
      <c r="E11" s="7">
        <f>+D11-D7</f>
        <v>398313843.061257</v>
      </c>
      <c r="F11" s="21"/>
      <c r="G11" s="16"/>
      <c r="H11" s="17"/>
      <c r="I11" s="18"/>
      <c r="J11" s="19"/>
      <c r="K11" s="94"/>
      <c r="L11" s="94"/>
      <c r="M11" s="94"/>
      <c r="N11" s="94"/>
      <c r="O11" s="94"/>
      <c r="P11" s="94"/>
      <c r="Q11" s="94"/>
      <c r="R11" s="94"/>
      <c r="S11" s="94"/>
      <c r="T11" s="94"/>
      <c r="U11" s="94"/>
      <c r="V11" s="94"/>
    </row>
    <row r="12" spans="1:23" ht="15.75" thickBot="1" x14ac:dyDescent="0.3">
      <c r="B12" t="s">
        <v>9</v>
      </c>
      <c r="C12" s="22">
        <f>+C10+C11</f>
        <v>0.99999999999999989</v>
      </c>
      <c r="D12" s="23">
        <f>+D10+D11</f>
        <v>754130270.9799999</v>
      </c>
      <c r="E12" s="23">
        <f>+E10+E11</f>
        <v>899245051.14999998</v>
      </c>
      <c r="G12" s="3"/>
      <c r="H12" s="11"/>
      <c r="I12" s="18"/>
      <c r="J12" s="19"/>
      <c r="K12" s="20"/>
      <c r="L12" s="18"/>
      <c r="M12" s="20"/>
      <c r="N12" s="19"/>
      <c r="O12" s="19"/>
      <c r="P12" s="3"/>
    </row>
    <row r="13" spans="1:23" ht="15.75" thickTop="1" x14ac:dyDescent="0.25">
      <c r="G13" s="3"/>
      <c r="H13" s="3"/>
      <c r="I13" s="3"/>
      <c r="J13" s="3"/>
      <c r="K13" s="3"/>
      <c r="L13" s="3"/>
      <c r="M13" s="3"/>
      <c r="N13" s="3"/>
      <c r="O13" s="3"/>
      <c r="P13" s="3"/>
    </row>
    <row r="14" spans="1:23" x14ac:dyDescent="0.25">
      <c r="B14" s="24" t="s">
        <v>10</v>
      </c>
      <c r="G14" s="3"/>
      <c r="H14" s="17"/>
      <c r="I14" s="18"/>
      <c r="J14" s="19"/>
      <c r="K14" s="20"/>
      <c r="L14" s="18"/>
      <c r="M14" s="20"/>
      <c r="N14" s="19"/>
      <c r="O14" s="19"/>
      <c r="P14" s="3"/>
    </row>
    <row r="15" spans="1:23" x14ac:dyDescent="0.25">
      <c r="B15" s="24"/>
      <c r="C15" s="107" t="s">
        <v>12</v>
      </c>
      <c r="D15" s="107" t="s">
        <v>11</v>
      </c>
      <c r="E15" s="108"/>
      <c r="H15" s="25"/>
      <c r="I15" s="7"/>
      <c r="J15" s="26"/>
      <c r="K15" s="14"/>
      <c r="L15" s="7"/>
      <c r="M15" s="14"/>
      <c r="N15" s="26"/>
      <c r="O15" s="26"/>
    </row>
    <row r="16" spans="1:23" x14ac:dyDescent="0.25">
      <c r="B16" t="s">
        <v>13</v>
      </c>
      <c r="C16" s="15">
        <f>C33</f>
        <v>7.1536463555942592E-2</v>
      </c>
      <c r="D16" s="27">
        <f>+C16*$D$10</f>
        <v>35834847.111474656</v>
      </c>
      <c r="E16" s="29"/>
      <c r="H16" s="25"/>
      <c r="I16" s="7"/>
      <c r="J16" s="26"/>
      <c r="K16" s="14"/>
      <c r="L16" s="7"/>
      <c r="M16" s="14"/>
      <c r="N16" s="26"/>
      <c r="O16" s="26"/>
    </row>
    <row r="17" spans="1:23" x14ac:dyDescent="0.25">
      <c r="B17" t="s">
        <v>14</v>
      </c>
      <c r="C17" s="15">
        <f t="shared" ref="C17:C20" si="0">C34</f>
        <v>3.0989684056049401E-2</v>
      </c>
      <c r="D17" s="27">
        <f t="shared" ref="D17:D20" si="1">+C17*$D$10</f>
        <v>15523699.872485284</v>
      </c>
      <c r="E17" s="29"/>
      <c r="H17" s="25"/>
      <c r="I17" s="7"/>
      <c r="J17" s="26"/>
      <c r="K17" s="14"/>
      <c r="L17" s="7"/>
      <c r="M17" s="14"/>
      <c r="N17" s="26"/>
      <c r="O17" s="26"/>
    </row>
    <row r="18" spans="1:23" x14ac:dyDescent="0.25">
      <c r="B18" t="s">
        <v>15</v>
      </c>
      <c r="C18" s="15">
        <f t="shared" si="0"/>
        <v>0.57453887205367327</v>
      </c>
      <c r="D18" s="27">
        <f t="shared" si="1"/>
        <v>287804451.27179027</v>
      </c>
      <c r="E18" s="29"/>
      <c r="H18" s="25"/>
      <c r="I18" s="7"/>
      <c r="J18" s="26"/>
      <c r="K18" s="14"/>
      <c r="L18" s="7"/>
      <c r="M18" s="14"/>
      <c r="N18" s="26"/>
      <c r="O18" s="26"/>
    </row>
    <row r="19" spans="1:23" x14ac:dyDescent="0.25">
      <c r="B19" t="s">
        <v>16</v>
      </c>
      <c r="C19" s="15">
        <f t="shared" si="0"/>
        <v>0.15524396818113417</v>
      </c>
      <c r="D19" s="27">
        <f t="shared" si="1"/>
        <v>77766548.529465914</v>
      </c>
      <c r="E19" s="29"/>
      <c r="H19" s="25"/>
      <c r="I19" s="7"/>
      <c r="J19" s="26"/>
      <c r="K19" s="14"/>
      <c r="L19" s="7"/>
      <c r="M19" s="14"/>
      <c r="N19" s="26"/>
      <c r="O19" s="26"/>
    </row>
    <row r="20" spans="1:23" x14ac:dyDescent="0.25">
      <c r="B20" t="s">
        <v>17</v>
      </c>
      <c r="C20" s="15">
        <f t="shared" si="0"/>
        <v>0.16769101215320051</v>
      </c>
      <c r="D20" s="27">
        <f t="shared" si="1"/>
        <v>84001661.303526804</v>
      </c>
      <c r="E20" s="29"/>
      <c r="H20" s="25"/>
      <c r="I20" s="7"/>
      <c r="J20" s="26"/>
      <c r="K20" s="14"/>
      <c r="L20" s="7"/>
      <c r="M20" s="14"/>
      <c r="N20" s="26"/>
      <c r="O20" s="26"/>
    </row>
    <row r="21" spans="1:23" ht="15.75" thickBot="1" x14ac:dyDescent="0.3">
      <c r="C21" s="22">
        <f>SUM(C16:C20)</f>
        <v>0.99999999999999989</v>
      </c>
      <c r="D21" s="23">
        <f>SUM(D16:D20)</f>
        <v>500931208.08874291</v>
      </c>
      <c r="H21" s="25"/>
      <c r="I21" s="7"/>
      <c r="J21" s="26"/>
      <c r="K21" s="14"/>
      <c r="L21" s="7"/>
      <c r="M21" s="14"/>
      <c r="N21" s="26"/>
      <c r="O21" s="26"/>
    </row>
    <row r="22" spans="1:23" ht="15.75" thickTop="1" x14ac:dyDescent="0.25">
      <c r="H22" s="25"/>
      <c r="I22" s="7"/>
      <c r="J22" s="26"/>
      <c r="K22" s="14"/>
      <c r="L22" s="7"/>
      <c r="M22" s="14"/>
      <c r="N22" s="26"/>
      <c r="O22" s="26"/>
    </row>
    <row r="23" spans="1:23" x14ac:dyDescent="0.25">
      <c r="B23" s="24" t="s">
        <v>18</v>
      </c>
    </row>
    <row r="24" spans="1:23" ht="30.75" customHeight="1" x14ac:dyDescent="0.25">
      <c r="B24" s="24"/>
      <c r="C24" s="108" t="s">
        <v>1</v>
      </c>
      <c r="D24" s="107" t="s">
        <v>2</v>
      </c>
      <c r="E24" s="107" t="s">
        <v>3</v>
      </c>
      <c r="G24" s="21"/>
      <c r="H24" s="109"/>
      <c r="I24" s="109"/>
      <c r="J24" s="21"/>
      <c r="K24" s="21"/>
      <c r="L24" s="21"/>
      <c r="M24" s="21"/>
      <c r="N24" s="21"/>
      <c r="O24" s="21"/>
      <c r="P24" s="21"/>
      <c r="Q24" s="21"/>
      <c r="R24" s="21"/>
      <c r="S24" s="21"/>
      <c r="T24" s="21"/>
      <c r="U24" s="21"/>
      <c r="V24" s="21"/>
      <c r="W24" s="21"/>
    </row>
    <row r="25" spans="1:23" x14ac:dyDescent="0.25">
      <c r="B25" s="228" t="s">
        <v>19</v>
      </c>
      <c r="D25" s="30">
        <f>+D29</f>
        <v>759190093.13000011</v>
      </c>
      <c r="E25" s="7">
        <f>+E29</f>
        <v>904304873.30000007</v>
      </c>
      <c r="G25" s="21"/>
      <c r="H25" s="48"/>
      <c r="I25" s="21"/>
      <c r="J25" s="21"/>
      <c r="K25" s="21"/>
      <c r="L25" s="21"/>
      <c r="M25" s="21"/>
      <c r="N25" s="21"/>
      <c r="O25" s="21"/>
      <c r="P25" s="21"/>
      <c r="Q25" s="21"/>
      <c r="R25" s="21"/>
      <c r="S25" s="21"/>
      <c r="T25" s="21"/>
      <c r="U25" s="21"/>
      <c r="V25" s="21"/>
      <c r="W25" s="21"/>
    </row>
    <row r="26" spans="1:23" x14ac:dyDescent="0.25">
      <c r="B26" s="228"/>
      <c r="G26" s="21"/>
      <c r="H26" s="21"/>
      <c r="I26" s="21"/>
      <c r="J26" s="21"/>
      <c r="K26" s="123"/>
      <c r="L26" s="123"/>
      <c r="M26" s="123"/>
      <c r="N26" s="123"/>
      <c r="O26" s="123"/>
      <c r="P26" s="123"/>
      <c r="Q26" s="123"/>
      <c r="R26" s="123"/>
      <c r="S26" s="123"/>
      <c r="T26" s="123"/>
      <c r="U26" s="123"/>
      <c r="V26" s="123"/>
      <c r="W26" s="21"/>
    </row>
    <row r="27" spans="1:23" x14ac:dyDescent="0.25">
      <c r="B27" s="21" t="s">
        <v>20</v>
      </c>
      <c r="C27" s="15">
        <f>+D27/D29</f>
        <v>0.66425023283812457</v>
      </c>
      <c r="D27" s="5">
        <f>D38</f>
        <v>504292196.13000005</v>
      </c>
      <c r="E27" s="7">
        <f>+D27</f>
        <v>504292196.13000005</v>
      </c>
      <c r="G27" s="21"/>
      <c r="H27" s="21"/>
      <c r="I27" s="21"/>
      <c r="J27" s="21"/>
      <c r="K27" s="5"/>
      <c r="L27" s="5"/>
      <c r="M27" s="5"/>
      <c r="N27" s="5"/>
      <c r="O27" s="21"/>
      <c r="P27" s="21"/>
      <c r="Q27" s="21"/>
      <c r="R27" s="21"/>
      <c r="S27" s="21"/>
      <c r="T27" s="21"/>
      <c r="U27" s="21"/>
      <c r="V27" s="21"/>
      <c r="W27" s="21"/>
    </row>
    <row r="28" spans="1:23" x14ac:dyDescent="0.25">
      <c r="A28" s="21"/>
      <c r="B28" s="21" t="s">
        <v>21</v>
      </c>
      <c r="C28" s="15">
        <f>+D28/D29</f>
        <v>0.33574976716187532</v>
      </c>
      <c r="D28" s="114">
        <v>254897897</v>
      </c>
      <c r="E28" s="7">
        <f>+D28-D7</f>
        <v>400012677.17000002</v>
      </c>
      <c r="F28" s="7"/>
      <c r="G28" s="21"/>
      <c r="H28" s="21"/>
      <c r="I28" s="48"/>
      <c r="J28" s="21"/>
      <c r="K28" s="5"/>
      <c r="L28" s="5"/>
      <c r="M28" s="5"/>
      <c r="N28" s="5"/>
      <c r="O28" s="5"/>
      <c r="P28" s="5"/>
      <c r="Q28" s="5"/>
      <c r="R28" s="5"/>
      <c r="S28" s="5"/>
      <c r="T28" s="5"/>
      <c r="U28" s="5"/>
      <c r="V28" s="5"/>
      <c r="W28" s="48"/>
    </row>
    <row r="29" spans="1:23" ht="15.75" thickBot="1" x14ac:dyDescent="0.3">
      <c r="B29" s="21" t="s">
        <v>22</v>
      </c>
      <c r="C29" s="22">
        <f>+C27+C28</f>
        <v>0.99999999999999989</v>
      </c>
      <c r="D29" s="23">
        <f>+D27+D28</f>
        <v>759190093.13000011</v>
      </c>
      <c r="E29" s="23">
        <f>+E27+E28</f>
        <v>904304873.30000007</v>
      </c>
      <c r="F29" s="6"/>
      <c r="G29" s="32"/>
    </row>
    <row r="30" spans="1:23" ht="15.75" thickTop="1" x14ac:dyDescent="0.25">
      <c r="G30" s="14"/>
    </row>
    <row r="31" spans="1:23" ht="15.75" x14ac:dyDescent="0.25">
      <c r="B31" s="24" t="s">
        <v>23</v>
      </c>
      <c r="D31" s="7">
        <f>D29-D12</f>
        <v>5059822.1500002146</v>
      </c>
      <c r="E31" s="7">
        <f>D31*0.09</f>
        <v>455383.99350001931</v>
      </c>
    </row>
    <row r="32" spans="1:23" ht="31.15" customHeight="1" x14ac:dyDescent="0.25">
      <c r="B32" s="24"/>
      <c r="C32" s="107" t="s">
        <v>12</v>
      </c>
      <c r="D32" s="107" t="s">
        <v>11</v>
      </c>
      <c r="E32" s="108" t="s">
        <v>24</v>
      </c>
      <c r="F32" s="33"/>
      <c r="G32" s="33"/>
      <c r="H32" s="33"/>
      <c r="I32" s="33"/>
      <c r="J32" s="33" t="s">
        <v>136</v>
      </c>
      <c r="K32" s="123"/>
      <c r="L32" s="123"/>
      <c r="M32" s="123"/>
      <c r="N32" s="123"/>
    </row>
    <row r="33" spans="1:27" x14ac:dyDescent="0.25">
      <c r="A33" s="21"/>
      <c r="B33" s="21" t="s">
        <v>13</v>
      </c>
      <c r="C33" s="15">
        <f>D33/D$38</f>
        <v>7.1536463555942592E-2</v>
      </c>
      <c r="D33" s="229">
        <v>36075280.310000002</v>
      </c>
      <c r="E33" s="29">
        <f>J33/D33</f>
        <v>7.7000009594658636E-2</v>
      </c>
      <c r="F33" s="29"/>
      <c r="G33" s="5"/>
      <c r="H33" s="28"/>
      <c r="I33" s="28"/>
      <c r="J33" s="230">
        <v>2777796.93</v>
      </c>
      <c r="K33" s="21"/>
      <c r="L33" s="21"/>
      <c r="M33" s="21"/>
      <c r="N33" s="21"/>
      <c r="O33" s="7"/>
    </row>
    <row r="34" spans="1:27" x14ac:dyDescent="0.25">
      <c r="A34" s="21"/>
      <c r="B34" s="21" t="s">
        <v>14</v>
      </c>
      <c r="C34" s="15">
        <f>D34/D$38</f>
        <v>3.0989684056049401E-2</v>
      </c>
      <c r="D34" s="229">
        <v>15627855.83</v>
      </c>
      <c r="E34" s="29">
        <f>J34/D34</f>
        <v>8.9356292711589472E-2</v>
      </c>
      <c r="F34" s="29"/>
      <c r="G34" s="5"/>
      <c r="H34" s="28"/>
      <c r="I34" s="28"/>
      <c r="J34" s="230">
        <v>1396447.26</v>
      </c>
      <c r="K34" s="21"/>
      <c r="L34" s="21"/>
      <c r="M34" s="21"/>
      <c r="N34" s="21"/>
      <c r="O34" s="7"/>
    </row>
    <row r="35" spans="1:27" x14ac:dyDescent="0.25">
      <c r="A35" s="21"/>
      <c r="B35" s="21" t="s">
        <v>15</v>
      </c>
      <c r="C35" s="15">
        <f>D35/D$38</f>
        <v>0.57453887205367327</v>
      </c>
      <c r="D35" s="229">
        <v>289735469.55000001</v>
      </c>
      <c r="E35" s="29">
        <f>J35/D35</f>
        <v>6.5000089389297216E-2</v>
      </c>
      <c r="F35" s="29"/>
      <c r="G35" s="5"/>
      <c r="H35" s="28"/>
      <c r="I35" s="28"/>
      <c r="J35" s="230">
        <v>18832831.420000002</v>
      </c>
      <c r="K35" s="21"/>
      <c r="L35" s="21"/>
      <c r="M35" s="21"/>
      <c r="N35" s="21"/>
      <c r="O35" s="7"/>
    </row>
    <row r="36" spans="1:27" x14ac:dyDescent="0.25">
      <c r="A36" s="21"/>
      <c r="B36" s="21" t="s">
        <v>16</v>
      </c>
      <c r="C36" s="15">
        <f>D36/D$38</f>
        <v>0.15524396818113417</v>
      </c>
      <c r="D36" s="229">
        <v>78288321.650000006</v>
      </c>
      <c r="E36" s="29">
        <f>J36/D36</f>
        <v>9.4296455261919626E-2</v>
      </c>
      <c r="F36" s="29"/>
      <c r="G36" s="5"/>
      <c r="H36" s="28"/>
      <c r="I36" s="28"/>
      <c r="J36" s="230">
        <v>7382311.2199999997</v>
      </c>
      <c r="K36" s="21"/>
      <c r="L36" s="21"/>
      <c r="M36" s="21"/>
      <c r="N36" s="21"/>
      <c r="O36" s="7"/>
    </row>
    <row r="37" spans="1:27" x14ac:dyDescent="0.25">
      <c r="A37" s="21"/>
      <c r="B37" s="21" t="s">
        <v>85</v>
      </c>
      <c r="C37" s="15">
        <f>D37/D$38</f>
        <v>0.16769101215320051</v>
      </c>
      <c r="D37" s="229">
        <v>84565268.790000007</v>
      </c>
      <c r="E37" s="29">
        <f>J37/D37</f>
        <v>0.13200036882422825</v>
      </c>
      <c r="F37" s="29"/>
      <c r="G37" s="5"/>
      <c r="H37" s="28"/>
      <c r="I37" s="28"/>
      <c r="J37" s="230">
        <v>11162646.67</v>
      </c>
      <c r="K37" s="21"/>
      <c r="L37" s="21"/>
      <c r="M37" s="21"/>
      <c r="N37" s="21"/>
      <c r="O37" s="7"/>
    </row>
    <row r="38" spans="1:27" ht="15.75" thickBot="1" x14ac:dyDescent="0.3">
      <c r="B38" s="21" t="s">
        <v>86</v>
      </c>
      <c r="C38" s="22">
        <f>SUM(C33:C37)</f>
        <v>0.99999999999999989</v>
      </c>
      <c r="D38" s="23">
        <f>SUM(D33:D37)</f>
        <v>504292196.13000005</v>
      </c>
      <c r="G38" s="48"/>
      <c r="H38" s="21"/>
      <c r="I38" s="21"/>
      <c r="J38" s="70">
        <f>SUM(J33:J37)</f>
        <v>41552033.5</v>
      </c>
      <c r="K38" s="126"/>
      <c r="L38" s="126"/>
      <c r="M38" s="126"/>
      <c r="N38" s="126"/>
    </row>
    <row r="39" spans="1:27" ht="15.75" thickTop="1" x14ac:dyDescent="0.25"/>
    <row r="40" spans="1:27" x14ac:dyDescent="0.25">
      <c r="B40" s="24" t="s">
        <v>25</v>
      </c>
      <c r="N40" s="21"/>
      <c r="O40" s="21"/>
      <c r="P40" s="21"/>
      <c r="Q40" s="21"/>
      <c r="R40" s="21"/>
      <c r="S40" s="21"/>
      <c r="T40" s="21"/>
      <c r="U40" s="21"/>
      <c r="V40" s="21"/>
      <c r="W40" s="21"/>
      <c r="X40" s="21"/>
      <c r="Y40" s="21"/>
      <c r="Z40" s="21"/>
      <c r="AA40" s="21"/>
    </row>
    <row r="41" spans="1:27" x14ac:dyDescent="0.25">
      <c r="B41" s="2"/>
      <c r="C41" s="107" t="s">
        <v>26</v>
      </c>
      <c r="N41" s="21"/>
      <c r="O41" s="21"/>
      <c r="P41" s="21"/>
      <c r="Q41" s="21"/>
      <c r="R41" s="21"/>
      <c r="S41" s="21"/>
      <c r="T41" s="21"/>
      <c r="U41" s="21"/>
      <c r="V41" s="21"/>
      <c r="W41" s="21"/>
      <c r="X41" s="21"/>
      <c r="Y41" s="21"/>
      <c r="Z41" s="21"/>
      <c r="AA41" s="21"/>
    </row>
    <row r="42" spans="1:27" x14ac:dyDescent="0.25">
      <c r="B42" s="2" t="s">
        <v>27</v>
      </c>
      <c r="C42" s="107" t="s">
        <v>28</v>
      </c>
      <c r="N42" s="123"/>
      <c r="O42" s="123"/>
      <c r="P42" s="123"/>
      <c r="Q42" s="123"/>
      <c r="R42" s="123"/>
      <c r="S42" s="123"/>
      <c r="T42" s="123"/>
      <c r="U42" s="123"/>
      <c r="V42" s="123"/>
      <c r="W42" s="123"/>
      <c r="X42" s="123"/>
      <c r="Y42" s="123"/>
      <c r="Z42" s="21"/>
      <c r="AA42" s="21"/>
    </row>
    <row r="43" spans="1:27" x14ac:dyDescent="0.25">
      <c r="B43" t="s">
        <v>29</v>
      </c>
      <c r="C43" s="25">
        <f>+C84</f>
        <v>2.5473033488482753E-2</v>
      </c>
      <c r="D43" s="231"/>
      <c r="G43" s="31"/>
      <c r="H43" s="35"/>
      <c r="N43" s="5"/>
      <c r="O43" s="5"/>
      <c r="P43" s="5"/>
      <c r="Q43" s="5"/>
      <c r="R43" s="5"/>
      <c r="S43" s="5"/>
      <c r="T43" s="5"/>
      <c r="U43" s="5"/>
      <c r="V43" s="5"/>
      <c r="W43" s="5"/>
      <c r="X43" s="5"/>
      <c r="Y43" s="5"/>
      <c r="Z43" s="5"/>
      <c r="AA43" s="21"/>
    </row>
    <row r="44" spans="1:27" x14ac:dyDescent="0.25">
      <c r="B44" t="s">
        <v>30</v>
      </c>
      <c r="C44" s="25">
        <f>+C85</f>
        <v>2.3929301044813271E-2</v>
      </c>
      <c r="D44" s="231"/>
      <c r="E44" s="31"/>
      <c r="G44" s="31"/>
      <c r="H44" s="35"/>
      <c r="N44" s="5"/>
      <c r="O44" s="5"/>
      <c r="P44" s="5"/>
      <c r="Q44" s="5"/>
      <c r="R44" s="5"/>
      <c r="S44" s="5"/>
      <c r="T44" s="5"/>
      <c r="U44" s="5"/>
      <c r="V44" s="5"/>
      <c r="W44" s="5"/>
      <c r="X44" s="5"/>
      <c r="Y44" s="5"/>
      <c r="Z44" s="5"/>
      <c r="AA44" s="21"/>
    </row>
    <row r="45" spans="1:27" x14ac:dyDescent="0.25">
      <c r="A45" s="21"/>
      <c r="B45" s="21" t="s">
        <v>31</v>
      </c>
      <c r="C45" s="232">
        <v>9.2529657433776336E-2</v>
      </c>
      <c r="D45" s="21"/>
      <c r="E45" s="37"/>
      <c r="N45" s="256"/>
      <c r="O45" s="256"/>
      <c r="P45" s="256"/>
      <c r="Q45" s="256"/>
      <c r="R45" s="256"/>
      <c r="S45" s="256"/>
      <c r="T45" s="256"/>
      <c r="U45" s="256"/>
      <c r="V45" s="256"/>
      <c r="W45" s="256"/>
      <c r="X45" s="256"/>
      <c r="Y45" s="256"/>
      <c r="Z45" s="256"/>
      <c r="AA45" s="21"/>
    </row>
    <row r="46" spans="1:27" x14ac:dyDescent="0.25">
      <c r="B46" s="21" t="s">
        <v>32</v>
      </c>
      <c r="C46" s="233" t="s">
        <v>188</v>
      </c>
      <c r="D46" s="21"/>
      <c r="E46" s="31"/>
      <c r="N46" s="21"/>
      <c r="O46" s="21"/>
      <c r="P46" s="21"/>
      <c r="Q46" s="21"/>
      <c r="R46" s="21"/>
      <c r="S46" s="21"/>
      <c r="T46" s="21"/>
      <c r="U46" s="21"/>
      <c r="V46" s="21"/>
      <c r="W46" s="21"/>
      <c r="X46" s="21"/>
      <c r="Y46" s="21"/>
      <c r="Z46" s="21"/>
      <c r="AA46" s="21"/>
    </row>
    <row r="47" spans="1:27" x14ac:dyDescent="0.25">
      <c r="B47" s="21" t="s">
        <v>33</v>
      </c>
      <c r="C47" s="233" t="s">
        <v>188</v>
      </c>
      <c r="D47" s="21"/>
      <c r="N47" s="5"/>
      <c r="O47" s="5"/>
      <c r="P47" s="5"/>
      <c r="Q47" s="5"/>
      <c r="R47" s="5"/>
      <c r="S47" s="5"/>
      <c r="T47" s="5"/>
      <c r="U47" s="5"/>
      <c r="V47" s="5"/>
      <c r="W47" s="5"/>
      <c r="X47" s="5"/>
      <c r="Y47" s="5"/>
      <c r="Z47" s="5"/>
      <c r="AA47" s="21"/>
    </row>
    <row r="48" spans="1:27" x14ac:dyDescent="0.25">
      <c r="A48" s="21"/>
      <c r="B48" s="21" t="s">
        <v>34</v>
      </c>
      <c r="C48" s="233">
        <v>9.0433453548251302E-2</v>
      </c>
      <c r="D48" s="21" t="s">
        <v>189</v>
      </c>
      <c r="N48" s="5"/>
      <c r="O48" s="5"/>
      <c r="P48" s="5"/>
      <c r="Q48" s="5"/>
      <c r="R48" s="5"/>
      <c r="S48" s="5"/>
      <c r="T48" s="5"/>
      <c r="U48" s="5"/>
      <c r="V48" s="5"/>
      <c r="W48" s="5"/>
      <c r="X48" s="5"/>
      <c r="Y48" s="5"/>
      <c r="Z48" s="5"/>
      <c r="AA48" s="21"/>
    </row>
    <row r="49" spans="1:28" x14ac:dyDescent="0.25">
      <c r="C49" s="234">
        <f>'WH Settlement Comparison'!O57</f>
        <v>9.0111046637235501E-2</v>
      </c>
      <c r="D49" s="21" t="s">
        <v>190</v>
      </c>
      <c r="E49" s="21"/>
      <c r="N49" s="256"/>
      <c r="O49" s="256"/>
      <c r="P49" s="256"/>
      <c r="Q49" s="256"/>
      <c r="R49" s="256"/>
      <c r="S49" s="256"/>
      <c r="T49" s="256"/>
      <c r="U49" s="256"/>
      <c r="V49" s="256"/>
      <c r="W49" s="256"/>
      <c r="X49" s="256"/>
      <c r="Y49" s="256"/>
      <c r="Z49" s="256"/>
      <c r="AA49" s="21"/>
    </row>
    <row r="50" spans="1:28" ht="18.75" x14ac:dyDescent="0.3">
      <c r="B50" s="1" t="s">
        <v>35</v>
      </c>
      <c r="C50" s="234">
        <f>'WH Settlement Comparison'!N57</f>
        <v>9.107122178881423E-2</v>
      </c>
      <c r="D50" s="21" t="s">
        <v>191</v>
      </c>
      <c r="E50" s="21"/>
      <c r="N50" s="21"/>
      <c r="O50" s="21"/>
      <c r="P50" s="21"/>
      <c r="Q50" s="21"/>
      <c r="R50" s="21"/>
      <c r="S50" s="21"/>
      <c r="T50" s="21"/>
      <c r="U50" s="21"/>
      <c r="V50" s="21"/>
      <c r="W50" s="21"/>
      <c r="X50" s="21"/>
      <c r="Y50" s="21"/>
      <c r="Z50" s="21"/>
      <c r="AA50" s="21"/>
    </row>
    <row r="51" spans="1:28" x14ac:dyDescent="0.25">
      <c r="B51" s="6"/>
      <c r="C51" s="36"/>
      <c r="D51" s="38"/>
      <c r="N51" s="123"/>
      <c r="O51" s="123"/>
      <c r="P51" s="123"/>
      <c r="Q51" s="123"/>
      <c r="R51" s="123"/>
      <c r="S51" s="123"/>
      <c r="T51" s="123"/>
      <c r="U51" s="123"/>
      <c r="V51" s="123"/>
      <c r="W51" s="123"/>
      <c r="X51" s="123"/>
      <c r="Y51" s="123"/>
      <c r="Z51" s="78"/>
      <c r="AA51" s="78"/>
      <c r="AB51" s="78"/>
    </row>
    <row r="52" spans="1:28" x14ac:dyDescent="0.25">
      <c r="B52" s="24" t="s">
        <v>36</v>
      </c>
      <c r="J52" s="279" t="s">
        <v>211</v>
      </c>
      <c r="K52" s="280"/>
      <c r="L52" s="260"/>
      <c r="N52" s="55"/>
      <c r="O52" s="55"/>
      <c r="P52" s="55"/>
      <c r="Q52" s="55"/>
      <c r="R52" s="55"/>
      <c r="S52" s="55"/>
      <c r="T52" s="55"/>
      <c r="U52" s="55"/>
      <c r="V52" s="55"/>
      <c r="W52" s="55"/>
      <c r="X52" s="55"/>
      <c r="Y52" s="55"/>
      <c r="Z52" s="80"/>
      <c r="AA52" s="78"/>
      <c r="AB52" s="78"/>
    </row>
    <row r="53" spans="1:28" x14ac:dyDescent="0.25">
      <c r="B53" s="24"/>
      <c r="C53" s="107" t="s">
        <v>37</v>
      </c>
      <c r="D53" s="12" t="s">
        <v>11</v>
      </c>
      <c r="E53" s="39" t="s">
        <v>38</v>
      </c>
      <c r="F53" s="2"/>
      <c r="H53" s="257"/>
      <c r="I53" s="258"/>
      <c r="J53" s="261" t="s">
        <v>212</v>
      </c>
      <c r="K53" s="113" t="s">
        <v>213</v>
      </c>
      <c r="L53" s="262"/>
      <c r="N53" s="55"/>
      <c r="O53" s="55"/>
      <c r="P53" s="55"/>
      <c r="Q53" s="55"/>
      <c r="R53" s="55"/>
      <c r="S53" s="55"/>
      <c r="T53" s="55"/>
      <c r="U53" s="55"/>
      <c r="V53" s="55"/>
      <c r="W53" s="55"/>
      <c r="X53" s="55"/>
      <c r="Y53" s="55"/>
      <c r="Z53" s="80"/>
      <c r="AA53" s="78"/>
      <c r="AB53" s="78"/>
    </row>
    <row r="54" spans="1:28" x14ac:dyDescent="0.25">
      <c r="A54" s="21"/>
      <c r="B54" s="21" t="s">
        <v>39</v>
      </c>
      <c r="C54" s="36">
        <f>E54/D54</f>
        <v>0.5944109858703065</v>
      </c>
      <c r="D54" s="7">
        <f>+E6</f>
        <v>6538475.1499999994</v>
      </c>
      <c r="E54" s="235">
        <v>3886541.46</v>
      </c>
      <c r="F54" s="4"/>
      <c r="G54" s="5">
        <f>E54+E55+E60</f>
        <v>22291609.299999997</v>
      </c>
      <c r="H54" s="257"/>
      <c r="I54" s="258"/>
      <c r="J54" s="263">
        <f>E54</f>
        <v>3886541.46</v>
      </c>
      <c r="K54" s="3"/>
      <c r="L54" s="262"/>
      <c r="N54" s="80"/>
      <c r="O54" s="80"/>
      <c r="P54" s="80"/>
      <c r="Q54" s="80"/>
      <c r="R54" s="80"/>
      <c r="S54" s="80"/>
      <c r="T54" s="80"/>
      <c r="U54" s="80"/>
      <c r="V54" s="80"/>
      <c r="W54" s="80"/>
      <c r="X54" s="80"/>
      <c r="Y54" s="80"/>
      <c r="Z54" s="80"/>
      <c r="AA54" s="78"/>
      <c r="AB54" s="78"/>
    </row>
    <row r="55" spans="1:28" x14ac:dyDescent="0.25">
      <c r="A55" s="21"/>
      <c r="B55" s="21" t="s">
        <v>40</v>
      </c>
      <c r="C55" s="36">
        <f>E55/D55</f>
        <v>2.479285214764677E-2</v>
      </c>
      <c r="D55" s="48">
        <f>+E5</f>
        <v>892706576</v>
      </c>
      <c r="E55" s="235">
        <v>22132742.149999995</v>
      </c>
      <c r="F55" s="26"/>
      <c r="G55" s="6"/>
      <c r="H55" s="26"/>
      <c r="J55" s="263">
        <f>+E55</f>
        <v>22132742.149999995</v>
      </c>
      <c r="K55" s="3"/>
      <c r="L55" s="262"/>
      <c r="N55" s="80"/>
      <c r="O55" s="80"/>
      <c r="P55" s="80"/>
      <c r="Q55" s="80"/>
      <c r="R55" s="80"/>
      <c r="S55" s="80"/>
      <c r="T55" s="80"/>
      <c r="U55" s="80"/>
      <c r="V55" s="80"/>
      <c r="W55" s="80"/>
      <c r="X55" s="80"/>
      <c r="Y55" s="80"/>
      <c r="Z55" s="80"/>
      <c r="AA55" s="78"/>
      <c r="AB55" s="78"/>
    </row>
    <row r="56" spans="1:28" x14ac:dyDescent="0.25">
      <c r="A56" s="21"/>
      <c r="B56" s="21" t="s">
        <v>41</v>
      </c>
      <c r="C56" s="36"/>
      <c r="D56" s="7"/>
      <c r="E56" s="235">
        <v>9354068.910000002</v>
      </c>
      <c r="F56" s="26"/>
      <c r="G56" s="6"/>
      <c r="H56" s="40"/>
      <c r="I56" s="21"/>
      <c r="J56" s="95"/>
      <c r="K56" s="81">
        <f>E56</f>
        <v>9354068.910000002</v>
      </c>
      <c r="L56" s="262"/>
      <c r="N56" s="80"/>
      <c r="O56" s="80"/>
      <c r="P56" s="80"/>
      <c r="Q56" s="80"/>
      <c r="R56" s="80"/>
      <c r="S56" s="80"/>
      <c r="T56" s="80"/>
      <c r="U56" s="80"/>
      <c r="V56" s="80"/>
      <c r="W56" s="80"/>
      <c r="X56" s="80"/>
      <c r="Y56" s="80"/>
      <c r="Z56" s="80"/>
      <c r="AA56" s="78"/>
      <c r="AB56" s="78"/>
    </row>
    <row r="57" spans="1:28" ht="17.25" x14ac:dyDescent="0.25">
      <c r="B57" s="21" t="s">
        <v>42</v>
      </c>
      <c r="C57" s="43">
        <f>C49</f>
        <v>9.0111046637235501E-2</v>
      </c>
      <c r="D57" s="7">
        <f>+D10</f>
        <v>500931208.08874297</v>
      </c>
      <c r="E57" s="40">
        <f>+D57*C57</f>
        <v>45139435.454131439</v>
      </c>
      <c r="F57" s="40"/>
      <c r="G57" s="41"/>
      <c r="H57" s="42"/>
      <c r="I57" s="21"/>
      <c r="J57" s="264">
        <f>+E57</f>
        <v>45139435.454131439</v>
      </c>
      <c r="K57" s="78"/>
      <c r="L57" s="262"/>
      <c r="N57" s="80"/>
      <c r="O57" s="80"/>
      <c r="P57" s="80"/>
      <c r="Q57" s="80"/>
      <c r="R57" s="80"/>
      <c r="S57" s="78"/>
      <c r="T57" s="78"/>
      <c r="U57" s="78"/>
      <c r="V57" s="78"/>
      <c r="W57" s="78"/>
      <c r="X57" s="78"/>
      <c r="Y57" s="78"/>
      <c r="Z57" s="78"/>
      <c r="AA57" s="78"/>
      <c r="AB57" s="78"/>
    </row>
    <row r="58" spans="1:28" ht="17.25" x14ac:dyDescent="0.25">
      <c r="B58" s="21" t="s">
        <v>43</v>
      </c>
      <c r="C58" s="43">
        <f>C50</f>
        <v>9.107122178881423E-2</v>
      </c>
      <c r="D58" s="7">
        <f>+D11</f>
        <v>253199062.89125696</v>
      </c>
      <c r="E58" s="40">
        <f>+D58*C58</f>
        <v>23059148.013289586</v>
      </c>
      <c r="F58" s="40"/>
      <c r="G58" s="6"/>
      <c r="H58" s="40"/>
      <c r="I58" s="21"/>
      <c r="J58" s="249"/>
      <c r="K58" s="81">
        <f>E58</f>
        <v>23059148.013289586</v>
      </c>
      <c r="L58" s="262"/>
      <c r="N58" s="80"/>
      <c r="O58" s="80"/>
      <c r="P58" s="80"/>
      <c r="Q58" s="80"/>
      <c r="R58" s="80"/>
      <c r="S58" s="78"/>
      <c r="T58" s="78"/>
      <c r="U58" s="78"/>
      <c r="V58" s="78"/>
      <c r="W58" s="78"/>
      <c r="X58" s="78"/>
      <c r="Y58" s="78"/>
      <c r="Z58" s="78"/>
      <c r="AA58" s="78"/>
      <c r="AB58" s="78"/>
    </row>
    <row r="59" spans="1:28" ht="17.25" x14ac:dyDescent="0.25">
      <c r="B59" t="s">
        <v>44</v>
      </c>
      <c r="C59" s="25"/>
      <c r="D59" s="7"/>
      <c r="E59" s="40">
        <f>'Whitby 2018 RPP 2nd TU'!K23</f>
        <v>-16624573.854522649</v>
      </c>
      <c r="F59" s="272" t="s">
        <v>192</v>
      </c>
      <c r="J59" s="264">
        <f>E59</f>
        <v>-16624573.854522649</v>
      </c>
      <c r="K59" s="265"/>
      <c r="L59" s="266"/>
      <c r="M59" s="112"/>
      <c r="N59" s="80"/>
      <c r="O59" s="80"/>
      <c r="P59" s="80"/>
      <c r="Q59" s="80"/>
      <c r="R59" s="80"/>
      <c r="S59" s="78"/>
      <c r="T59" s="78"/>
      <c r="U59" s="78"/>
      <c r="V59" s="78"/>
      <c r="W59" s="78"/>
      <c r="X59" s="78"/>
      <c r="Y59" s="78"/>
      <c r="Z59" s="78"/>
      <c r="AA59" s="78"/>
      <c r="AB59" s="78"/>
    </row>
    <row r="60" spans="1:28" x14ac:dyDescent="0.25">
      <c r="A60" s="21"/>
      <c r="B60" s="21" t="s">
        <v>45</v>
      </c>
      <c r="C60" s="25">
        <f>E60/D60</f>
        <v>-0.5701137076279934</v>
      </c>
      <c r="D60" s="7">
        <f>+E6</f>
        <v>6538475.1499999994</v>
      </c>
      <c r="E60" s="235">
        <v>-3727674.31</v>
      </c>
      <c r="F60" s="40"/>
      <c r="G60" s="26"/>
      <c r="H60" s="43"/>
      <c r="I60" s="21"/>
      <c r="J60" s="264">
        <f>+E60</f>
        <v>-3727674.31</v>
      </c>
      <c r="K60" s="78"/>
      <c r="L60" s="262"/>
      <c r="N60" s="80"/>
      <c r="O60" s="80"/>
      <c r="P60" s="80"/>
      <c r="Q60" s="80"/>
      <c r="R60" s="80"/>
      <c r="S60" s="80"/>
      <c r="T60" s="80"/>
      <c r="U60" s="80"/>
      <c r="V60" s="80"/>
      <c r="W60" s="80"/>
      <c r="X60" s="80"/>
      <c r="Y60" s="80"/>
      <c r="Z60" s="80"/>
      <c r="AA60" s="78"/>
      <c r="AB60" s="78"/>
    </row>
    <row r="61" spans="1:28" ht="15.75" thickBot="1" x14ac:dyDescent="0.3">
      <c r="B61" t="s">
        <v>46</v>
      </c>
      <c r="C61" s="25"/>
      <c r="D61" s="7"/>
      <c r="E61" s="44">
        <f>SUM(E54:E60)</f>
        <v>83219687.822898373</v>
      </c>
      <c r="F61" s="45"/>
      <c r="G61" s="45"/>
      <c r="H61" s="46"/>
      <c r="I61" s="46"/>
      <c r="J61" s="267">
        <f>SUM(J54:J60)</f>
        <v>50806470.899608791</v>
      </c>
      <c r="K61" s="259">
        <f>SUM(K54:K60)</f>
        <v>32413216.92328959</v>
      </c>
      <c r="L61" s="269">
        <f>SUM(J61:K61)</f>
        <v>83219687.822898388</v>
      </c>
      <c r="N61" s="80"/>
      <c r="O61" s="80"/>
      <c r="P61" s="80"/>
      <c r="Q61" s="80"/>
      <c r="R61" s="80"/>
      <c r="S61" s="78"/>
      <c r="T61" s="78"/>
      <c r="U61" s="78"/>
      <c r="V61" s="78"/>
      <c r="W61" s="78"/>
      <c r="X61" s="78"/>
      <c r="Y61" s="78"/>
      <c r="Z61" s="78"/>
      <c r="AA61" s="78"/>
      <c r="AB61" s="78"/>
    </row>
    <row r="62" spans="1:28" ht="15.75" thickTop="1" x14ac:dyDescent="0.25">
      <c r="H62" s="21"/>
      <c r="I62" s="21"/>
      <c r="J62" s="21"/>
      <c r="K62" s="21"/>
      <c r="N62" s="80"/>
      <c r="O62" s="80"/>
      <c r="P62" s="80"/>
      <c r="Q62" s="80"/>
      <c r="R62" s="80"/>
      <c r="S62" s="78"/>
      <c r="T62" s="78"/>
      <c r="U62" s="78"/>
      <c r="V62" s="78"/>
      <c r="W62" s="78"/>
      <c r="X62" s="78"/>
      <c r="Y62" s="78"/>
      <c r="Z62" s="78"/>
      <c r="AA62" s="78"/>
      <c r="AB62" s="78"/>
    </row>
    <row r="63" spans="1:28" ht="18.75" x14ac:dyDescent="0.3">
      <c r="B63" s="1" t="s">
        <v>47</v>
      </c>
      <c r="E63" s="47"/>
      <c r="H63" s="21"/>
      <c r="I63" s="21"/>
      <c r="J63" s="21"/>
      <c r="K63" s="21"/>
      <c r="N63" s="55"/>
      <c r="O63" s="55"/>
      <c r="P63" s="55"/>
      <c r="Q63" s="55"/>
      <c r="R63" s="55"/>
      <c r="S63" s="55"/>
      <c r="T63" s="55"/>
      <c r="U63" s="55"/>
      <c r="V63" s="55"/>
      <c r="W63" s="55"/>
      <c r="X63" s="55"/>
      <c r="Y63" s="55"/>
      <c r="Z63" s="80"/>
      <c r="AA63" s="78"/>
      <c r="AB63" s="78"/>
    </row>
    <row r="64" spans="1:28" ht="18.75" x14ac:dyDescent="0.3">
      <c r="B64" s="1"/>
      <c r="G64" s="21"/>
      <c r="H64" s="21"/>
      <c r="I64" s="21"/>
      <c r="J64" s="21"/>
      <c r="K64" s="21"/>
      <c r="N64" s="252"/>
      <c r="O64" s="252"/>
      <c r="P64" s="252"/>
      <c r="Q64" s="252"/>
      <c r="R64" s="81"/>
      <c r="S64" s="81"/>
      <c r="T64" s="81"/>
      <c r="U64" s="81"/>
      <c r="V64" s="81"/>
      <c r="W64" s="81"/>
      <c r="X64" s="81"/>
      <c r="Y64" s="81"/>
      <c r="Z64" s="80"/>
      <c r="AA64" s="78"/>
      <c r="AB64" s="78"/>
    </row>
    <row r="65" spans="2:28" x14ac:dyDescent="0.25">
      <c r="B65" s="24" t="s">
        <v>48</v>
      </c>
      <c r="C65" s="109"/>
      <c r="D65" s="109"/>
      <c r="E65" s="109"/>
      <c r="G65" s="109"/>
      <c r="H65" s="109"/>
      <c r="I65" s="21"/>
      <c r="J65" s="21"/>
      <c r="K65" s="21"/>
      <c r="N65" s="80"/>
      <c r="O65" s="80"/>
      <c r="P65" s="80"/>
      <c r="Q65" s="80"/>
      <c r="R65" s="80"/>
      <c r="S65" s="80"/>
      <c r="T65" s="80"/>
      <c r="U65" s="80"/>
      <c r="V65" s="80"/>
      <c r="W65" s="80"/>
      <c r="X65" s="80"/>
      <c r="Y65" s="80"/>
      <c r="Z65" s="80"/>
      <c r="AA65" s="78"/>
      <c r="AB65" s="78"/>
    </row>
    <row r="66" spans="2:28" x14ac:dyDescent="0.25">
      <c r="B66" s="24"/>
      <c r="C66" s="108" t="s">
        <v>24</v>
      </c>
      <c r="D66" s="107" t="s">
        <v>11</v>
      </c>
      <c r="E66" s="107" t="s">
        <v>38</v>
      </c>
      <c r="G66" s="49"/>
      <c r="H66" s="49"/>
      <c r="I66" s="21"/>
      <c r="J66" s="21"/>
      <c r="K66" s="21"/>
      <c r="N66" s="78"/>
      <c r="O66" s="78"/>
      <c r="P66" s="78"/>
      <c r="Q66" s="253"/>
      <c r="R66" s="254"/>
      <c r="S66" s="78"/>
      <c r="T66" s="253"/>
      <c r="U66" s="78"/>
      <c r="V66" s="78"/>
      <c r="W66" s="78"/>
      <c r="X66" s="78"/>
      <c r="Y66" s="78"/>
      <c r="Z66" s="78"/>
      <c r="AA66" s="78"/>
      <c r="AB66" s="78"/>
    </row>
    <row r="67" spans="2:28" x14ac:dyDescent="0.25">
      <c r="B67" s="21" t="s">
        <v>13</v>
      </c>
      <c r="C67" s="36">
        <f>E33</f>
        <v>7.7000009594658636E-2</v>
      </c>
      <c r="D67" s="6">
        <f>+D33</f>
        <v>36075280.310000002</v>
      </c>
      <c r="E67" s="52">
        <f>+D67*C67</f>
        <v>2777796.93</v>
      </c>
      <c r="G67" s="40"/>
      <c r="H67" s="40"/>
      <c r="I67" s="21"/>
      <c r="J67" s="21"/>
      <c r="K67" s="21"/>
      <c r="N67" s="78"/>
      <c r="O67" s="78"/>
      <c r="P67" s="78"/>
      <c r="Q67" s="255"/>
      <c r="R67" s="255"/>
      <c r="S67" s="255"/>
      <c r="T67" s="255"/>
      <c r="U67" s="78"/>
      <c r="V67" s="78"/>
      <c r="W67" s="78"/>
      <c r="X67" s="78"/>
      <c r="Y67" s="78"/>
      <c r="Z67" s="78"/>
      <c r="AA67" s="78"/>
      <c r="AB67" s="78"/>
    </row>
    <row r="68" spans="2:28" x14ac:dyDescent="0.25">
      <c r="B68" s="21" t="s">
        <v>14</v>
      </c>
      <c r="C68" s="36">
        <f>E34</f>
        <v>8.9356292711589472E-2</v>
      </c>
      <c r="D68" s="6">
        <f>+D34</f>
        <v>15627855.83</v>
      </c>
      <c r="E68" s="52">
        <f t="shared" ref="E68:E71" si="2">+D68*C68</f>
        <v>1396447.26</v>
      </c>
      <c r="G68" s="40"/>
      <c r="H68" s="40"/>
      <c r="I68" s="21"/>
      <c r="J68" s="21"/>
      <c r="K68" s="21"/>
      <c r="N68" s="153"/>
      <c r="O68" s="153"/>
      <c r="P68" s="153"/>
      <c r="Q68" s="153"/>
      <c r="R68" s="153"/>
      <c r="S68" s="153"/>
      <c r="T68" s="153"/>
      <c r="U68" s="153"/>
      <c r="V68" s="153"/>
      <c r="W68" s="153"/>
      <c r="X68" s="153"/>
      <c r="Y68" s="153"/>
      <c r="Z68" s="153"/>
      <c r="AA68" s="78"/>
      <c r="AB68" s="78"/>
    </row>
    <row r="69" spans="2:28" x14ac:dyDescent="0.25">
      <c r="B69" s="21" t="s">
        <v>15</v>
      </c>
      <c r="C69" s="36">
        <f>E35</f>
        <v>6.5000089389297216E-2</v>
      </c>
      <c r="D69" s="6">
        <f>+D35</f>
        <v>289735469.55000001</v>
      </c>
      <c r="E69" s="52">
        <f t="shared" si="2"/>
        <v>18832831.420000002</v>
      </c>
      <c r="G69" s="40"/>
      <c r="H69" s="40"/>
      <c r="I69" s="21"/>
      <c r="J69" s="21"/>
      <c r="K69" s="21"/>
      <c r="N69" s="153"/>
      <c r="O69" s="153"/>
      <c r="P69" s="153"/>
      <c r="Q69" s="153"/>
      <c r="R69" s="153"/>
      <c r="S69" s="153"/>
      <c r="T69" s="153"/>
      <c r="U69" s="153"/>
      <c r="V69" s="153"/>
      <c r="W69" s="153"/>
      <c r="X69" s="153"/>
      <c r="Y69" s="153"/>
      <c r="Z69" s="153"/>
      <c r="AA69" s="78"/>
      <c r="AB69" s="78"/>
    </row>
    <row r="70" spans="2:28" x14ac:dyDescent="0.25">
      <c r="B70" s="21" t="s">
        <v>16</v>
      </c>
      <c r="C70" s="36">
        <f>E36</f>
        <v>9.4296455261919626E-2</v>
      </c>
      <c r="D70" s="6">
        <f>+D36</f>
        <v>78288321.650000006</v>
      </c>
      <c r="E70" s="52">
        <f t="shared" si="2"/>
        <v>7382311.2199999988</v>
      </c>
      <c r="G70" s="40"/>
      <c r="H70" s="40"/>
      <c r="I70" s="21"/>
      <c r="J70" s="21"/>
      <c r="K70" s="21"/>
      <c r="N70" s="153"/>
      <c r="O70" s="153"/>
      <c r="P70" s="153"/>
      <c r="Q70" s="153"/>
      <c r="R70" s="153"/>
      <c r="S70" s="153"/>
      <c r="T70" s="153"/>
      <c r="U70" s="153"/>
      <c r="V70" s="153"/>
      <c r="W70" s="153"/>
      <c r="X70" s="153"/>
      <c r="Y70" s="153"/>
      <c r="Z70" s="153"/>
      <c r="AA70" s="78"/>
      <c r="AB70" s="78"/>
    </row>
    <row r="71" spans="2:28" x14ac:dyDescent="0.25">
      <c r="B71" s="21" t="s">
        <v>17</v>
      </c>
      <c r="C71" s="36">
        <f>E37</f>
        <v>0.13200036882422825</v>
      </c>
      <c r="D71" s="6">
        <f>+D37</f>
        <v>84565268.790000007</v>
      </c>
      <c r="E71" s="52">
        <f t="shared" si="2"/>
        <v>11162646.669999998</v>
      </c>
      <c r="G71" s="40"/>
      <c r="H71" s="40"/>
      <c r="I71" s="21"/>
      <c r="J71" s="279" t="s">
        <v>211</v>
      </c>
      <c r="K71" s="281"/>
      <c r="Q71" s="52"/>
      <c r="R71" s="53"/>
      <c r="S71" s="53"/>
      <c r="T71" s="53"/>
      <c r="U71" s="21"/>
      <c r="V71" s="21"/>
      <c r="W71" s="21"/>
    </row>
    <row r="72" spans="2:28" ht="15.75" thickBot="1" x14ac:dyDescent="0.3">
      <c r="B72" s="21" t="s">
        <v>49</v>
      </c>
      <c r="C72" s="36">
        <f>E72/D72</f>
        <v>8.2396741053848116E-2</v>
      </c>
      <c r="D72" s="54">
        <f>SUM(D67:D71)</f>
        <v>504292196.13000005</v>
      </c>
      <c r="E72" s="44">
        <f>SUM(E67:E71)</f>
        <v>41552033.5</v>
      </c>
      <c r="G72" s="80"/>
      <c r="H72" s="55"/>
      <c r="I72" s="21"/>
      <c r="J72" s="264">
        <f>E72</f>
        <v>41552033.5</v>
      </c>
      <c r="K72" s="250"/>
      <c r="Q72" s="19"/>
      <c r="R72" s="55"/>
      <c r="S72" s="55"/>
      <c r="T72" s="55"/>
      <c r="U72" s="21"/>
      <c r="V72" s="21"/>
      <c r="W72" s="21"/>
    </row>
    <row r="73" spans="2:28" ht="15.75" thickTop="1" x14ac:dyDescent="0.25">
      <c r="E73" s="21"/>
      <c r="G73" s="31"/>
      <c r="H73" s="21"/>
      <c r="I73" s="21"/>
      <c r="J73" s="264">
        <f>E76</f>
        <v>9572023.7737426348</v>
      </c>
      <c r="K73" s="250"/>
      <c r="Q73" s="47"/>
      <c r="R73" s="42"/>
      <c r="S73" s="42"/>
      <c r="T73" s="57"/>
      <c r="U73" s="21"/>
      <c r="V73" s="21"/>
      <c r="W73" s="21"/>
    </row>
    <row r="74" spans="2:28" x14ac:dyDescent="0.25">
      <c r="B74" s="24" t="s">
        <v>50</v>
      </c>
      <c r="E74" s="21"/>
      <c r="G74" s="37"/>
      <c r="H74" s="34"/>
      <c r="I74" s="21"/>
      <c r="J74" s="267">
        <f>SUM(J72:J73)</f>
        <v>51124057.273742631</v>
      </c>
      <c r="K74" s="270" t="s">
        <v>84</v>
      </c>
      <c r="Q74" s="19"/>
      <c r="R74" s="55"/>
      <c r="S74" s="55"/>
      <c r="T74" s="55"/>
      <c r="U74" s="21"/>
      <c r="V74" s="21"/>
      <c r="W74" s="21"/>
    </row>
    <row r="75" spans="2:28" x14ac:dyDescent="0.25">
      <c r="B75" s="24"/>
      <c r="C75" s="107" t="s">
        <v>37</v>
      </c>
      <c r="D75" s="12" t="s">
        <v>11</v>
      </c>
      <c r="E75" s="58" t="s">
        <v>38</v>
      </c>
      <c r="G75" s="104"/>
      <c r="H75" s="104"/>
      <c r="I75" s="21"/>
      <c r="J75" s="249"/>
      <c r="K75" s="250"/>
      <c r="Q75" s="19"/>
      <c r="R75" s="55"/>
      <c r="S75" s="55"/>
      <c r="T75" s="55"/>
      <c r="U75" s="21"/>
      <c r="V75" s="21"/>
      <c r="W75" s="21"/>
    </row>
    <row r="76" spans="2:28" x14ac:dyDescent="0.25">
      <c r="B76" s="21" t="s">
        <v>51</v>
      </c>
      <c r="C76" s="59">
        <f>+C44</f>
        <v>2.3929301044813271E-2</v>
      </c>
      <c r="D76" s="60">
        <f>+E28</f>
        <v>400012677.17000002</v>
      </c>
      <c r="E76" s="61">
        <f>E85</f>
        <v>9572023.7737426348</v>
      </c>
      <c r="G76" s="81"/>
      <c r="H76" s="81"/>
      <c r="I76" s="42"/>
      <c r="J76" s="249"/>
      <c r="K76" s="250"/>
      <c r="L76" s="21"/>
      <c r="M76" s="21"/>
      <c r="N76" s="21"/>
      <c r="Q76" s="19"/>
      <c r="R76" s="55"/>
      <c r="S76" s="55"/>
      <c r="T76" s="55"/>
      <c r="U76" s="21"/>
      <c r="V76" s="21"/>
      <c r="W76" s="21"/>
    </row>
    <row r="77" spans="2:28" x14ac:dyDescent="0.25">
      <c r="B77" s="21" t="s">
        <v>52</v>
      </c>
      <c r="C77" s="59"/>
      <c r="D77" s="60"/>
      <c r="E77" s="116">
        <f>+E56</f>
        <v>9354068.910000002</v>
      </c>
      <c r="G77" s="55"/>
      <c r="H77" s="81"/>
      <c r="I77" s="42"/>
      <c r="J77" s="249"/>
      <c r="K77" s="268"/>
      <c r="Q77" s="19"/>
      <c r="R77" s="55"/>
      <c r="S77" s="55"/>
      <c r="T77" s="55"/>
      <c r="U77" s="21"/>
      <c r="V77" s="21"/>
      <c r="W77" s="21"/>
    </row>
    <row r="78" spans="2:28" x14ac:dyDescent="0.25">
      <c r="B78" s="21" t="s">
        <v>53</v>
      </c>
      <c r="C78" s="117">
        <f>+C45</f>
        <v>9.2529657433776336E-2</v>
      </c>
      <c r="D78" s="56">
        <f>+D28</f>
        <v>254897897</v>
      </c>
      <c r="E78" s="118">
        <f>+C78*D78</f>
        <v>23585615.090000004</v>
      </c>
      <c r="G78" s="81"/>
      <c r="H78" s="81"/>
      <c r="I78" s="42"/>
      <c r="J78" s="267">
        <f>E77+E78</f>
        <v>32939684.000000007</v>
      </c>
      <c r="K78" s="271" t="s">
        <v>83</v>
      </c>
      <c r="Q78" s="19"/>
      <c r="R78" s="55"/>
      <c r="S78" s="55"/>
      <c r="T78" s="55"/>
      <c r="U78" s="21"/>
      <c r="V78" s="21"/>
      <c r="W78" s="21"/>
    </row>
    <row r="79" spans="2:28" ht="15.75" thickBot="1" x14ac:dyDescent="0.3">
      <c r="D79" s="56"/>
      <c r="E79" s="62">
        <f>SUM(E76:E78)</f>
        <v>42511707.773742639</v>
      </c>
      <c r="F79" s="19"/>
      <c r="G79" s="55"/>
      <c r="H79" s="55"/>
      <c r="I79" s="63"/>
      <c r="J79" s="21"/>
      <c r="K79" s="21"/>
      <c r="R79" s="21"/>
      <c r="S79" s="21"/>
      <c r="T79" s="21"/>
      <c r="U79" s="21"/>
      <c r="V79" s="21"/>
      <c r="W79" s="21"/>
    </row>
    <row r="80" spans="2:28" ht="15.75" thickTop="1" x14ac:dyDescent="0.25">
      <c r="D80" s="56"/>
      <c r="E80" s="19"/>
      <c r="F80" s="19"/>
      <c r="G80" s="19"/>
      <c r="H80" s="55"/>
      <c r="I80" s="63"/>
      <c r="J80" s="21"/>
      <c r="K80" s="21"/>
      <c r="R80" s="21"/>
      <c r="S80" s="21"/>
      <c r="T80" s="21"/>
      <c r="U80" s="21"/>
      <c r="V80" s="21"/>
      <c r="W80" s="21"/>
    </row>
    <row r="81" spans="1:26" x14ac:dyDescent="0.25">
      <c r="B81" s="24" t="s">
        <v>87</v>
      </c>
      <c r="C81" s="21"/>
      <c r="D81" s="21"/>
      <c r="E81" s="42"/>
      <c r="F81" s="19"/>
      <c r="I81" s="63"/>
      <c r="J81" s="277" t="s">
        <v>199</v>
      </c>
      <c r="K81" s="278"/>
    </row>
    <row r="82" spans="1:26" x14ac:dyDescent="0.25">
      <c r="D82" s="227" t="s">
        <v>198</v>
      </c>
      <c r="E82" s="47"/>
      <c r="F82" s="19"/>
      <c r="I82" s="56"/>
      <c r="J82" s="241" t="s">
        <v>183</v>
      </c>
      <c r="K82" s="242"/>
      <c r="L82" s="123"/>
      <c r="M82" s="123"/>
      <c r="N82" s="123"/>
      <c r="O82" s="123"/>
      <c r="P82" s="123"/>
      <c r="Q82" s="123"/>
      <c r="R82" s="123"/>
      <c r="S82" s="123"/>
      <c r="T82" s="123"/>
      <c r="U82" s="123"/>
      <c r="V82" s="123"/>
      <c r="W82" s="21"/>
      <c r="X82" s="21"/>
      <c r="Y82" s="21"/>
      <c r="Z82" s="21"/>
    </row>
    <row r="83" spans="1:26" x14ac:dyDescent="0.25">
      <c r="B83" s="24"/>
      <c r="C83" s="107" t="s">
        <v>37</v>
      </c>
      <c r="D83" s="12" t="s">
        <v>11</v>
      </c>
      <c r="E83" s="39" t="s">
        <v>38</v>
      </c>
      <c r="F83" s="19"/>
      <c r="I83" s="20"/>
      <c r="J83" s="243" t="s">
        <v>11</v>
      </c>
      <c r="K83" s="244" t="s">
        <v>38</v>
      </c>
      <c r="L83" s="5"/>
      <c r="M83" s="5"/>
      <c r="N83" s="5"/>
      <c r="O83" s="21"/>
      <c r="P83" s="21"/>
      <c r="Q83" s="21"/>
      <c r="R83" s="21"/>
      <c r="S83" s="21"/>
      <c r="T83" s="21"/>
      <c r="U83" s="21"/>
      <c r="V83" s="21"/>
      <c r="W83" s="21"/>
      <c r="X83" s="21"/>
      <c r="Y83" s="21"/>
      <c r="Z83" s="21"/>
    </row>
    <row r="84" spans="1:26" x14ac:dyDescent="0.25">
      <c r="A84" s="21"/>
      <c r="B84" s="21" t="s">
        <v>54</v>
      </c>
      <c r="C84" s="25">
        <f>((+E54+E55+E60)-(E85/(E28/E11)))/E10</f>
        <v>2.5473033488482753E-2</v>
      </c>
      <c r="D84" s="6">
        <f>+E27</f>
        <v>504292196.13000005</v>
      </c>
      <c r="E84" s="236">
        <v>12845852</v>
      </c>
      <c r="F84" s="66"/>
      <c r="I84" s="67"/>
      <c r="J84" s="245">
        <f>E10</f>
        <v>500931208.08874297</v>
      </c>
      <c r="K84" s="246">
        <f>J84*C84</f>
        <v>12760237.439070672</v>
      </c>
      <c r="L84" s="5"/>
      <c r="M84" s="5"/>
      <c r="N84" s="5"/>
      <c r="O84" s="5"/>
      <c r="P84" s="5"/>
      <c r="Q84" s="5"/>
      <c r="R84" s="5"/>
      <c r="S84" s="5"/>
      <c r="T84" s="5"/>
      <c r="U84" s="5"/>
      <c r="V84" s="5"/>
      <c r="W84" s="48"/>
      <c r="X84" s="21"/>
      <c r="Y84" s="21"/>
      <c r="Z84" s="21"/>
    </row>
    <row r="85" spans="1:26" x14ac:dyDescent="0.25">
      <c r="B85" t="s">
        <v>55</v>
      </c>
      <c r="C85" s="25">
        <f>((+E54+E55+E60)-(E84/(E27/E10)))/E11</f>
        <v>2.3929301044813271E-2</v>
      </c>
      <c r="D85" s="6">
        <f>+E28</f>
        <v>400012677.17000002</v>
      </c>
      <c r="E85" s="40">
        <f>C85*D85</f>
        <v>9572023.7737426348</v>
      </c>
      <c r="F85" s="66"/>
      <c r="I85" s="67"/>
      <c r="J85" s="245">
        <f>E11</f>
        <v>398313843.061257</v>
      </c>
      <c r="K85" s="246">
        <f>J85*C85</f>
        <v>9531371.8609293271</v>
      </c>
      <c r="L85" s="51"/>
      <c r="M85" s="21"/>
      <c r="N85" s="21"/>
      <c r="O85" s="21"/>
      <c r="P85" s="21"/>
      <c r="Q85" s="21"/>
      <c r="R85" s="21"/>
      <c r="S85" s="21"/>
      <c r="T85" s="21"/>
      <c r="U85" s="21"/>
      <c r="V85" s="21"/>
      <c r="W85" s="21"/>
      <c r="X85" s="21"/>
      <c r="Y85" s="21"/>
      <c r="Z85" s="21"/>
    </row>
    <row r="86" spans="1:26" ht="15.75" thickBot="1" x14ac:dyDescent="0.3">
      <c r="C86" s="69">
        <f>+E86/D86</f>
        <v>2.4790174680730245E-2</v>
      </c>
      <c r="D86" s="70">
        <f>SUM(D84:D85)</f>
        <v>904304873.30000007</v>
      </c>
      <c r="E86" s="71">
        <f>+E84+E85</f>
        <v>22417875.773742635</v>
      </c>
      <c r="F86" s="66"/>
      <c r="I86" s="72"/>
      <c r="J86" s="247"/>
      <c r="K86" s="248">
        <f>SUM(K84:K85)</f>
        <v>22291609.299999997</v>
      </c>
    </row>
    <row r="87" spans="1:26" ht="15.75" thickTop="1" x14ac:dyDescent="0.25">
      <c r="C87" s="37"/>
      <c r="D87" s="73"/>
      <c r="E87" s="56"/>
      <c r="F87" s="19"/>
      <c r="G87" s="19"/>
      <c r="H87" s="74"/>
      <c r="J87" s="56"/>
    </row>
    <row r="88" spans="1:26" ht="97.5" customHeight="1" x14ac:dyDescent="0.25">
      <c r="B88" s="275" t="s">
        <v>56</v>
      </c>
      <c r="C88" s="275"/>
      <c r="D88" s="275"/>
      <c r="E88" s="275"/>
      <c r="F88" s="19"/>
      <c r="G88" s="75"/>
      <c r="H88" s="64"/>
      <c r="I88" s="76"/>
    </row>
    <row r="89" spans="1:26" x14ac:dyDescent="0.25">
      <c r="B89" s="276"/>
      <c r="C89" s="276"/>
      <c r="D89" s="276"/>
      <c r="E89" s="276"/>
      <c r="H89" s="77"/>
    </row>
  </sheetData>
  <mergeCells count="5">
    <mergeCell ref="B88:E88"/>
    <mergeCell ref="B89:E89"/>
    <mergeCell ref="J81:K81"/>
    <mergeCell ref="J52:K52"/>
    <mergeCell ref="J71:K71"/>
  </mergeCells>
  <pageMargins left="0.7" right="0.7" top="0.75" bottom="0.75" header="0.3" footer="0.3"/>
  <pageSetup paperSize="17"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showGridLines="0" zoomScaleNormal="100" workbookViewId="0">
      <selection activeCell="O18" sqref="O18"/>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82" t="s">
        <v>57</v>
      </c>
    </row>
    <row r="3" spans="1:32" ht="18.75" hidden="1" x14ac:dyDescent="0.3">
      <c r="A3" s="1" t="s">
        <v>58</v>
      </c>
      <c r="M3" s="8"/>
      <c r="N3" s="3"/>
      <c r="O3" s="3"/>
      <c r="P3" s="3"/>
      <c r="Q3" s="3"/>
      <c r="R3" s="3"/>
      <c r="S3" s="3"/>
      <c r="T3" s="3"/>
      <c r="U3" s="3"/>
      <c r="V3" s="8"/>
      <c r="W3" s="3"/>
      <c r="X3" s="3"/>
      <c r="Y3" s="3"/>
      <c r="Z3" s="3"/>
      <c r="AA3" s="3"/>
      <c r="AB3" s="3"/>
      <c r="AC3" s="3"/>
      <c r="AD3" s="3"/>
      <c r="AE3" s="3"/>
      <c r="AF3" s="3"/>
    </row>
    <row r="4" spans="1:32" x14ac:dyDescent="0.25">
      <c r="A4" s="2"/>
      <c r="M4" s="83"/>
      <c r="N4" s="3"/>
      <c r="O4" s="3"/>
      <c r="P4" s="3"/>
      <c r="Q4" s="3"/>
      <c r="R4" s="3"/>
      <c r="S4" s="3"/>
      <c r="T4" s="3"/>
      <c r="U4" s="3"/>
      <c r="V4" s="83"/>
      <c r="W4" s="3"/>
      <c r="X4" s="3"/>
      <c r="Y4" s="3"/>
      <c r="Z4" s="3"/>
      <c r="AA4" s="3"/>
      <c r="AB4" s="3"/>
      <c r="AC4" s="3"/>
      <c r="AD4" s="3"/>
      <c r="AE4" s="3"/>
      <c r="AF4" s="3"/>
    </row>
    <row r="5" spans="1:32" hidden="1" x14ac:dyDescent="0.25">
      <c r="A5" s="2" t="s">
        <v>59</v>
      </c>
      <c r="M5" s="83"/>
      <c r="N5" s="3"/>
      <c r="O5" s="3"/>
      <c r="P5" s="3"/>
      <c r="Q5" s="3"/>
      <c r="R5" s="3"/>
      <c r="S5" s="3"/>
      <c r="T5" s="3"/>
      <c r="U5" s="3"/>
      <c r="V5" s="83"/>
      <c r="W5" s="3"/>
      <c r="X5" s="3"/>
      <c r="Y5" s="3"/>
      <c r="Z5" s="3"/>
      <c r="AA5" s="3"/>
      <c r="AB5" s="3"/>
      <c r="AC5" s="3"/>
      <c r="AD5" s="3"/>
      <c r="AE5" s="3"/>
      <c r="AF5" s="3"/>
    </row>
    <row r="6" spans="1:32" ht="45" hidden="1" x14ac:dyDescent="0.25">
      <c r="A6" s="84" t="s">
        <v>60</v>
      </c>
      <c r="B6" s="85" t="s">
        <v>61</v>
      </c>
      <c r="C6" s="86" t="s">
        <v>62</v>
      </c>
      <c r="D6" s="85" t="s">
        <v>63</v>
      </c>
      <c r="E6" s="86" t="s">
        <v>64</v>
      </c>
      <c r="F6" s="85" t="s">
        <v>65</v>
      </c>
      <c r="G6" s="85" t="s">
        <v>11</v>
      </c>
      <c r="H6" s="86" t="s">
        <v>66</v>
      </c>
      <c r="I6" s="86" t="s">
        <v>67</v>
      </c>
      <c r="J6" s="86" t="s">
        <v>68</v>
      </c>
      <c r="K6" s="86" t="s">
        <v>69</v>
      </c>
      <c r="M6" s="83"/>
      <c r="N6" s="11"/>
      <c r="O6" s="11"/>
      <c r="P6" s="11"/>
      <c r="Q6" s="87"/>
      <c r="R6" s="83"/>
      <c r="S6" s="11"/>
      <c r="T6" s="13"/>
      <c r="U6" s="3"/>
      <c r="V6" s="83"/>
      <c r="W6" s="11"/>
      <c r="X6" s="11"/>
      <c r="Y6" s="11"/>
      <c r="Z6" s="87"/>
      <c r="AA6" s="83"/>
      <c r="AB6" s="11"/>
      <c r="AC6" s="13"/>
      <c r="AD6" s="3"/>
      <c r="AE6" s="3"/>
      <c r="AF6" s="3"/>
    </row>
    <row r="7" spans="1:32" hidden="1" x14ac:dyDescent="0.25">
      <c r="A7" s="88" t="s">
        <v>13</v>
      </c>
      <c r="B7" s="89">
        <f>+'[1]Data for 2nd TU'!D33</f>
        <v>7.6999999999999999E-2</v>
      </c>
      <c r="C7" s="89">
        <f>+'[1]Data for 2nd TU'!$B$43</f>
        <v>3.1848807346377295E-2</v>
      </c>
      <c r="D7" s="89">
        <f>+'[1]Data for 2nd TU'!$B$48</f>
        <v>8.8359370314842575E-2</v>
      </c>
      <c r="E7" s="89">
        <f>+C7+D7</f>
        <v>0.12020817766121987</v>
      </c>
      <c r="F7" s="90">
        <f>+B7-E7</f>
        <v>-4.3208177661219871E-2</v>
      </c>
      <c r="G7" s="32">
        <f>'[1]Data for 2nd TU'!C16</f>
        <v>5002500</v>
      </c>
      <c r="H7" s="26">
        <f>+G7*B7</f>
        <v>385192.5</v>
      </c>
      <c r="I7" s="26">
        <f>+G7*C7</f>
        <v>159323.65875025242</v>
      </c>
      <c r="J7" s="26">
        <f>+G7*D7</f>
        <v>442017.75</v>
      </c>
      <c r="K7" s="26">
        <f>+H7-I7-J7</f>
        <v>-216148.90875025242</v>
      </c>
      <c r="M7" s="3"/>
      <c r="N7" s="91"/>
      <c r="O7" s="92"/>
      <c r="P7" s="92"/>
      <c r="Q7" s="92"/>
      <c r="R7" s="93"/>
      <c r="S7" s="94"/>
      <c r="T7" s="19"/>
      <c r="U7" s="3"/>
      <c r="V7" s="3"/>
      <c r="W7" s="92"/>
      <c r="X7" s="92"/>
      <c r="Y7" s="92"/>
      <c r="Z7" s="92"/>
      <c r="AA7" s="93"/>
      <c r="AB7" s="94"/>
      <c r="AC7" s="19"/>
      <c r="AD7" s="9"/>
      <c r="AE7" s="3"/>
      <c r="AF7" s="3"/>
    </row>
    <row r="8" spans="1:32" hidden="1" x14ac:dyDescent="0.25">
      <c r="A8" s="95" t="s">
        <v>14</v>
      </c>
      <c r="B8" s="92">
        <f>+'[1]Data for 2nd TU'!D34</f>
        <v>8.8999999999999996E-2</v>
      </c>
      <c r="C8" s="92">
        <f>+'[1]Data for 2nd TU'!$B$43</f>
        <v>3.1848807346377295E-2</v>
      </c>
      <c r="D8" s="92">
        <f>+'[1]Data for 2nd TU'!$B$48</f>
        <v>8.8359370314842575E-2</v>
      </c>
      <c r="E8" s="92">
        <f t="shared" ref="E8:E11" si="0">+C8+D8</f>
        <v>0.12020817766121987</v>
      </c>
      <c r="F8" s="93">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91"/>
      <c r="O8" s="92"/>
      <c r="P8" s="92"/>
      <c r="Q8" s="92"/>
      <c r="R8" s="93"/>
      <c r="S8" s="94"/>
      <c r="T8" s="19"/>
      <c r="U8" s="3"/>
      <c r="V8" s="3"/>
      <c r="W8" s="92"/>
      <c r="X8" s="92"/>
      <c r="Y8" s="92"/>
      <c r="Z8" s="92"/>
      <c r="AA8" s="93"/>
      <c r="AB8" s="94"/>
      <c r="AC8" s="19"/>
      <c r="AD8" s="9"/>
      <c r="AE8" s="3"/>
      <c r="AF8" s="3"/>
    </row>
    <row r="9" spans="1:32" hidden="1" x14ac:dyDescent="0.25">
      <c r="A9" s="95" t="s">
        <v>15</v>
      </c>
      <c r="B9" s="92">
        <f>+'[1]Data for 2nd TU'!D35</f>
        <v>6.5000000000000002E-2</v>
      </c>
      <c r="C9" s="92">
        <f>+'[1]Data for 2nd TU'!$B$43</f>
        <v>3.1848807346377295E-2</v>
      </c>
      <c r="D9" s="92">
        <f>+'[1]Data for 2nd TU'!$B$48</f>
        <v>8.8359370314842575E-2</v>
      </c>
      <c r="E9" s="92">
        <f t="shared" si="0"/>
        <v>0.12020817766121987</v>
      </c>
      <c r="F9" s="93">
        <f t="shared" si="1"/>
        <v>-5.5208177661219868E-2</v>
      </c>
      <c r="G9" s="32">
        <f>'[1]Data for 2nd TU'!C18</f>
        <v>100050000</v>
      </c>
      <c r="H9" s="26">
        <f t="shared" si="2"/>
        <v>6503250</v>
      </c>
      <c r="I9" s="26">
        <f t="shared" si="3"/>
        <v>3186473.1750050485</v>
      </c>
      <c r="J9" s="26">
        <f t="shared" si="4"/>
        <v>8840355</v>
      </c>
      <c r="K9" s="26">
        <f t="shared" si="5"/>
        <v>-5523578.1750050485</v>
      </c>
      <c r="M9" s="3"/>
      <c r="N9" s="91"/>
      <c r="O9" s="92"/>
      <c r="P9" s="92"/>
      <c r="Q9" s="92"/>
      <c r="R9" s="93"/>
      <c r="S9" s="94"/>
      <c r="T9" s="19"/>
      <c r="U9" s="3"/>
      <c r="V9" s="3"/>
      <c r="W9" s="92"/>
      <c r="X9" s="92"/>
      <c r="Y9" s="92"/>
      <c r="Z9" s="92"/>
      <c r="AA9" s="93"/>
      <c r="AB9" s="94"/>
      <c r="AC9" s="19"/>
      <c r="AD9" s="9"/>
      <c r="AE9" s="3"/>
      <c r="AF9" s="3"/>
    </row>
    <row r="10" spans="1:32" hidden="1" x14ac:dyDescent="0.25">
      <c r="A10" s="95" t="s">
        <v>16</v>
      </c>
      <c r="B10" s="92">
        <f>+'[1]Data for 2nd TU'!D36</f>
        <v>9.4E-2</v>
      </c>
      <c r="C10" s="92">
        <f>+'[1]Data for 2nd TU'!$B$43</f>
        <v>3.1848807346377295E-2</v>
      </c>
      <c r="D10" s="92">
        <f>+'[1]Data for 2nd TU'!$B$48</f>
        <v>8.8359370314842575E-2</v>
      </c>
      <c r="E10" s="92">
        <f t="shared" si="0"/>
        <v>0.12020817766121987</v>
      </c>
      <c r="F10" s="93">
        <f t="shared" si="1"/>
        <v>-2.620817766121987E-2</v>
      </c>
      <c r="G10" s="32">
        <f>'[1]Data for 2nd TU'!C19</f>
        <v>50025000</v>
      </c>
      <c r="H10" s="26">
        <f t="shared" si="2"/>
        <v>4702350</v>
      </c>
      <c r="I10" s="26">
        <f t="shared" si="3"/>
        <v>1593236.5875025243</v>
      </c>
      <c r="J10" s="26">
        <f t="shared" si="4"/>
        <v>4420177.5</v>
      </c>
      <c r="K10" s="26">
        <f t="shared" si="5"/>
        <v>-1311064.0875025243</v>
      </c>
      <c r="M10" s="3"/>
      <c r="N10" s="91"/>
      <c r="O10" s="92"/>
      <c r="P10" s="92"/>
      <c r="Q10" s="92"/>
      <c r="R10" s="93"/>
      <c r="S10" s="94"/>
      <c r="T10" s="19"/>
      <c r="U10" s="3"/>
      <c r="V10" s="3"/>
      <c r="W10" s="92"/>
      <c r="X10" s="92"/>
      <c r="Y10" s="92"/>
      <c r="Z10" s="92"/>
      <c r="AA10" s="93"/>
      <c r="AB10" s="94"/>
      <c r="AC10" s="19"/>
      <c r="AD10" s="9"/>
      <c r="AE10" s="3"/>
      <c r="AF10" s="3"/>
    </row>
    <row r="11" spans="1:32" hidden="1" x14ac:dyDescent="0.25">
      <c r="A11" s="96" t="s">
        <v>17</v>
      </c>
      <c r="B11" s="97">
        <f>+'[1]Data for 2nd TU'!D37</f>
        <v>0.13200000000000001</v>
      </c>
      <c r="C11" s="97">
        <f>+'[1]Data for 2nd TU'!$B$43</f>
        <v>3.1848807346377295E-2</v>
      </c>
      <c r="D11" s="97">
        <f>+'[1]Data for 2nd TU'!$B$48</f>
        <v>8.8359370314842575E-2</v>
      </c>
      <c r="E11" s="97">
        <f t="shared" si="0"/>
        <v>0.12020817766121987</v>
      </c>
      <c r="F11" s="98">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91"/>
      <c r="O11" s="92"/>
      <c r="P11" s="92"/>
      <c r="Q11" s="92"/>
      <c r="R11" s="93"/>
      <c r="S11" s="94"/>
      <c r="T11" s="19"/>
      <c r="U11" s="3"/>
      <c r="V11" s="3"/>
      <c r="W11" s="92"/>
      <c r="X11" s="92"/>
      <c r="Y11" s="92"/>
      <c r="Z11" s="92"/>
      <c r="AA11" s="93"/>
      <c r="AB11" s="94"/>
      <c r="AC11" s="19"/>
      <c r="AD11" s="9"/>
      <c r="AE11" s="3"/>
      <c r="AF11" s="3"/>
    </row>
    <row r="12" spans="1:32" ht="15.75" hidden="1" thickBot="1" x14ac:dyDescent="0.3">
      <c r="B12" s="99">
        <f>+H12/G12</f>
        <v>9.1217777777777773E-2</v>
      </c>
      <c r="G12" s="23">
        <f>SUM(G7:G11)</f>
        <v>225112500</v>
      </c>
      <c r="H12" s="62">
        <f t="shared" ref="H12:J12" si="6">SUM(H7:H11)</f>
        <v>20534262</v>
      </c>
      <c r="I12" s="62">
        <f t="shared" si="6"/>
        <v>7169564.6437613592</v>
      </c>
      <c r="J12" s="62">
        <f t="shared" si="6"/>
        <v>19890798.75</v>
      </c>
      <c r="K12" s="44">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7"/>
      <c r="J13" s="47"/>
      <c r="M13" s="3"/>
      <c r="N13" s="3"/>
      <c r="O13" s="3"/>
      <c r="P13" s="3"/>
      <c r="Q13" s="3"/>
      <c r="R13" s="3"/>
      <c r="S13" s="3"/>
      <c r="T13" s="3"/>
      <c r="U13" s="3"/>
      <c r="V13" s="3"/>
      <c r="W13" s="3"/>
      <c r="X13" s="3"/>
      <c r="Y13" s="3"/>
      <c r="Z13" s="3"/>
      <c r="AA13" s="3"/>
      <c r="AB13" s="3"/>
      <c r="AC13" s="3"/>
      <c r="AD13" s="3"/>
      <c r="AE13" s="3"/>
      <c r="AF13" s="3"/>
    </row>
    <row r="14" spans="1:32" ht="18.75" x14ac:dyDescent="0.3">
      <c r="A14" s="1" t="s">
        <v>115</v>
      </c>
      <c r="M14" s="83"/>
      <c r="N14" s="3"/>
      <c r="O14" s="3"/>
      <c r="P14" s="3"/>
      <c r="Q14" s="3"/>
      <c r="R14" s="3"/>
      <c r="S14" s="3"/>
      <c r="T14" s="3"/>
      <c r="U14" s="3"/>
      <c r="V14" s="83"/>
      <c r="W14" s="3"/>
      <c r="X14" s="3"/>
      <c r="Y14" s="3"/>
      <c r="Z14" s="3"/>
      <c r="AA14" s="100"/>
      <c r="AB14" s="3"/>
      <c r="AC14" s="3"/>
      <c r="AD14" s="3"/>
      <c r="AE14" s="3"/>
      <c r="AF14" s="3"/>
    </row>
    <row r="15" spans="1:32" x14ac:dyDescent="0.25">
      <c r="A15" s="2"/>
      <c r="C15" s="109"/>
      <c r="M15" s="83"/>
      <c r="N15" s="101"/>
      <c r="O15" s="101"/>
      <c r="P15" s="101"/>
      <c r="Q15" s="101"/>
      <c r="R15" s="101"/>
      <c r="S15" s="33"/>
      <c r="T15" s="33"/>
      <c r="V15" s="83"/>
      <c r="W15" s="101"/>
      <c r="X15" s="101"/>
      <c r="Y15" s="101"/>
      <c r="AA15" s="68"/>
    </row>
    <row r="16" spans="1:32" x14ac:dyDescent="0.25">
      <c r="A16" s="2" t="s">
        <v>70</v>
      </c>
      <c r="E16" s="109"/>
      <c r="H16" s="109"/>
      <c r="I16" s="109"/>
      <c r="J16" s="109"/>
      <c r="K16" s="109"/>
      <c r="M16" s="3"/>
      <c r="N16" s="17"/>
      <c r="O16" s="18"/>
      <c r="P16" s="19"/>
      <c r="Q16" s="19"/>
      <c r="R16" s="19"/>
      <c r="S16" s="26"/>
      <c r="T16" s="26"/>
      <c r="V16" s="3"/>
      <c r="W16" s="17"/>
      <c r="X16" s="18"/>
      <c r="Y16" s="19"/>
      <c r="AA16" s="68"/>
    </row>
    <row r="17" spans="1:27" ht="30" x14ac:dyDescent="0.25">
      <c r="A17" s="84" t="s">
        <v>60</v>
      </c>
      <c r="B17" s="85" t="s">
        <v>61</v>
      </c>
      <c r="C17" s="86" t="s">
        <v>71</v>
      </c>
      <c r="D17" s="85" t="s">
        <v>63</v>
      </c>
      <c r="E17" s="86" t="s">
        <v>64</v>
      </c>
      <c r="F17" s="85" t="s">
        <v>65</v>
      </c>
      <c r="G17" s="85" t="s">
        <v>11</v>
      </c>
      <c r="H17" s="86" t="s">
        <v>72</v>
      </c>
      <c r="I17" s="86" t="s">
        <v>73</v>
      </c>
      <c r="J17" s="86" t="s">
        <v>68</v>
      </c>
      <c r="K17" s="86" t="s">
        <v>88</v>
      </c>
      <c r="M17" s="3"/>
      <c r="N17" s="17"/>
      <c r="O17" s="18"/>
      <c r="P17" s="19"/>
      <c r="Q17" s="19"/>
      <c r="R17" s="19"/>
      <c r="S17" s="26"/>
      <c r="T17" s="26"/>
      <c r="V17" s="3"/>
      <c r="W17" s="17"/>
      <c r="X17" s="18"/>
      <c r="Y17" s="19"/>
      <c r="AA17" s="68"/>
    </row>
    <row r="18" spans="1:27" x14ac:dyDescent="0.25">
      <c r="A18" s="88" t="s">
        <v>13</v>
      </c>
      <c r="B18" s="120">
        <f>'Whitby - 2018'!C67</f>
        <v>7.7000009594658636E-2</v>
      </c>
      <c r="C18" s="89">
        <f>'Whitby - 2018'!C43</f>
        <v>2.5473033488482753E-2</v>
      </c>
      <c r="D18" s="119">
        <f>'Whitby - 2018'!C49</f>
        <v>9.0111046637235501E-2</v>
      </c>
      <c r="E18" s="120">
        <f>+C18+D18</f>
        <v>0.11558408012571825</v>
      </c>
      <c r="F18" s="237">
        <f>+B18-E18</f>
        <v>-3.8584070531059611E-2</v>
      </c>
      <c r="G18" s="238">
        <f>'Whitby - 2018'!D16</f>
        <v>35834847.111474656</v>
      </c>
      <c r="H18" s="26">
        <f>+G18*B18</f>
        <v>2759283.5714066736</v>
      </c>
      <c r="I18" s="26">
        <f>+G18*C18</f>
        <v>912822.26052525337</v>
      </c>
      <c r="J18" s="26">
        <f>+G18*D18</f>
        <v>3229115.5793002965</v>
      </c>
      <c r="K18" s="26">
        <f>+H18-I18-J18</f>
        <v>-1382654.2684188762</v>
      </c>
      <c r="M18" s="3"/>
      <c r="N18" s="9"/>
      <c r="O18" s="9"/>
      <c r="P18" s="19"/>
      <c r="Q18" s="19"/>
      <c r="R18" s="19"/>
      <c r="S18" s="19"/>
      <c r="T18" s="19"/>
      <c r="V18" s="3"/>
      <c r="W18" s="3"/>
      <c r="X18" s="3"/>
      <c r="Y18" s="19"/>
      <c r="AA18" s="68"/>
    </row>
    <row r="19" spans="1:27" x14ac:dyDescent="0.25">
      <c r="A19" s="95" t="s">
        <v>14</v>
      </c>
      <c r="B19" s="121">
        <f>'Whitby - 2018'!C68</f>
        <v>8.9356292711589472E-2</v>
      </c>
      <c r="C19" s="92">
        <f>C18</f>
        <v>2.5473033488482753E-2</v>
      </c>
      <c r="D19" s="121">
        <f>D18</f>
        <v>9.0111046637235501E-2</v>
      </c>
      <c r="E19" s="121">
        <f t="shared" ref="E19:E22" si="7">+C19+D19</f>
        <v>0.11558408012571825</v>
      </c>
      <c r="F19" s="239">
        <f t="shared" ref="F19:F22" si="8">+B19-E19</f>
        <v>-2.6227787414128775E-2</v>
      </c>
      <c r="G19" s="238">
        <f>'Whitby - 2018'!D17</f>
        <v>15523699.872485284</v>
      </c>
      <c r="H19" s="26">
        <f t="shared" ref="H19:H22" si="9">+G19*B19</f>
        <v>1387140.2697726593</v>
      </c>
      <c r="I19" s="26">
        <f t="shared" ref="I19:I22" si="10">+G19*C19</f>
        <v>395435.72671697306</v>
      </c>
      <c r="J19" s="26">
        <f t="shared" ref="J19:J22" si="11">+G19*D19</f>
        <v>1398856.8431919683</v>
      </c>
      <c r="K19" s="26">
        <f t="shared" ref="K19:K22" si="12">+H19-I19-J19</f>
        <v>-407152.30013628211</v>
      </c>
      <c r="M19" s="3"/>
      <c r="N19" s="3"/>
      <c r="O19" s="3"/>
      <c r="P19" s="3"/>
      <c r="Q19" s="3"/>
      <c r="R19" s="3"/>
      <c r="V19" s="3"/>
      <c r="W19" s="3"/>
      <c r="X19" s="3"/>
      <c r="Y19" s="3"/>
      <c r="AA19" s="68"/>
    </row>
    <row r="20" spans="1:27" x14ac:dyDescent="0.25">
      <c r="A20" s="95" t="s">
        <v>15</v>
      </c>
      <c r="B20" s="121">
        <f>'Whitby - 2018'!C69</f>
        <v>6.5000089389297216E-2</v>
      </c>
      <c r="C20" s="92">
        <f>C19</f>
        <v>2.5473033488482753E-2</v>
      </c>
      <c r="D20" s="121">
        <f>D18</f>
        <v>9.0111046637235501E-2</v>
      </c>
      <c r="E20" s="121">
        <f t="shared" si="7"/>
        <v>0.11558408012571825</v>
      </c>
      <c r="F20" s="239">
        <f t="shared" si="8"/>
        <v>-5.0583990736421031E-2</v>
      </c>
      <c r="G20" s="238">
        <f>'Whitby - 2018'!D18</f>
        <v>287804451.27179027</v>
      </c>
      <c r="H20" s="26">
        <f t="shared" si="9"/>
        <v>18707315.059304003</v>
      </c>
      <c r="I20" s="26">
        <f t="shared" si="10"/>
        <v>7331252.4253807161</v>
      </c>
      <c r="J20" s="26">
        <f t="shared" si="11"/>
        <v>25934360.330956265</v>
      </c>
      <c r="K20" s="26">
        <f t="shared" si="12"/>
        <v>-14558297.697032979</v>
      </c>
      <c r="M20" s="83"/>
      <c r="N20" s="3"/>
      <c r="O20" s="3"/>
      <c r="P20" s="3"/>
      <c r="Q20" s="3"/>
      <c r="R20" s="3"/>
      <c r="V20" s="83"/>
      <c r="W20" s="3"/>
      <c r="X20" s="3"/>
      <c r="Y20" s="3"/>
    </row>
    <row r="21" spans="1:27" x14ac:dyDescent="0.25">
      <c r="A21" s="95" t="s">
        <v>16</v>
      </c>
      <c r="B21" s="121">
        <f>'Whitby - 2018'!C70</f>
        <v>9.4296455261919626E-2</v>
      </c>
      <c r="C21" s="92">
        <f>C20</f>
        <v>2.5473033488482753E-2</v>
      </c>
      <c r="D21" s="121">
        <f>D18</f>
        <v>9.0111046637235501E-2</v>
      </c>
      <c r="E21" s="121">
        <f t="shared" si="7"/>
        <v>0.11558408012571825</v>
      </c>
      <c r="F21" s="239">
        <f t="shared" si="8"/>
        <v>-2.1287624863798621E-2</v>
      </c>
      <c r="G21" s="238">
        <f>'Whitby - 2018'!D19</f>
        <v>77766548.529465914</v>
      </c>
      <c r="H21" s="26">
        <f t="shared" si="9"/>
        <v>7333109.8642826844</v>
      </c>
      <c r="I21" s="26">
        <f t="shared" si="10"/>
        <v>1980949.8949748045</v>
      </c>
      <c r="J21" s="26">
        <f t="shared" si="11"/>
        <v>7007625.081355541</v>
      </c>
      <c r="K21" s="26">
        <f t="shared" si="12"/>
        <v>-1655465.1120476611</v>
      </c>
      <c r="M21" s="3"/>
      <c r="N21" s="3"/>
      <c r="O21" s="3"/>
      <c r="P21" s="9"/>
      <c r="Q21" s="9"/>
      <c r="R21" s="9"/>
      <c r="S21" s="47"/>
      <c r="T21" s="47"/>
      <c r="V21" s="3"/>
      <c r="W21" s="3"/>
      <c r="X21" s="3"/>
      <c r="Y21" s="9"/>
    </row>
    <row r="22" spans="1:27" x14ac:dyDescent="0.25">
      <c r="A22" s="96" t="s">
        <v>17</v>
      </c>
      <c r="B22" s="122">
        <f>'Whitby - 2018'!C71</f>
        <v>0.13200036882422825</v>
      </c>
      <c r="C22" s="97">
        <f>C21</f>
        <v>2.5473033488482753E-2</v>
      </c>
      <c r="D22" s="122">
        <f>D18</f>
        <v>9.0111046637235501E-2</v>
      </c>
      <c r="E22" s="122">
        <f t="shared" si="7"/>
        <v>0.11558408012571825</v>
      </c>
      <c r="F22" s="240">
        <f t="shared" si="8"/>
        <v>1.6416288698510001E-2</v>
      </c>
      <c r="G22" s="238">
        <f>'Whitby - 2018'!D20</f>
        <v>84001661.303526804</v>
      </c>
      <c r="H22" s="26">
        <f t="shared" si="9"/>
        <v>11088250.273913439</v>
      </c>
      <c r="I22" s="26">
        <f t="shared" si="10"/>
        <v>2139777.1314729243</v>
      </c>
      <c r="J22" s="26">
        <f t="shared" si="11"/>
        <v>7569477.6193273645</v>
      </c>
      <c r="K22" s="26">
        <f t="shared" si="12"/>
        <v>1378995.5231131501</v>
      </c>
      <c r="M22" s="3"/>
      <c r="N22" s="3"/>
      <c r="O22" s="3"/>
      <c r="P22" s="9"/>
      <c r="Q22" s="9"/>
      <c r="R22" s="9"/>
      <c r="S22" s="47"/>
      <c r="T22" s="47"/>
      <c r="V22" s="3"/>
      <c r="W22" s="3"/>
      <c r="X22" s="3"/>
      <c r="Y22" s="9"/>
    </row>
    <row r="23" spans="1:27" ht="15.75" thickBot="1" x14ac:dyDescent="0.3">
      <c r="B23" s="99">
        <f>+H23/G23</f>
        <v>8.239674105384813E-2</v>
      </c>
      <c r="G23" s="23">
        <f>SUM(G18:G22)</f>
        <v>500931208.08874291</v>
      </c>
      <c r="H23" s="44">
        <f t="shared" ref="H23:J23" si="13">SUM(H18:H22)</f>
        <v>41275099.038679466</v>
      </c>
      <c r="I23" s="62">
        <f t="shared" si="13"/>
        <v>12760237.439070674</v>
      </c>
      <c r="J23" s="62">
        <f t="shared" si="13"/>
        <v>45139435.454131439</v>
      </c>
      <c r="K23" s="62">
        <f>SUM(K18:K22)</f>
        <v>-16624573.854522649</v>
      </c>
      <c r="M23" s="3"/>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74</v>
      </c>
      <c r="M25" s="102"/>
      <c r="N25" s="3"/>
      <c r="O25" s="3"/>
      <c r="P25" s="3"/>
      <c r="Q25" s="3"/>
      <c r="R25" s="3"/>
      <c r="V25" s="3"/>
      <c r="W25" s="3"/>
      <c r="X25" s="3"/>
      <c r="Y25" s="3"/>
    </row>
    <row r="26" spans="1:27" ht="18.75" hidden="1" x14ac:dyDescent="0.3">
      <c r="A26" s="1"/>
      <c r="M26" s="102"/>
      <c r="N26" s="3"/>
      <c r="O26" s="3"/>
      <c r="P26" s="3"/>
      <c r="Q26" s="3"/>
      <c r="R26" s="3"/>
      <c r="V26" s="3"/>
      <c r="W26" s="3"/>
      <c r="X26" s="3"/>
      <c r="Y26" s="3"/>
    </row>
    <row r="27" spans="1:27" hidden="1" x14ac:dyDescent="0.25">
      <c r="A27" s="2" t="s">
        <v>75</v>
      </c>
      <c r="M27" s="102"/>
      <c r="N27" s="3"/>
      <c r="O27" s="3"/>
      <c r="P27" s="3"/>
      <c r="Q27" s="3"/>
      <c r="R27" s="3"/>
      <c r="V27" s="3"/>
      <c r="W27" s="3"/>
      <c r="X27" s="3"/>
      <c r="Y27" s="3"/>
    </row>
    <row r="28" spans="1:27" ht="45" hidden="1" x14ac:dyDescent="0.25">
      <c r="A28" s="103" t="s">
        <v>76</v>
      </c>
      <c r="B28" s="85" t="s">
        <v>61</v>
      </c>
      <c r="C28" s="86" t="s">
        <v>77</v>
      </c>
      <c r="D28" s="86" t="s">
        <v>78</v>
      </c>
      <c r="E28" s="86" t="s">
        <v>64</v>
      </c>
      <c r="F28" s="85" t="s">
        <v>65</v>
      </c>
      <c r="G28" s="85" t="s">
        <v>11</v>
      </c>
      <c r="H28" s="86" t="s">
        <v>79</v>
      </c>
      <c r="I28" s="86" t="s">
        <v>80</v>
      </c>
      <c r="J28" s="86" t="s">
        <v>81</v>
      </c>
      <c r="K28" s="86" t="s">
        <v>82</v>
      </c>
      <c r="M28" s="50"/>
      <c r="N28" s="104"/>
    </row>
    <row r="29" spans="1:27" hidden="1" x14ac:dyDescent="0.25">
      <c r="A29" s="88" t="s">
        <v>13</v>
      </c>
      <c r="B29" s="105">
        <f>+B7-B18</f>
        <v>-9.5946586370354581E-9</v>
      </c>
      <c r="C29" s="89">
        <f t="shared" ref="C29:G33" si="14">+C7-C18</f>
        <v>6.3757738578945414E-3</v>
      </c>
      <c r="D29" s="89">
        <f t="shared" si="14"/>
        <v>-1.7516763223929255E-3</v>
      </c>
      <c r="E29" s="89">
        <f t="shared" si="14"/>
        <v>4.6240975355016228E-3</v>
      </c>
      <c r="F29" s="90">
        <f t="shared" si="14"/>
        <v>-4.6241071301602599E-3</v>
      </c>
      <c r="G29" s="32">
        <f t="shared" si="14"/>
        <v>-30832347.111474656</v>
      </c>
      <c r="H29" s="26">
        <f>+H18-H7</f>
        <v>2374091.0714066736</v>
      </c>
      <c r="I29" s="26">
        <f t="shared" ref="I29:J33" si="15">+I18-I7</f>
        <v>753498.60177500092</v>
      </c>
      <c r="J29" s="26">
        <f t="shared" si="15"/>
        <v>2787097.8293002965</v>
      </c>
      <c r="K29" s="26">
        <f>+H29-I29-J29</f>
        <v>-1166505.3596686237</v>
      </c>
      <c r="M29" s="47"/>
      <c r="N29" s="65"/>
    </row>
    <row r="30" spans="1:27" hidden="1" x14ac:dyDescent="0.25">
      <c r="A30" s="95" t="s">
        <v>14</v>
      </c>
      <c r="B30" s="91">
        <f>+B8-B19</f>
        <v>-3.5629271158947595E-4</v>
      </c>
      <c r="C30" s="92">
        <f t="shared" si="14"/>
        <v>6.3757738578945414E-3</v>
      </c>
      <c r="D30" s="92">
        <f t="shared" si="14"/>
        <v>-1.7516763223929255E-3</v>
      </c>
      <c r="E30" s="92">
        <f t="shared" si="14"/>
        <v>4.6240975355016228E-3</v>
      </c>
      <c r="F30" s="93">
        <f t="shared" si="14"/>
        <v>-4.9803902470910988E-3</v>
      </c>
      <c r="G30" s="32">
        <f t="shared" si="14"/>
        <v>-8520199.8724852838</v>
      </c>
      <c r="H30" s="26">
        <f>+H19-H8</f>
        <v>763828.76977265929</v>
      </c>
      <c r="I30" s="26">
        <f t="shared" si="15"/>
        <v>172382.60446661967</v>
      </c>
      <c r="J30" s="26">
        <f t="shared" si="15"/>
        <v>780031.9931919683</v>
      </c>
      <c r="K30" s="26">
        <f t="shared" ref="K30:K33" si="16">+H30-I30-J30</f>
        <v>-188585.82788592868</v>
      </c>
      <c r="M30" s="47"/>
      <c r="N30" s="65"/>
    </row>
    <row r="31" spans="1:27" hidden="1" x14ac:dyDescent="0.25">
      <c r="A31" s="95" t="s">
        <v>15</v>
      </c>
      <c r="B31" s="91">
        <f>+B9-B20</f>
        <v>-8.9389297214248487E-8</v>
      </c>
      <c r="C31" s="92">
        <f t="shared" si="14"/>
        <v>6.3757738578945414E-3</v>
      </c>
      <c r="D31" s="92">
        <f t="shared" si="14"/>
        <v>-1.7516763223929255E-3</v>
      </c>
      <c r="E31" s="92">
        <f t="shared" si="14"/>
        <v>4.6240975355016228E-3</v>
      </c>
      <c r="F31" s="93">
        <f t="shared" si="14"/>
        <v>-4.6241869247988371E-3</v>
      </c>
      <c r="G31" s="32">
        <f t="shared" si="14"/>
        <v>-187754451.27179027</v>
      </c>
      <c r="H31" s="26">
        <f>+H20-H9</f>
        <v>12204065.059304003</v>
      </c>
      <c r="I31" s="26">
        <f t="shared" si="15"/>
        <v>4144779.2503756676</v>
      </c>
      <c r="J31" s="26">
        <f t="shared" si="15"/>
        <v>17094005.330956265</v>
      </c>
      <c r="K31" s="26">
        <f t="shared" si="16"/>
        <v>-9034719.5220279302</v>
      </c>
      <c r="M31" s="47"/>
      <c r="N31" s="65"/>
    </row>
    <row r="32" spans="1:27" hidden="1" x14ac:dyDescent="0.25">
      <c r="A32" s="95" t="s">
        <v>16</v>
      </c>
      <c r="B32" s="91">
        <f>+B10-B21</f>
        <v>-2.964552619196259E-4</v>
      </c>
      <c r="C32" s="92">
        <f t="shared" si="14"/>
        <v>6.3757738578945414E-3</v>
      </c>
      <c r="D32" s="92">
        <f t="shared" si="14"/>
        <v>-1.7516763223929255E-3</v>
      </c>
      <c r="E32" s="92">
        <f t="shared" si="14"/>
        <v>4.6240975355016228E-3</v>
      </c>
      <c r="F32" s="93">
        <f t="shared" si="14"/>
        <v>-4.9205527974212487E-3</v>
      </c>
      <c r="G32" s="32">
        <f t="shared" si="14"/>
        <v>-27741548.529465914</v>
      </c>
      <c r="H32" s="26">
        <f>+H21-H10</f>
        <v>2630759.8642826844</v>
      </c>
      <c r="I32" s="26">
        <f t="shared" si="15"/>
        <v>387713.30747228023</v>
      </c>
      <c r="J32" s="26">
        <f t="shared" si="15"/>
        <v>2587447.581355541</v>
      </c>
      <c r="K32" s="26">
        <f t="shared" si="16"/>
        <v>-344401.02454513684</v>
      </c>
      <c r="M32" s="47"/>
      <c r="N32" s="65"/>
    </row>
    <row r="33" spans="1:14" hidden="1" x14ac:dyDescent="0.25">
      <c r="A33" s="96" t="s">
        <v>17</v>
      </c>
      <c r="B33" s="106">
        <f>+B11-B22</f>
        <v>-3.6882422824180416E-7</v>
      </c>
      <c r="C33" s="97">
        <f t="shared" si="14"/>
        <v>6.3757738578945414E-3</v>
      </c>
      <c r="D33" s="97">
        <f t="shared" si="14"/>
        <v>-1.7516763223929255E-3</v>
      </c>
      <c r="E33" s="97">
        <f t="shared" si="14"/>
        <v>4.6240975355016228E-3</v>
      </c>
      <c r="F33" s="98">
        <f t="shared" si="14"/>
        <v>-4.6244663597298646E-3</v>
      </c>
      <c r="G33" s="32">
        <f t="shared" si="14"/>
        <v>-20970161.303526796</v>
      </c>
      <c r="H33" s="26">
        <f>+H22-H11</f>
        <v>2768092.2739134384</v>
      </c>
      <c r="I33" s="26">
        <f t="shared" si="15"/>
        <v>132299.03121974366</v>
      </c>
      <c r="J33" s="26">
        <f t="shared" si="15"/>
        <v>2000053.9693273641</v>
      </c>
      <c r="K33" s="26">
        <f t="shared" si="16"/>
        <v>635739.27336633066</v>
      </c>
      <c r="M33" s="47"/>
      <c r="N33" s="65"/>
    </row>
    <row r="34" spans="1:14" ht="15.75" hidden="1" thickBot="1" x14ac:dyDescent="0.3">
      <c r="G34" s="23">
        <f>SUM(G29:G33)</f>
        <v>-275818708.08874291</v>
      </c>
      <c r="H34" s="62">
        <f t="shared" ref="H34:J34" si="17">SUM(H29:H33)</f>
        <v>20740837.038679462</v>
      </c>
      <c r="I34" s="62">
        <f t="shared" si="17"/>
        <v>5590672.7953093126</v>
      </c>
      <c r="J34" s="62">
        <f t="shared" si="17"/>
        <v>25248636.704131436</v>
      </c>
      <c r="K34" s="62">
        <f>SUM(K29:K33)</f>
        <v>-10098472.460761288</v>
      </c>
    </row>
    <row r="35" spans="1:14" x14ac:dyDescent="0.25">
      <c r="K35" s="25"/>
    </row>
    <row r="36" spans="1:14" x14ac:dyDescent="0.25">
      <c r="J36" s="6"/>
      <c r="K36" s="47"/>
    </row>
    <row r="37" spans="1:14" x14ac:dyDescent="0.25">
      <c r="J37" s="37"/>
      <c r="K37" s="47"/>
    </row>
    <row r="38" spans="1:14" x14ac:dyDescent="0.25">
      <c r="J38" s="14"/>
    </row>
  </sheetData>
  <pageMargins left="0.7" right="0.7" top="0.75" bottom="0.75" header="0.3" footer="0.3"/>
  <pageSetup paperSize="5"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118"/>
  <sheetViews>
    <sheetView tabSelected="1" topLeftCell="A55" workbookViewId="0">
      <selection activeCell="J63" sqref="J63"/>
    </sheetView>
  </sheetViews>
  <sheetFormatPr defaultRowHeight="15" x14ac:dyDescent="0.25"/>
  <cols>
    <col min="1" max="1" width="9.140625" style="329"/>
    <col min="2" max="2" width="3.140625" style="329" customWidth="1"/>
    <col min="3" max="3" width="49" style="329" customWidth="1"/>
    <col min="4" max="4" width="5.42578125" style="329" bestFit="1" customWidth="1"/>
    <col min="5" max="5" width="14.28515625" style="329" bestFit="1" customWidth="1"/>
    <col min="6" max="6" width="14" style="329" customWidth="1"/>
    <col min="7" max="7" width="11.5703125" style="329" bestFit="1" customWidth="1"/>
    <col min="8" max="8" width="9" style="329" bestFit="1" customWidth="1"/>
    <col min="9" max="9" width="12.28515625" style="329" bestFit="1" customWidth="1"/>
    <col min="10" max="10" width="10.85546875" style="329" bestFit="1" customWidth="1"/>
    <col min="11" max="11" width="9.140625" style="329"/>
    <col min="12" max="12" width="15.28515625" style="329" bestFit="1" customWidth="1"/>
    <col min="13" max="13" width="13.7109375" style="329" bestFit="1" customWidth="1"/>
    <col min="14" max="16" width="14.140625" style="329" bestFit="1" customWidth="1"/>
    <col min="17" max="17" width="14.42578125" style="329" bestFit="1" customWidth="1"/>
    <col min="18" max="20" width="14.28515625" style="329" bestFit="1" customWidth="1"/>
    <col min="21" max="21" width="15.28515625" style="329" bestFit="1" customWidth="1"/>
    <col min="22" max="22" width="14" style="329" bestFit="1" customWidth="1"/>
    <col min="23" max="23" width="15" style="329" bestFit="1" customWidth="1"/>
    <col min="24" max="24" width="13.28515625" style="329" bestFit="1" customWidth="1"/>
    <col min="25" max="25" width="12.28515625" style="329" bestFit="1" customWidth="1"/>
    <col min="26" max="26" width="13.140625" style="329" customWidth="1"/>
    <col min="27" max="27" width="11.42578125" style="329" customWidth="1"/>
    <col min="28" max="28" width="13.42578125" style="329" customWidth="1"/>
    <col min="29" max="29" width="12.5703125" style="329" bestFit="1" customWidth="1"/>
    <col min="30" max="30" width="20.140625" style="329" customWidth="1"/>
    <col min="31" max="31" width="15.28515625" style="329" bestFit="1" customWidth="1"/>
    <col min="32" max="33" width="14.28515625" style="329" bestFit="1" customWidth="1"/>
    <col min="34" max="35" width="14.140625" style="329" customWidth="1"/>
    <col min="36" max="37" width="14.28515625" style="329" bestFit="1" customWidth="1"/>
    <col min="38" max="38" width="14.140625" style="329" customWidth="1"/>
    <col min="39" max="40" width="14.28515625" style="329" bestFit="1" customWidth="1"/>
    <col min="41" max="41" width="14.42578125" style="329" bestFit="1" customWidth="1"/>
    <col min="42" max="42" width="14.28515625" style="329" customWidth="1"/>
    <col min="43" max="43" width="14.28515625" style="329" bestFit="1" customWidth="1"/>
    <col min="44" max="44" width="15.28515625" style="329" bestFit="1" customWidth="1"/>
    <col min="45" max="45" width="14.28515625" style="329" bestFit="1" customWidth="1"/>
    <col min="46" max="46" width="9.140625" style="329"/>
    <col min="47" max="47" width="15.28515625" style="329" bestFit="1" customWidth="1"/>
    <col min="48" max="16384" width="9.140625" style="329"/>
  </cols>
  <sheetData>
    <row r="1" spans="2:47" ht="21" x14ac:dyDescent="0.35">
      <c r="B1" s="410" t="s">
        <v>214</v>
      </c>
      <c r="L1" s="330"/>
      <c r="M1" s="331"/>
      <c r="N1" s="331"/>
      <c r="O1" s="331"/>
      <c r="P1" s="331"/>
      <c r="Q1" s="331"/>
      <c r="R1" s="331"/>
      <c r="S1" s="331"/>
      <c r="T1" s="331"/>
      <c r="U1" s="331"/>
      <c r="V1" s="331"/>
      <c r="W1" s="331"/>
      <c r="X1" s="331"/>
      <c r="Y1" s="331"/>
      <c r="Z1" s="331"/>
      <c r="AA1" s="331"/>
      <c r="AB1" s="331"/>
    </row>
    <row r="2" spans="2:47" ht="34.5" customHeight="1" x14ac:dyDescent="0.25">
      <c r="B2" s="332" t="s">
        <v>209</v>
      </c>
      <c r="C2" s="333"/>
      <c r="D2" s="333"/>
      <c r="E2" s="411">
        <v>2018</v>
      </c>
      <c r="F2" s="333"/>
      <c r="G2" s="333"/>
      <c r="H2" s="333"/>
      <c r="M2" s="331"/>
      <c r="N2" s="331"/>
      <c r="O2" s="331"/>
      <c r="P2" s="331"/>
      <c r="Q2" s="331"/>
      <c r="R2" s="331"/>
      <c r="S2" s="331"/>
      <c r="T2" s="331"/>
      <c r="U2" s="331"/>
      <c r="V2" s="331"/>
      <c r="W2" s="331"/>
      <c r="X2" s="331"/>
      <c r="Y2" s="331"/>
      <c r="Z2" s="331"/>
      <c r="AA2" s="331"/>
      <c r="AB2" s="331"/>
    </row>
    <row r="3" spans="2:47" x14ac:dyDescent="0.25">
      <c r="B3" s="333"/>
      <c r="C3" s="333"/>
      <c r="D3" s="333"/>
      <c r="E3" s="333"/>
      <c r="F3" s="333"/>
      <c r="G3" s="333"/>
      <c r="H3" s="333"/>
      <c r="M3" s="331"/>
      <c r="N3" s="331"/>
      <c r="O3" s="331"/>
      <c r="P3" s="331"/>
      <c r="Q3" s="331"/>
      <c r="R3" s="331"/>
      <c r="S3" s="331"/>
      <c r="T3" s="331"/>
      <c r="U3" s="331"/>
      <c r="V3" s="331"/>
      <c r="W3" s="331"/>
      <c r="X3" s="331"/>
      <c r="Y3" s="331"/>
      <c r="Z3" s="331"/>
      <c r="AA3" s="331"/>
      <c r="AB3" s="331"/>
    </row>
    <row r="4" spans="2:47" ht="18" x14ac:dyDescent="0.35">
      <c r="B4" s="334" t="s">
        <v>137</v>
      </c>
      <c r="C4" s="335"/>
      <c r="D4" s="336"/>
      <c r="E4" s="337">
        <v>0</v>
      </c>
      <c r="F4" s="336"/>
      <c r="M4" s="338"/>
      <c r="N4" s="331"/>
      <c r="O4" s="338"/>
      <c r="P4" s="331"/>
      <c r="Q4" s="338"/>
      <c r="R4" s="331"/>
      <c r="S4" s="338"/>
      <c r="T4" s="339"/>
      <c r="U4" s="338"/>
      <c r="V4" s="338"/>
      <c r="W4" s="331"/>
      <c r="X4" s="331"/>
      <c r="Y4" s="331"/>
      <c r="Z4" s="331"/>
      <c r="AA4" s="331"/>
      <c r="AB4" s="331"/>
    </row>
    <row r="5" spans="2:47" ht="16.5" x14ac:dyDescent="0.3">
      <c r="B5" s="340"/>
      <c r="C5" s="340"/>
      <c r="D5" s="340"/>
      <c r="E5" s="341"/>
      <c r="F5" s="342"/>
      <c r="M5" s="331"/>
      <c r="N5" s="331"/>
      <c r="O5" s="331"/>
      <c r="P5" s="331"/>
      <c r="Q5" s="331"/>
      <c r="R5" s="331"/>
      <c r="S5" s="331"/>
      <c r="T5" s="331"/>
      <c r="U5" s="331"/>
      <c r="V5" s="331"/>
      <c r="W5" s="331"/>
      <c r="X5" s="331"/>
      <c r="Y5" s="331"/>
      <c r="Z5" s="331"/>
      <c r="AA5" s="331"/>
      <c r="AB5" s="331"/>
      <c r="AE5" s="343"/>
      <c r="AF5" s="343"/>
      <c r="AG5" s="343"/>
      <c r="AH5" s="343"/>
      <c r="AI5" s="343"/>
      <c r="AJ5" s="343"/>
      <c r="AK5" s="343"/>
      <c r="AL5" s="343"/>
      <c r="AM5" s="343"/>
      <c r="AN5" s="343"/>
      <c r="AO5" s="343"/>
      <c r="AP5" s="343"/>
      <c r="AQ5" s="343"/>
      <c r="AR5" s="343"/>
      <c r="AS5" s="343"/>
    </row>
    <row r="6" spans="2:47" ht="16.5" x14ac:dyDescent="0.3">
      <c r="B6" s="340"/>
      <c r="C6" s="340"/>
      <c r="D6" s="344"/>
      <c r="E6" s="344"/>
      <c r="F6" s="344"/>
      <c r="M6" s="345"/>
      <c r="N6" s="345"/>
      <c r="O6" s="345"/>
      <c r="P6" s="345"/>
      <c r="Q6" s="345"/>
      <c r="R6" s="345"/>
      <c r="S6" s="345"/>
      <c r="T6" s="345"/>
      <c r="U6" s="345"/>
      <c r="V6" s="345"/>
      <c r="W6" s="331"/>
      <c r="X6" s="331"/>
      <c r="Y6" s="331"/>
      <c r="Z6" s="331"/>
      <c r="AA6" s="331"/>
      <c r="AB6" s="331"/>
      <c r="AE6" s="346"/>
      <c r="AF6" s="346"/>
      <c r="AG6" s="346"/>
      <c r="AH6" s="346"/>
      <c r="AI6" s="346"/>
      <c r="AP6" s="346"/>
      <c r="AQ6" s="346"/>
      <c r="AR6" s="346"/>
      <c r="AS6" s="346"/>
    </row>
    <row r="7" spans="2:47" ht="16.5" x14ac:dyDescent="0.3">
      <c r="B7" s="340"/>
      <c r="C7" s="347" t="s">
        <v>201</v>
      </c>
      <c r="D7" s="344"/>
      <c r="E7" s="348">
        <v>-28706181.999999985</v>
      </c>
      <c r="F7" s="349"/>
      <c r="G7" s="346"/>
      <c r="M7" s="345"/>
      <c r="N7" s="345"/>
      <c r="O7" s="345"/>
      <c r="P7" s="345"/>
      <c r="Q7" s="345"/>
      <c r="R7" s="345"/>
      <c r="S7" s="345"/>
      <c r="T7" s="345"/>
      <c r="U7" s="345"/>
      <c r="V7" s="345"/>
      <c r="W7" s="331"/>
      <c r="X7" s="331"/>
      <c r="Y7" s="331"/>
      <c r="Z7" s="331"/>
      <c r="AA7" s="331"/>
      <c r="AB7" s="331"/>
      <c r="AE7" s="346"/>
      <c r="AF7" s="346"/>
      <c r="AG7" s="346"/>
      <c r="AH7" s="346"/>
      <c r="AI7" s="346"/>
      <c r="AJ7" s="346"/>
      <c r="AK7" s="346"/>
      <c r="AL7" s="346"/>
      <c r="AM7" s="346"/>
      <c r="AN7" s="346"/>
      <c r="AO7" s="346"/>
      <c r="AP7" s="346"/>
      <c r="AQ7" s="346"/>
      <c r="AR7" s="346"/>
      <c r="AS7" s="346"/>
    </row>
    <row r="8" spans="2:47" ht="16.5" x14ac:dyDescent="0.3">
      <c r="B8" s="340"/>
      <c r="C8" s="347"/>
      <c r="D8" s="344"/>
      <c r="E8" s="344"/>
      <c r="F8" s="349"/>
      <c r="M8" s="345"/>
      <c r="N8" s="345"/>
      <c r="O8" s="345"/>
      <c r="P8" s="345"/>
      <c r="Q8" s="345"/>
      <c r="R8" s="345"/>
      <c r="S8" s="345"/>
      <c r="T8" s="345"/>
      <c r="U8" s="345"/>
      <c r="V8" s="345"/>
      <c r="W8" s="331"/>
      <c r="X8" s="331"/>
      <c r="Y8" s="331"/>
      <c r="Z8" s="331"/>
      <c r="AA8" s="331"/>
      <c r="AB8" s="331"/>
      <c r="AI8" s="346"/>
      <c r="AP8" s="346"/>
      <c r="AQ8" s="346"/>
      <c r="AR8" s="346"/>
      <c r="AS8" s="346"/>
    </row>
    <row r="9" spans="2:47" ht="16.5" x14ac:dyDescent="0.3">
      <c r="B9" s="340"/>
      <c r="C9" s="347"/>
      <c r="D9" s="344"/>
      <c r="E9" s="344"/>
      <c r="F9" s="349"/>
      <c r="M9" s="331"/>
      <c r="N9" s="331"/>
      <c r="O9" s="331"/>
      <c r="P9" s="331"/>
      <c r="Q9" s="331"/>
      <c r="R9" s="331"/>
      <c r="S9" s="331"/>
      <c r="T9" s="331"/>
      <c r="U9" s="331"/>
      <c r="V9" s="331"/>
      <c r="W9" s="331"/>
      <c r="X9" s="331"/>
      <c r="Y9" s="331"/>
      <c r="Z9" s="331"/>
      <c r="AA9" s="331"/>
      <c r="AB9" s="331"/>
    </row>
    <row r="10" spans="2:47" ht="16.5" x14ac:dyDescent="0.3">
      <c r="B10" s="340"/>
      <c r="C10" s="347" t="s">
        <v>90</v>
      </c>
      <c r="D10" s="344"/>
      <c r="E10" s="344"/>
      <c r="F10" s="349"/>
      <c r="M10" s="350"/>
      <c r="N10" s="350"/>
      <c r="O10" s="350"/>
      <c r="P10" s="350"/>
      <c r="Q10" s="350"/>
      <c r="R10" s="350"/>
      <c r="S10" s="350"/>
      <c r="T10" s="350"/>
      <c r="U10" s="350"/>
      <c r="V10" s="350"/>
      <c r="W10" s="350"/>
      <c r="X10" s="350"/>
      <c r="Y10" s="331"/>
      <c r="Z10" s="331"/>
      <c r="AA10" s="331"/>
      <c r="AB10" s="331"/>
      <c r="AI10" s="351"/>
      <c r="AP10" s="351"/>
      <c r="AQ10" s="351"/>
      <c r="AR10" s="351"/>
      <c r="AS10" s="351"/>
      <c r="AU10" s="352"/>
    </row>
    <row r="11" spans="2:47" ht="16.5" x14ac:dyDescent="0.3">
      <c r="B11" s="340"/>
      <c r="C11" s="347" t="s">
        <v>91</v>
      </c>
      <c r="D11" s="353">
        <v>1142</v>
      </c>
      <c r="E11" s="344">
        <v>-15940699.5</v>
      </c>
      <c r="F11" s="412" t="s">
        <v>215</v>
      </c>
      <c r="G11" s="413"/>
      <c r="H11" s="414"/>
      <c r="I11" s="415"/>
      <c r="M11" s="354"/>
      <c r="N11" s="354"/>
      <c r="O11" s="354"/>
      <c r="P11" s="354"/>
      <c r="Q11" s="354"/>
      <c r="R11" s="354"/>
      <c r="S11" s="354"/>
      <c r="T11" s="354"/>
      <c r="U11" s="354"/>
      <c r="V11" s="354"/>
      <c r="W11" s="354"/>
      <c r="X11" s="354"/>
      <c r="Y11" s="345"/>
      <c r="Z11" s="331"/>
      <c r="AA11" s="331"/>
      <c r="AB11" s="331"/>
      <c r="AI11" s="351"/>
      <c r="AP11" s="351"/>
      <c r="AQ11" s="351"/>
      <c r="AR11" s="351"/>
      <c r="AS11" s="351"/>
    </row>
    <row r="12" spans="2:47" ht="16.5" x14ac:dyDescent="0.3">
      <c r="B12" s="340"/>
      <c r="C12" s="347" t="s">
        <v>196</v>
      </c>
      <c r="D12" s="353">
        <v>148</v>
      </c>
      <c r="E12" s="344">
        <v>44058586.209999993</v>
      </c>
      <c r="F12" s="413"/>
      <c r="G12" s="413"/>
      <c r="H12" s="414"/>
      <c r="I12" s="415"/>
      <c r="M12" s="354"/>
      <c r="N12" s="354"/>
      <c r="O12" s="354"/>
      <c r="P12" s="354"/>
      <c r="Q12" s="354"/>
      <c r="R12" s="354"/>
      <c r="S12" s="354"/>
      <c r="T12" s="354"/>
      <c r="U12" s="354"/>
      <c r="V12" s="354"/>
      <c r="W12" s="354"/>
      <c r="X12" s="354"/>
      <c r="Y12" s="345"/>
      <c r="Z12" s="331"/>
      <c r="AA12" s="331"/>
      <c r="AB12" s="331"/>
    </row>
    <row r="13" spans="2:47" ht="16.5" x14ac:dyDescent="0.3">
      <c r="B13" s="340"/>
      <c r="C13" s="347" t="s">
        <v>204</v>
      </c>
      <c r="D13" s="353">
        <v>148</v>
      </c>
      <c r="E13" s="344">
        <f>O50-E12</f>
        <v>918918.65031391382</v>
      </c>
      <c r="F13" s="349"/>
      <c r="G13" s="346"/>
      <c r="M13" s="331"/>
      <c r="N13" s="331"/>
      <c r="O13" s="331"/>
      <c r="P13" s="331"/>
      <c r="Q13" s="331"/>
      <c r="R13" s="331"/>
      <c r="S13" s="331"/>
      <c r="T13" s="331"/>
      <c r="U13" s="331"/>
      <c r="V13" s="331"/>
      <c r="W13" s="331"/>
      <c r="X13" s="331"/>
      <c r="Y13" s="331"/>
      <c r="Z13" s="331"/>
      <c r="AA13" s="331"/>
      <c r="AB13" s="331"/>
      <c r="AD13" s="344"/>
      <c r="AE13" s="344"/>
      <c r="AF13" s="344"/>
      <c r="AG13" s="344"/>
      <c r="AH13" s="344"/>
      <c r="AI13" s="344"/>
      <c r="AJ13" s="344"/>
      <c r="AK13" s="344"/>
      <c r="AL13" s="344"/>
      <c r="AM13" s="344"/>
      <c r="AN13" s="344"/>
      <c r="AO13" s="344"/>
      <c r="AP13" s="344"/>
      <c r="AQ13" s="344"/>
      <c r="AR13" s="344"/>
      <c r="AS13" s="346"/>
    </row>
    <row r="14" spans="2:47" x14ac:dyDescent="0.25">
      <c r="B14" s="333"/>
      <c r="C14" s="347" t="s">
        <v>126</v>
      </c>
      <c r="D14" s="353">
        <v>1142</v>
      </c>
      <c r="E14" s="344">
        <v>-330623</v>
      </c>
      <c r="F14" s="416" t="s">
        <v>216</v>
      </c>
      <c r="M14" s="331"/>
      <c r="N14" s="331"/>
      <c r="O14" s="331"/>
      <c r="P14" s="331"/>
      <c r="Q14" s="331"/>
      <c r="R14" s="331"/>
      <c r="S14" s="331"/>
      <c r="T14" s="331"/>
      <c r="U14" s="331"/>
      <c r="V14" s="331"/>
      <c r="W14" s="331"/>
      <c r="X14" s="331"/>
      <c r="Y14" s="331"/>
      <c r="Z14" s="331"/>
      <c r="AA14" s="331"/>
      <c r="AB14" s="331"/>
    </row>
    <row r="15" spans="2:47" ht="16.5" x14ac:dyDescent="0.3">
      <c r="B15" s="340"/>
      <c r="C15" s="340"/>
      <c r="D15" s="344"/>
      <c r="E15" s="344"/>
      <c r="F15" s="344"/>
      <c r="M15" s="331"/>
      <c r="N15" s="331"/>
      <c r="O15" s="331"/>
      <c r="P15" s="331"/>
      <c r="Q15" s="331"/>
      <c r="R15" s="331"/>
      <c r="S15" s="331"/>
      <c r="T15" s="331"/>
      <c r="U15" s="331"/>
      <c r="V15" s="331"/>
      <c r="W15" s="331"/>
      <c r="X15" s="331"/>
      <c r="Y15" s="331"/>
      <c r="Z15" s="331"/>
      <c r="AA15" s="331"/>
      <c r="AB15" s="331"/>
    </row>
    <row r="16" spans="2:47" ht="18.75" thickBot="1" x14ac:dyDescent="0.4">
      <c r="B16" s="334" t="s">
        <v>92</v>
      </c>
      <c r="C16" s="335"/>
      <c r="D16" s="344"/>
      <c r="E16" s="355">
        <f>SUM(E4:E15)</f>
        <v>0.36031392216682434</v>
      </c>
      <c r="F16" s="344"/>
      <c r="M16" s="338"/>
      <c r="N16" s="356"/>
      <c r="O16" s="356"/>
      <c r="P16" s="356"/>
      <c r="Q16" s="356"/>
      <c r="R16" s="356"/>
      <c r="S16" s="356"/>
      <c r="T16" s="356"/>
      <c r="U16" s="356"/>
      <c r="V16" s="357"/>
      <c r="W16" s="357"/>
      <c r="X16" s="331"/>
      <c r="Y16" s="331"/>
      <c r="Z16" s="331"/>
      <c r="AA16" s="331"/>
      <c r="AB16" s="331"/>
    </row>
    <row r="17" spans="2:45" ht="15.75" thickBot="1" x14ac:dyDescent="0.3">
      <c r="B17" s="333"/>
      <c r="C17" s="333"/>
      <c r="D17" s="344"/>
      <c r="E17" s="344"/>
      <c r="F17" s="344"/>
      <c r="M17" s="338"/>
      <c r="N17" s="356"/>
      <c r="O17" s="356"/>
      <c r="P17" s="356"/>
      <c r="Q17" s="356"/>
      <c r="R17" s="356"/>
      <c r="S17" s="356"/>
      <c r="T17" s="356"/>
      <c r="U17" s="356"/>
      <c r="V17" s="357"/>
      <c r="W17" s="357"/>
      <c r="X17" s="331"/>
      <c r="Y17" s="331"/>
      <c r="Z17" s="331"/>
      <c r="AA17" s="331"/>
      <c r="AB17" s="331"/>
    </row>
    <row r="18" spans="2:45" ht="15.75" thickBot="1" x14ac:dyDescent="0.3">
      <c r="B18" s="358" t="s">
        <v>93</v>
      </c>
      <c r="C18" s="359"/>
      <c r="D18" s="360"/>
      <c r="E18" s="361">
        <f>E11+E14</f>
        <v>-16271322.5</v>
      </c>
      <c r="F18" s="344"/>
      <c r="M18" s="362"/>
      <c r="N18" s="363"/>
      <c r="O18" s="363"/>
      <c r="P18" s="363"/>
      <c r="Q18" s="363"/>
      <c r="R18" s="363"/>
      <c r="S18" s="363"/>
      <c r="T18" s="363"/>
      <c r="U18" s="363"/>
      <c r="V18" s="352"/>
      <c r="W18" s="352"/>
      <c r="AE18" s="346"/>
      <c r="AF18" s="346"/>
      <c r="AG18" s="346"/>
      <c r="AH18" s="346"/>
      <c r="AI18" s="346"/>
      <c r="AJ18" s="346"/>
      <c r="AK18" s="346"/>
      <c r="AL18" s="346"/>
      <c r="AM18" s="346"/>
      <c r="AN18" s="346"/>
      <c r="AO18" s="346"/>
      <c r="AP18" s="346"/>
      <c r="AQ18" s="346"/>
      <c r="AR18" s="346"/>
      <c r="AS18" s="346"/>
    </row>
    <row r="19" spans="2:45" x14ac:dyDescent="0.25">
      <c r="B19" s="333"/>
      <c r="C19" s="333"/>
      <c r="D19" s="333"/>
      <c r="E19" s="354"/>
      <c r="F19" s="354"/>
      <c r="G19" s="344"/>
      <c r="H19" s="344"/>
      <c r="M19" s="362"/>
      <c r="N19" s="363"/>
      <c r="O19" s="363"/>
      <c r="P19" s="363"/>
      <c r="Q19" s="363"/>
      <c r="R19" s="363"/>
      <c r="S19" s="363"/>
      <c r="T19" s="363"/>
      <c r="U19" s="363"/>
      <c r="V19" s="352"/>
      <c r="W19" s="352"/>
      <c r="AE19" s="346"/>
      <c r="AF19" s="346"/>
      <c r="AG19" s="346"/>
      <c r="AH19" s="346"/>
      <c r="AI19" s="346"/>
      <c r="AJ19" s="346"/>
      <c r="AK19" s="346"/>
      <c r="AL19" s="346"/>
      <c r="AM19" s="346"/>
      <c r="AN19" s="346"/>
      <c r="AO19" s="346"/>
      <c r="AP19" s="346"/>
      <c r="AQ19" s="346"/>
      <c r="AR19" s="346"/>
      <c r="AS19" s="346"/>
    </row>
    <row r="20" spans="2:45" x14ac:dyDescent="0.25">
      <c r="B20" s="330" t="s">
        <v>94</v>
      </c>
      <c r="C20" s="333"/>
      <c r="D20" s="333"/>
      <c r="E20" s="364" t="s">
        <v>185</v>
      </c>
      <c r="F20" s="365" t="s">
        <v>95</v>
      </c>
      <c r="G20" s="364" t="s">
        <v>104</v>
      </c>
      <c r="H20" s="344"/>
      <c r="M20" s="362"/>
      <c r="N20" s="363"/>
      <c r="O20" s="363"/>
      <c r="P20" s="363"/>
      <c r="Q20" s="363"/>
      <c r="R20" s="363"/>
      <c r="S20" s="363"/>
      <c r="T20" s="363"/>
      <c r="U20" s="363"/>
      <c r="V20" s="352"/>
      <c r="W20" s="352"/>
      <c r="AE20" s="346"/>
      <c r="AF20" s="346"/>
      <c r="AG20" s="346"/>
      <c r="AH20" s="346"/>
      <c r="AI20" s="346"/>
      <c r="AJ20" s="346"/>
      <c r="AK20" s="346"/>
      <c r="AL20" s="346"/>
      <c r="AM20" s="346"/>
      <c r="AN20" s="346"/>
      <c r="AO20" s="346"/>
      <c r="AP20" s="346"/>
      <c r="AQ20" s="346"/>
      <c r="AR20" s="346"/>
      <c r="AS20" s="346"/>
    </row>
    <row r="21" spans="2:45" x14ac:dyDescent="0.25">
      <c r="B21" s="366" t="s">
        <v>131</v>
      </c>
      <c r="C21" s="333" t="s">
        <v>96</v>
      </c>
      <c r="D21" s="333"/>
      <c r="E21" s="344">
        <f>'Whitby - 2018'!E72</f>
        <v>41552033.5</v>
      </c>
      <c r="F21" s="344">
        <f>'Whitby 2018 RPP 2nd TU'!H23</f>
        <v>41275099.038679466</v>
      </c>
      <c r="G21" s="344">
        <f>E21-F21</f>
        <v>276934.46132053435</v>
      </c>
      <c r="H21" s="367">
        <f>G21/F21</f>
        <v>6.7094802379762978E-3</v>
      </c>
      <c r="I21" s="368" t="s">
        <v>116</v>
      </c>
      <c r="M21" s="362"/>
      <c r="N21" s="363"/>
      <c r="O21" s="363"/>
      <c r="P21" s="363"/>
      <c r="Q21" s="363"/>
      <c r="R21" s="363"/>
      <c r="S21" s="363"/>
      <c r="T21" s="363"/>
      <c r="U21" s="363"/>
      <c r="V21" s="352"/>
      <c r="W21" s="352"/>
      <c r="AI21" s="352"/>
    </row>
    <row r="22" spans="2:45" x14ac:dyDescent="0.25">
      <c r="B22" s="366" t="s">
        <v>132</v>
      </c>
      <c r="C22" s="333" t="s">
        <v>106</v>
      </c>
      <c r="D22" s="333"/>
      <c r="E22" s="344">
        <f>'Whitby - 2018'!E84</f>
        <v>12845852</v>
      </c>
      <c r="F22" s="344">
        <f>'Whitby 2018 RPP 2nd TU'!I23</f>
        <v>12760237.439070674</v>
      </c>
      <c r="G22" s="344">
        <f>E22-F22</f>
        <v>85614.560929326341</v>
      </c>
      <c r="H22" s="367">
        <f>G22/F22</f>
        <v>6.7094802379760133E-3</v>
      </c>
      <c r="I22" s="368" t="s">
        <v>120</v>
      </c>
      <c r="M22" s="362"/>
      <c r="N22" s="363"/>
      <c r="O22" s="363"/>
      <c r="P22" s="363"/>
      <c r="Q22" s="363"/>
      <c r="R22" s="363"/>
      <c r="S22" s="363"/>
      <c r="T22" s="363"/>
      <c r="U22" s="363"/>
      <c r="V22" s="352"/>
      <c r="W22" s="352"/>
      <c r="AE22" s="369"/>
      <c r="AF22" s="369"/>
      <c r="AG22" s="369"/>
      <c r="AH22" s="369"/>
      <c r="AI22" s="346"/>
      <c r="AJ22" s="369"/>
      <c r="AK22" s="369"/>
      <c r="AL22" s="369"/>
      <c r="AM22" s="369"/>
      <c r="AN22" s="369"/>
      <c r="AO22" s="369"/>
      <c r="AQ22" s="369"/>
      <c r="AR22" s="369"/>
    </row>
    <row r="23" spans="2:45" x14ac:dyDescent="0.25">
      <c r="B23" s="370" t="s">
        <v>133</v>
      </c>
      <c r="C23" s="333" t="s">
        <v>97</v>
      </c>
      <c r="D23" s="333"/>
      <c r="E23" s="344">
        <f>E12+E13</f>
        <v>44977504.860313907</v>
      </c>
      <c r="F23" s="344">
        <f>'Whitby 2018 RPP 2nd TU'!J23</f>
        <v>45139435.454131439</v>
      </c>
      <c r="G23" s="344">
        <f>E23-F23</f>
        <v>-161930.59381753206</v>
      </c>
      <c r="H23" s="367">
        <f>G23/F23</f>
        <v>-3.5873420256236541E-3</v>
      </c>
      <c r="I23" s="368" t="s">
        <v>123</v>
      </c>
      <c r="M23" s="362"/>
      <c r="N23" s="363"/>
      <c r="O23" s="363"/>
      <c r="P23" s="363"/>
      <c r="Q23" s="363"/>
      <c r="R23" s="363"/>
      <c r="S23" s="363"/>
      <c r="T23" s="363"/>
      <c r="U23" s="363"/>
      <c r="V23" s="352"/>
      <c r="W23" s="352"/>
    </row>
    <row r="24" spans="2:45" ht="15.75" thickBot="1" x14ac:dyDescent="0.3">
      <c r="B24" s="333"/>
      <c r="C24" s="333" t="s">
        <v>200</v>
      </c>
      <c r="D24" s="333"/>
      <c r="E24" s="355">
        <f>E21-E22-E23</f>
        <v>-16271323.360313907</v>
      </c>
      <c r="F24" s="355">
        <f>F21-F22-F23</f>
        <v>-16624573.854522645</v>
      </c>
      <c r="G24" s="355">
        <f>G21-G22-G23</f>
        <v>353250.49420874007</v>
      </c>
      <c r="H24" s="367">
        <f>G24/F24</f>
        <v>-2.1248694691361352E-2</v>
      </c>
      <c r="M24" s="362"/>
      <c r="N24" s="363"/>
      <c r="O24" s="363"/>
      <c r="P24" s="363"/>
      <c r="Q24" s="363"/>
      <c r="R24" s="363"/>
      <c r="S24" s="363"/>
      <c r="T24" s="363"/>
      <c r="U24" s="363"/>
      <c r="V24" s="352"/>
      <c r="W24" s="352"/>
      <c r="AE24" s="346"/>
      <c r="AF24" s="346"/>
      <c r="AG24" s="346"/>
      <c r="AH24" s="346"/>
      <c r="AI24" s="346"/>
      <c r="AJ24" s="346"/>
      <c r="AK24" s="346"/>
      <c r="AL24" s="346"/>
      <c r="AM24" s="346"/>
      <c r="AN24" s="346"/>
      <c r="AO24" s="346"/>
      <c r="AP24" s="346"/>
      <c r="AQ24" s="346"/>
      <c r="AR24" s="346"/>
      <c r="AS24" s="346"/>
    </row>
    <row r="25" spans="2:45" x14ac:dyDescent="0.25">
      <c r="B25" s="333"/>
      <c r="C25" s="333"/>
      <c r="D25" s="333"/>
      <c r="F25" s="346"/>
      <c r="G25" s="346"/>
      <c r="M25" s="362"/>
      <c r="N25" s="363"/>
      <c r="O25" s="363"/>
      <c r="P25" s="363"/>
      <c r="Q25" s="363"/>
      <c r="R25" s="363"/>
      <c r="S25" s="363"/>
      <c r="T25" s="363"/>
      <c r="U25" s="363"/>
      <c r="V25" s="352"/>
      <c r="W25" s="352"/>
      <c r="AE25" s="346"/>
      <c r="AF25" s="346"/>
      <c r="AG25" s="346"/>
      <c r="AH25" s="346"/>
      <c r="AI25" s="346"/>
      <c r="AJ25" s="346"/>
      <c r="AK25" s="346"/>
      <c r="AL25" s="346"/>
      <c r="AM25" s="346"/>
      <c r="AN25" s="346"/>
      <c r="AO25" s="346"/>
      <c r="AP25" s="346"/>
      <c r="AQ25" s="346"/>
      <c r="AR25" s="346"/>
      <c r="AS25" s="346"/>
    </row>
    <row r="26" spans="2:45" x14ac:dyDescent="0.25">
      <c r="C26" s="330" t="s">
        <v>194</v>
      </c>
      <c r="E26" s="343"/>
      <c r="M26" s="362"/>
      <c r="N26" s="363"/>
      <c r="O26" s="363"/>
      <c r="P26" s="363"/>
      <c r="Q26" s="363"/>
      <c r="R26" s="363"/>
      <c r="S26" s="363"/>
      <c r="T26" s="363"/>
      <c r="U26" s="363"/>
      <c r="V26" s="352"/>
      <c r="W26" s="352"/>
      <c r="AE26" s="346"/>
      <c r="AF26" s="346"/>
      <c r="AG26" s="346"/>
      <c r="AH26" s="346"/>
      <c r="AI26" s="346"/>
      <c r="AJ26" s="346"/>
      <c r="AK26" s="346"/>
      <c r="AL26" s="346"/>
      <c r="AM26" s="346"/>
      <c r="AN26" s="346"/>
      <c r="AO26" s="346"/>
      <c r="AP26" s="346"/>
      <c r="AQ26" s="346"/>
      <c r="AR26" s="346"/>
      <c r="AS26" s="346"/>
    </row>
    <row r="27" spans="2:45" x14ac:dyDescent="0.25">
      <c r="B27" s="368" t="s">
        <v>116</v>
      </c>
      <c r="E27" s="371" t="s">
        <v>121</v>
      </c>
      <c r="F27" s="371" t="s">
        <v>122</v>
      </c>
      <c r="G27" s="371" t="s">
        <v>193</v>
      </c>
      <c r="H27" s="371" t="s">
        <v>118</v>
      </c>
      <c r="I27" s="371" t="s">
        <v>119</v>
      </c>
      <c r="M27" s="362"/>
      <c r="N27" s="363"/>
      <c r="O27" s="363"/>
      <c r="P27" s="363"/>
      <c r="Q27" s="363"/>
      <c r="R27" s="363"/>
      <c r="S27" s="363"/>
      <c r="T27" s="363"/>
      <c r="U27" s="363"/>
      <c r="V27" s="352"/>
      <c r="W27" s="352"/>
      <c r="AE27" s="346"/>
      <c r="AF27" s="346"/>
      <c r="AG27" s="346"/>
      <c r="AH27" s="346"/>
    </row>
    <row r="28" spans="2:45" x14ac:dyDescent="0.25">
      <c r="C28" s="329" t="s">
        <v>13</v>
      </c>
      <c r="E28" s="344">
        <f>'Whitby - 2018'!D33</f>
        <v>36075280.310000002</v>
      </c>
      <c r="F28" s="344">
        <f>'Whitby - 2018'!D16</f>
        <v>35834847.111474656</v>
      </c>
      <c r="G28" s="344">
        <f>E28-F28</f>
        <v>240433.19852534682</v>
      </c>
      <c r="H28" s="372">
        <f>'Whitby - 2018'!E33</f>
        <v>7.7000009594658636E-2</v>
      </c>
      <c r="I28" s="344">
        <f>G28*H28</f>
        <v>18513.358593326171</v>
      </c>
      <c r="N28" s="363"/>
      <c r="O28" s="363"/>
      <c r="P28" s="363"/>
      <c r="Q28" s="363"/>
      <c r="R28" s="363"/>
      <c r="S28" s="363"/>
      <c r="T28" s="363"/>
      <c r="U28" s="363"/>
      <c r="V28" s="352"/>
      <c r="W28" s="352"/>
      <c r="AI28" s="346"/>
      <c r="AP28" s="346"/>
      <c r="AQ28" s="346"/>
      <c r="AR28" s="346"/>
    </row>
    <row r="29" spans="2:45" x14ac:dyDescent="0.25">
      <c r="C29" s="329" t="s">
        <v>14</v>
      </c>
      <c r="E29" s="344">
        <f>'Whitby - 2018'!D34</f>
        <v>15627855.83</v>
      </c>
      <c r="F29" s="344">
        <f>'Whitby - 2018'!D17</f>
        <v>15523699.872485284</v>
      </c>
      <c r="G29" s="344">
        <f t="shared" ref="G29:G35" si="0">E29-F29</f>
        <v>104155.95751471631</v>
      </c>
      <c r="H29" s="372">
        <f>'Whitby - 2018'!E34</f>
        <v>8.9356292711589472E-2</v>
      </c>
      <c r="I29" s="344">
        <f t="shared" ref="I29:I32" si="1">G29*H29</f>
        <v>9306.9902273408679</v>
      </c>
      <c r="M29" s="362"/>
      <c r="N29" s="363"/>
      <c r="O29" s="363"/>
      <c r="P29" s="363"/>
      <c r="Q29" s="363"/>
      <c r="R29" s="363"/>
      <c r="S29" s="363"/>
      <c r="T29" s="363"/>
      <c r="U29" s="363"/>
      <c r="V29" s="352"/>
      <c r="W29" s="352"/>
      <c r="AI29" s="346"/>
      <c r="AP29" s="346"/>
      <c r="AQ29" s="346"/>
      <c r="AR29" s="346"/>
    </row>
    <row r="30" spans="2:45" x14ac:dyDescent="0.25">
      <c r="C30" s="329" t="s">
        <v>15</v>
      </c>
      <c r="E30" s="344">
        <f>'Whitby - 2018'!D35</f>
        <v>289735469.55000001</v>
      </c>
      <c r="F30" s="344">
        <f>'Whitby - 2018'!D18</f>
        <v>287804451.27179027</v>
      </c>
      <c r="G30" s="344">
        <f t="shared" si="0"/>
        <v>1931018.2782097459</v>
      </c>
      <c r="H30" s="372">
        <f>'Whitby - 2018'!E35</f>
        <v>6.5000089389297216E-2</v>
      </c>
      <c r="I30" s="344">
        <f t="shared" si="1"/>
        <v>125516.36069600028</v>
      </c>
      <c r="M30" s="362"/>
      <c r="N30" s="363"/>
      <c r="O30" s="363"/>
      <c r="P30" s="363"/>
      <c r="Q30" s="363"/>
      <c r="R30" s="363"/>
      <c r="S30" s="363"/>
      <c r="T30" s="363"/>
      <c r="U30" s="363"/>
      <c r="V30" s="352"/>
      <c r="W30" s="352"/>
    </row>
    <row r="31" spans="2:45" x14ac:dyDescent="0.25">
      <c r="C31" s="329" t="s">
        <v>16</v>
      </c>
      <c r="E31" s="344">
        <f>'Whitby - 2018'!D36</f>
        <v>78288321.650000006</v>
      </c>
      <c r="F31" s="344">
        <f>'Whitby - 2018'!D19</f>
        <v>77766548.529465914</v>
      </c>
      <c r="G31" s="344">
        <f t="shared" si="0"/>
        <v>521773.12053409219</v>
      </c>
      <c r="H31" s="372">
        <f>'Whitby - 2018'!E36</f>
        <v>9.4296455261919626E-2</v>
      </c>
      <c r="I31" s="344">
        <f t="shared" si="1"/>
        <v>49201.355717315222</v>
      </c>
      <c r="M31" s="362"/>
      <c r="N31" s="363"/>
      <c r="O31" s="363"/>
      <c r="P31" s="363"/>
      <c r="Q31" s="363"/>
      <c r="R31" s="363"/>
      <c r="S31" s="363"/>
      <c r="T31" s="363"/>
      <c r="U31" s="363"/>
      <c r="V31" s="352"/>
      <c r="W31" s="352"/>
    </row>
    <row r="32" spans="2:45" x14ac:dyDescent="0.25">
      <c r="C32" s="329" t="s">
        <v>17</v>
      </c>
      <c r="E32" s="344">
        <f>'Whitby - 2018'!D37</f>
        <v>84565268.790000007</v>
      </c>
      <c r="F32" s="344">
        <f>'Whitby - 2018'!D20</f>
        <v>84001661.303526804</v>
      </c>
      <c r="G32" s="344">
        <f t="shared" si="0"/>
        <v>563607.48647320271</v>
      </c>
      <c r="H32" s="372">
        <f>'Whitby - 2018'!E37</f>
        <v>0.13200036882422825</v>
      </c>
      <c r="I32" s="344">
        <f t="shared" si="1"/>
        <v>74396.396086558991</v>
      </c>
      <c r="M32" s="362"/>
      <c r="N32" s="363"/>
      <c r="O32" s="363"/>
      <c r="P32" s="363"/>
      <c r="Q32" s="363"/>
      <c r="R32" s="363"/>
      <c r="S32" s="363"/>
      <c r="T32" s="363"/>
      <c r="U32" s="363"/>
      <c r="V32" s="352"/>
      <c r="W32" s="352"/>
    </row>
    <row r="33" spans="2:29" ht="15.75" thickBot="1" x14ac:dyDescent="0.3">
      <c r="C33" s="329" t="str">
        <f>C21</f>
        <v>RPP Revenue</v>
      </c>
      <c r="E33" s="355">
        <f>SUM(E28:E32)</f>
        <v>504292196.13000005</v>
      </c>
      <c r="F33" s="355">
        <f>'Whitby - 2018'!D21</f>
        <v>500931208.08874291</v>
      </c>
      <c r="G33" s="355">
        <f>SUM(G28:G32)</f>
        <v>3360988.0412571039</v>
      </c>
      <c r="H33" s="373"/>
      <c r="I33" s="355">
        <f>SUM(I28:I32)</f>
        <v>276934.46132054157</v>
      </c>
      <c r="M33" s="362"/>
      <c r="N33" s="363"/>
      <c r="O33" s="363"/>
      <c r="P33" s="363"/>
      <c r="Q33" s="363"/>
      <c r="R33" s="363"/>
      <c r="S33" s="363"/>
      <c r="T33" s="363"/>
      <c r="U33" s="363"/>
      <c r="V33" s="352"/>
      <c r="W33" s="352"/>
    </row>
    <row r="34" spans="2:29" x14ac:dyDescent="0.25">
      <c r="M34" s="362"/>
      <c r="N34" s="363"/>
      <c r="O34" s="363"/>
      <c r="P34" s="363"/>
      <c r="Q34" s="363"/>
      <c r="R34" s="363"/>
      <c r="S34" s="363"/>
      <c r="T34" s="363"/>
      <c r="U34" s="363"/>
      <c r="V34" s="352"/>
      <c r="W34" s="352"/>
    </row>
    <row r="35" spans="2:29" x14ac:dyDescent="0.25">
      <c r="B35" s="368" t="s">
        <v>120</v>
      </c>
      <c r="C35" s="329" t="str">
        <f>C22</f>
        <v>Energy Revenue - RPP</v>
      </c>
      <c r="E35" s="344">
        <f>E33</f>
        <v>504292196.13000005</v>
      </c>
      <c r="F35" s="344">
        <f>F33</f>
        <v>500931208.08874291</v>
      </c>
      <c r="G35" s="344">
        <f t="shared" si="0"/>
        <v>3360988.041257143</v>
      </c>
      <c r="H35" s="374">
        <f>'Whitby - 2018'!C84</f>
        <v>2.5473033488482753E-2</v>
      </c>
      <c r="I35" s="344">
        <f t="shared" ref="I35" si="2">G35*H35</f>
        <v>85614.560929333253</v>
      </c>
      <c r="M35" s="362"/>
      <c r="N35" s="363"/>
      <c r="O35" s="363"/>
      <c r="P35" s="363"/>
      <c r="Q35" s="363"/>
      <c r="R35" s="363"/>
      <c r="S35" s="363"/>
      <c r="T35" s="363"/>
      <c r="U35" s="363"/>
      <c r="V35" s="352"/>
      <c r="W35" s="352"/>
    </row>
    <row r="36" spans="2:29" x14ac:dyDescent="0.25">
      <c r="B36" s="368"/>
      <c r="E36" s="344"/>
      <c r="F36" s="344"/>
      <c r="G36" s="344"/>
      <c r="H36" s="374"/>
      <c r="I36" s="344"/>
      <c r="M36" s="362"/>
      <c r="N36" s="363"/>
      <c r="O36" s="363"/>
      <c r="P36" s="363"/>
      <c r="Q36" s="363"/>
      <c r="R36" s="363"/>
      <c r="S36" s="363"/>
      <c r="T36" s="363"/>
      <c r="U36" s="363"/>
      <c r="V36" s="352"/>
      <c r="W36" s="352"/>
    </row>
    <row r="37" spans="2:29" ht="15" customHeight="1" x14ac:dyDescent="0.25">
      <c r="C37" s="330" t="str">
        <f>C23</f>
        <v>GA - RPP</v>
      </c>
      <c r="M37" s="362"/>
      <c r="N37" s="363"/>
      <c r="O37" s="363"/>
      <c r="P37" s="363"/>
      <c r="Q37" s="363"/>
      <c r="R37" s="363"/>
      <c r="S37" s="363"/>
      <c r="T37" s="363"/>
      <c r="U37" s="363"/>
      <c r="V37" s="352"/>
      <c r="W37" s="352"/>
    </row>
    <row r="38" spans="2:29" x14ac:dyDescent="0.25">
      <c r="B38" s="368" t="s">
        <v>123</v>
      </c>
      <c r="C38" s="329" t="str">
        <f>C84</f>
        <v>GA - Class B Non-RPP</v>
      </c>
      <c r="E38" s="346">
        <f>E84</f>
        <v>254897897</v>
      </c>
      <c r="F38" s="346">
        <f>F84</f>
        <v>253199062.89125696</v>
      </c>
      <c r="G38" s="344">
        <f>F38-E38</f>
        <v>-1698834.1087430418</v>
      </c>
      <c r="H38" s="375">
        <f>H84</f>
        <v>9.1099613778634222E-2</v>
      </c>
      <c r="I38" s="344">
        <f t="shared" ref="I38" si="3">G38*H38</f>
        <v>-154763.13118046141</v>
      </c>
      <c r="M38" s="362"/>
      <c r="N38" s="363"/>
      <c r="O38" s="363"/>
      <c r="P38" s="363"/>
      <c r="Q38" s="363"/>
      <c r="R38" s="363"/>
      <c r="S38" s="363"/>
      <c r="T38" s="363"/>
      <c r="U38" s="363"/>
      <c r="V38" s="352"/>
      <c r="W38" s="352"/>
    </row>
    <row r="39" spans="2:29" x14ac:dyDescent="0.25">
      <c r="C39" s="329" t="str">
        <f>C85</f>
        <v>Small Price Difference</v>
      </c>
      <c r="F39" s="346">
        <f>F85</f>
        <v>253199062.89125696</v>
      </c>
      <c r="G39" s="344"/>
      <c r="H39" s="375">
        <f>-H85</f>
        <v>-2.8391989819992469E-5</v>
      </c>
      <c r="I39" s="344">
        <f>F39*H39</f>
        <v>-7188.8252160402008</v>
      </c>
      <c r="M39" s="362"/>
      <c r="N39" s="363"/>
      <c r="O39" s="363"/>
      <c r="P39" s="363"/>
      <c r="Q39" s="363"/>
      <c r="R39" s="363"/>
      <c r="S39" s="363"/>
      <c r="T39" s="363"/>
      <c r="U39" s="363"/>
      <c r="V39" s="352"/>
      <c r="W39" s="352"/>
    </row>
    <row r="40" spans="2:29" x14ac:dyDescent="0.25">
      <c r="C40" s="329" t="s">
        <v>197</v>
      </c>
      <c r="I40" s="346">
        <f>G23-(I38+I39)</f>
        <v>21.362578969536116</v>
      </c>
      <c r="M40" s="362"/>
      <c r="N40" s="363"/>
      <c r="O40" s="363"/>
      <c r="P40" s="363"/>
      <c r="Q40" s="363"/>
      <c r="R40" s="363"/>
      <c r="S40" s="363"/>
      <c r="T40" s="363"/>
      <c r="U40" s="363"/>
      <c r="V40" s="352"/>
      <c r="W40" s="352"/>
    </row>
    <row r="41" spans="2:29" x14ac:dyDescent="0.25">
      <c r="I41" s="376">
        <f>SUM(I38:I40)</f>
        <v>-161930.59381753206</v>
      </c>
      <c r="M41" s="362"/>
      <c r="N41" s="363"/>
      <c r="O41" s="363"/>
      <c r="P41" s="363"/>
      <c r="Q41" s="363"/>
      <c r="R41" s="363"/>
      <c r="S41" s="363"/>
      <c r="T41" s="363"/>
      <c r="U41" s="363"/>
      <c r="V41" s="352"/>
      <c r="W41" s="352"/>
    </row>
    <row r="42" spans="2:29" ht="15.75" thickBot="1" x14ac:dyDescent="0.3">
      <c r="B42" s="418"/>
      <c r="C42" s="418"/>
      <c r="D42" s="418"/>
      <c r="E42" s="418"/>
      <c r="F42" s="418"/>
      <c r="G42" s="418"/>
      <c r="H42" s="418"/>
      <c r="I42" s="419"/>
      <c r="N42" s="363"/>
      <c r="O42" s="363"/>
      <c r="P42" s="363"/>
      <c r="Q42" s="363"/>
      <c r="R42" s="363"/>
      <c r="S42" s="363"/>
      <c r="T42" s="363"/>
      <c r="U42" s="363"/>
      <c r="V42" s="352"/>
      <c r="W42" s="352"/>
    </row>
    <row r="43" spans="2:29" ht="21.75" customHeight="1" x14ac:dyDescent="0.25">
      <c r="B43" s="330" t="s">
        <v>187</v>
      </c>
      <c r="E43" s="377" t="s">
        <v>185</v>
      </c>
      <c r="F43" s="377" t="s">
        <v>95</v>
      </c>
      <c r="G43" s="371" t="s">
        <v>65</v>
      </c>
      <c r="N43" s="363"/>
      <c r="O43" s="363"/>
      <c r="P43" s="363"/>
      <c r="Q43" s="363"/>
      <c r="R43" s="363"/>
      <c r="S43" s="363"/>
      <c r="T43" s="363"/>
      <c r="U43" s="363"/>
      <c r="V43" s="352"/>
      <c r="W43" s="352"/>
    </row>
    <row r="44" spans="2:29" x14ac:dyDescent="0.25">
      <c r="C44" s="329" t="s">
        <v>107</v>
      </c>
      <c r="E44" s="346">
        <f>'Whitby - 2018'!E84</f>
        <v>12845852</v>
      </c>
    </row>
    <row r="45" spans="2:29" x14ac:dyDescent="0.25">
      <c r="C45" s="329" t="s">
        <v>205</v>
      </c>
      <c r="E45" s="346">
        <f>-E7</f>
        <v>28706181.999999985</v>
      </c>
      <c r="L45" s="422" t="s">
        <v>220</v>
      </c>
      <c r="M45" s="424"/>
      <c r="N45" s="424"/>
      <c r="O45" s="424"/>
    </row>
    <row r="46" spans="2:29" x14ac:dyDescent="0.25">
      <c r="C46" s="329" t="s">
        <v>96</v>
      </c>
      <c r="E46" s="376">
        <f>SUM(E44:E45)</f>
        <v>41552033.999999985</v>
      </c>
      <c r="F46" s="376">
        <f>'Whitby - 2018'!E72</f>
        <v>41552033.5</v>
      </c>
      <c r="G46" s="376">
        <f>E46-F46</f>
        <v>0.49999998509883881</v>
      </c>
      <c r="L46" s="378" t="s">
        <v>208</v>
      </c>
      <c r="M46" s="379" t="s">
        <v>207</v>
      </c>
      <c r="N46" s="379" t="s">
        <v>121</v>
      </c>
      <c r="O46" s="378" t="s">
        <v>203</v>
      </c>
    </row>
    <row r="47" spans="2:29" x14ac:dyDescent="0.25">
      <c r="L47" s="380" t="s">
        <v>206</v>
      </c>
      <c r="M47" s="381" t="s">
        <v>98</v>
      </c>
      <c r="N47" s="382" t="s">
        <v>99</v>
      </c>
      <c r="O47" s="382" t="s">
        <v>100</v>
      </c>
    </row>
    <row r="48" spans="2:29" x14ac:dyDescent="0.25">
      <c r="C48" s="329" t="s">
        <v>105</v>
      </c>
      <c r="E48" s="346">
        <f>'Whitby - 2018'!E76</f>
        <v>9572023.7737426348</v>
      </c>
      <c r="F48" s="346">
        <f>'Whitby - 2018'!E76</f>
        <v>9572023.7737426348</v>
      </c>
      <c r="G48" s="346">
        <f>E48-F48</f>
        <v>0</v>
      </c>
      <c r="L48" s="383" t="s">
        <v>101</v>
      </c>
      <c r="M48" s="383">
        <f>'Whitby - 2018'!D8</f>
        <v>754130270.98000002</v>
      </c>
      <c r="N48" s="383">
        <f>'Whitby - 2018'!D28</f>
        <v>254897897</v>
      </c>
      <c r="O48" s="383">
        <f>M48-N48</f>
        <v>499232373.98000002</v>
      </c>
      <c r="Q48" s="344"/>
      <c r="R48" s="344"/>
      <c r="S48" s="344"/>
      <c r="T48" s="344"/>
      <c r="U48" s="344"/>
      <c r="V48" s="344"/>
      <c r="W48" s="344"/>
      <c r="X48" s="344"/>
      <c r="Y48" s="344"/>
      <c r="Z48" s="344"/>
      <c r="AA48" s="344"/>
      <c r="AB48" s="344"/>
      <c r="AC48" s="344"/>
    </row>
    <row r="49" spans="2:29" ht="15.75" thickBot="1" x14ac:dyDescent="0.3">
      <c r="E49" s="384">
        <f>SUM(E46:E48)</f>
        <v>51124057.773742616</v>
      </c>
      <c r="F49" s="384">
        <f>SUM(F46:F48)</f>
        <v>51124057.273742631</v>
      </c>
      <c r="G49" s="384">
        <f>E49-F49</f>
        <v>0.49999998509883881</v>
      </c>
      <c r="L49" s="385" t="s">
        <v>102</v>
      </c>
      <c r="M49" s="386">
        <f>M50/M48</f>
        <v>9.0433453548251302E-2</v>
      </c>
      <c r="N49" s="386">
        <f>N50/N48</f>
        <v>9.1099613778634222E-2</v>
      </c>
      <c r="O49" s="386">
        <f>O50/O48</f>
        <v>9.0093325682672518E-2</v>
      </c>
      <c r="Q49" s="387"/>
      <c r="R49" s="387"/>
      <c r="S49" s="387"/>
      <c r="T49" s="387"/>
      <c r="U49" s="387"/>
      <c r="V49" s="387"/>
      <c r="W49" s="387"/>
      <c r="X49" s="387"/>
      <c r="Y49" s="387"/>
      <c r="Z49" s="387"/>
      <c r="AA49" s="387"/>
      <c r="AB49" s="387"/>
      <c r="AC49" s="387"/>
    </row>
    <row r="50" spans="2:29" x14ac:dyDescent="0.25">
      <c r="L50" s="388" t="s">
        <v>103</v>
      </c>
      <c r="M50" s="389">
        <v>68198604.829999998</v>
      </c>
      <c r="N50" s="390">
        <v>23221099.969686087</v>
      </c>
      <c r="O50" s="390">
        <f>M50-N50</f>
        <v>44977504.860313907</v>
      </c>
      <c r="Q50" s="344"/>
      <c r="R50" s="344"/>
      <c r="S50" s="344"/>
      <c r="T50" s="344"/>
      <c r="U50" s="344"/>
      <c r="V50" s="344"/>
      <c r="W50" s="344"/>
      <c r="X50" s="344"/>
      <c r="Y50" s="344"/>
      <c r="Z50" s="344"/>
      <c r="AA50" s="344"/>
      <c r="AB50" s="344"/>
      <c r="AC50" s="344"/>
    </row>
    <row r="51" spans="2:29" x14ac:dyDescent="0.25">
      <c r="B51" s="330" t="s">
        <v>134</v>
      </c>
      <c r="L51" s="378"/>
      <c r="M51" s="378"/>
      <c r="N51" s="378"/>
      <c r="O51" s="378"/>
    </row>
    <row r="52" spans="2:29" x14ac:dyDescent="0.25">
      <c r="C52" s="329" t="s">
        <v>186</v>
      </c>
      <c r="E52" s="346">
        <f>'Whitby - 2018'!E55</f>
        <v>22132742.149999995</v>
      </c>
      <c r="F52" s="346">
        <f>'Whitby - 2018'!E55</f>
        <v>22132742.149999995</v>
      </c>
      <c r="L52" s="422" t="s">
        <v>221</v>
      </c>
      <c r="M52" s="423"/>
      <c r="N52" s="423"/>
      <c r="O52" s="423"/>
      <c r="Q52" s="344"/>
      <c r="R52" s="344"/>
      <c r="S52" s="344"/>
      <c r="T52" s="344"/>
      <c r="U52" s="344"/>
      <c r="V52" s="344"/>
      <c r="W52" s="344"/>
      <c r="X52" s="344"/>
      <c r="Y52" s="344"/>
      <c r="Z52" s="344"/>
      <c r="AA52" s="344"/>
      <c r="AB52" s="344"/>
      <c r="AC52" s="344"/>
    </row>
    <row r="53" spans="2:29" x14ac:dyDescent="0.25">
      <c r="C53" s="329" t="s">
        <v>202</v>
      </c>
      <c r="E53" s="346">
        <f>'Whitby - 2018'!E54+'Whitby - 2018'!E60</f>
        <v>158867.14999999991</v>
      </c>
      <c r="F53" s="346">
        <f>'Whitby - 2018'!E54+'Whitby - 2018'!E60</f>
        <v>158867.14999999991</v>
      </c>
      <c r="L53" s="423"/>
      <c r="M53" s="423"/>
      <c r="N53" s="423"/>
      <c r="O53" s="423"/>
      <c r="Q53" s="387"/>
      <c r="R53" s="387"/>
      <c r="S53" s="387"/>
      <c r="T53" s="387"/>
      <c r="U53" s="387"/>
      <c r="V53" s="387"/>
      <c r="W53" s="387"/>
      <c r="X53" s="387"/>
      <c r="Y53" s="387"/>
      <c r="Z53" s="387"/>
      <c r="AA53" s="387"/>
      <c r="AB53" s="387"/>
      <c r="AC53" s="387"/>
    </row>
    <row r="54" spans="2:29" x14ac:dyDescent="0.25">
      <c r="C54" s="329" t="s">
        <v>218</v>
      </c>
      <c r="E54" s="346">
        <f>E45</f>
        <v>28706181.999999985</v>
      </c>
      <c r="F54" s="346"/>
      <c r="L54" s="378"/>
      <c r="M54" s="379" t="s">
        <v>207</v>
      </c>
      <c r="N54" s="379" t="s">
        <v>207</v>
      </c>
      <c r="O54" s="379" t="s">
        <v>207</v>
      </c>
      <c r="Q54" s="344"/>
      <c r="R54" s="344"/>
      <c r="S54" s="344"/>
      <c r="T54" s="344"/>
      <c r="U54" s="344"/>
      <c r="V54" s="344"/>
      <c r="W54" s="344"/>
      <c r="X54" s="344"/>
      <c r="Y54" s="344"/>
      <c r="Z54" s="344"/>
      <c r="AA54" s="344"/>
      <c r="AB54" s="344"/>
      <c r="AC54" s="344"/>
    </row>
    <row r="55" spans="2:29" x14ac:dyDescent="0.25">
      <c r="C55" s="329" t="s">
        <v>108</v>
      </c>
      <c r="E55" s="346"/>
      <c r="F55" s="346">
        <f>'Whitby - 2018'!E57</f>
        <v>45139435.454131439</v>
      </c>
      <c r="L55" s="380" t="s">
        <v>206</v>
      </c>
      <c r="M55" s="381" t="s">
        <v>98</v>
      </c>
      <c r="N55" s="382" t="s">
        <v>99</v>
      </c>
      <c r="O55" s="382" t="s">
        <v>100</v>
      </c>
    </row>
    <row r="56" spans="2:29" ht="15.75" thickBot="1" x14ac:dyDescent="0.3">
      <c r="C56" s="329" t="s">
        <v>109</v>
      </c>
      <c r="E56" s="346"/>
      <c r="F56" s="346">
        <f>'Whitby 2018 RPP 2nd TU'!K23</f>
        <v>-16624573.854522649</v>
      </c>
      <c r="L56" s="383" t="s">
        <v>101</v>
      </c>
      <c r="M56" s="383">
        <f>M48</f>
        <v>754130270.98000002</v>
      </c>
      <c r="N56" s="383">
        <v>253221311.51843324</v>
      </c>
      <c r="O56" s="383">
        <v>500908959.46156669</v>
      </c>
    </row>
    <row r="57" spans="2:29" x14ac:dyDescent="0.25">
      <c r="E57" s="346"/>
      <c r="F57" s="346"/>
      <c r="I57" s="420" t="s">
        <v>219</v>
      </c>
      <c r="L57" s="385" t="s">
        <v>102</v>
      </c>
      <c r="M57" s="386">
        <f>M58/M56</f>
        <v>9.0433453548251302E-2</v>
      </c>
      <c r="N57" s="386">
        <f>N58/N56</f>
        <v>9.107122178881423E-2</v>
      </c>
      <c r="O57" s="386">
        <f>O58/O56</f>
        <v>9.0111046637235501E-2</v>
      </c>
      <c r="Q57" s="393"/>
    </row>
    <row r="58" spans="2:29" ht="15.75" customHeight="1" thickBot="1" x14ac:dyDescent="0.3">
      <c r="E58" s="384">
        <f>SUM(E52:E57)</f>
        <v>50997791.299999982</v>
      </c>
      <c r="F58" s="384">
        <f>SUM(F52:F57)</f>
        <v>50806470.899608791</v>
      </c>
      <c r="G58" s="384">
        <f>E58-F58</f>
        <v>191320.40039119124</v>
      </c>
      <c r="H58" s="368" t="s">
        <v>130</v>
      </c>
      <c r="I58" s="421"/>
      <c r="L58" s="388" t="s">
        <v>103</v>
      </c>
      <c r="M58" s="389">
        <v>68198604.829999998</v>
      </c>
      <c r="N58" s="390">
        <v>23061174.222949654</v>
      </c>
      <c r="O58" s="390">
        <v>45137430.607050344</v>
      </c>
    </row>
    <row r="59" spans="2:29" x14ac:dyDescent="0.25">
      <c r="I59" s="394">
        <v>5.0000000000000001E-3</v>
      </c>
      <c r="L59" s="395"/>
      <c r="M59" s="331"/>
      <c r="N59" s="354"/>
      <c r="O59" s="331"/>
      <c r="P59" s="331"/>
      <c r="Q59" s="331"/>
      <c r="R59" s="331"/>
    </row>
    <row r="60" spans="2:29" ht="15.75" thickBot="1" x14ac:dyDescent="0.3">
      <c r="B60" s="396" t="s">
        <v>195</v>
      </c>
      <c r="C60" s="396"/>
      <c r="D60" s="396"/>
      <c r="E60" s="397">
        <f>E58-E49</f>
        <v>-126266.47374263406</v>
      </c>
      <c r="F60" s="397">
        <f>F58-F49</f>
        <v>-317586.3741338402</v>
      </c>
      <c r="G60" s="397">
        <f>E60-F60</f>
        <v>191319.90039120615</v>
      </c>
      <c r="I60" s="398">
        <f>I59*F58</f>
        <v>254032.35449804395</v>
      </c>
      <c r="J60" s="345"/>
      <c r="L60" s="345"/>
      <c r="M60" s="331"/>
      <c r="N60" s="391"/>
      <c r="O60" s="392"/>
      <c r="P60" s="331"/>
      <c r="Q60" s="331"/>
      <c r="R60" s="331"/>
    </row>
    <row r="61" spans="2:29" ht="15.75" thickTop="1" x14ac:dyDescent="0.25">
      <c r="B61" s="417" t="s">
        <v>217</v>
      </c>
      <c r="J61" s="345"/>
      <c r="L61" s="345"/>
      <c r="M61" s="331"/>
      <c r="N61" s="345"/>
      <c r="O61" s="331"/>
      <c r="P61" s="331"/>
      <c r="Q61" s="331"/>
      <c r="R61" s="331"/>
    </row>
    <row r="62" spans="2:29" x14ac:dyDescent="0.25">
      <c r="B62" s="417"/>
      <c r="J62" s="345"/>
      <c r="L62" s="345"/>
      <c r="M62" s="331"/>
      <c r="N62" s="345"/>
      <c r="O62" s="331"/>
      <c r="P62" s="331"/>
      <c r="Q62" s="331"/>
      <c r="R62" s="331"/>
    </row>
    <row r="63" spans="2:29" x14ac:dyDescent="0.25">
      <c r="B63" s="330" t="s">
        <v>127</v>
      </c>
      <c r="G63" s="346"/>
      <c r="L63" s="354"/>
      <c r="M63" s="331"/>
      <c r="N63" s="354"/>
      <c r="O63" s="331"/>
      <c r="P63" s="345"/>
      <c r="Q63" s="331"/>
      <c r="R63" s="345"/>
    </row>
    <row r="64" spans="2:29" x14ac:dyDescent="0.25">
      <c r="B64" s="368" t="s">
        <v>130</v>
      </c>
      <c r="C64" s="329" t="s">
        <v>128</v>
      </c>
      <c r="G64" s="346">
        <f>E18-F56</f>
        <v>353251.3545226492</v>
      </c>
      <c r="L64" s="345"/>
      <c r="M64" s="331"/>
      <c r="N64" s="354"/>
      <c r="O64" s="331"/>
      <c r="P64" s="331"/>
      <c r="Q64" s="331"/>
      <c r="R64" s="331"/>
    </row>
    <row r="65" spans="2:18" x14ac:dyDescent="0.25">
      <c r="C65" s="329" t="s">
        <v>129</v>
      </c>
      <c r="G65" s="346">
        <f>(E12+E13)-F55</f>
        <v>-161930.59381753206</v>
      </c>
      <c r="L65" s="331"/>
      <c r="M65" s="331"/>
      <c r="N65" s="345"/>
      <c r="O65" s="331"/>
      <c r="P65" s="331"/>
      <c r="Q65" s="331"/>
      <c r="R65" s="345"/>
    </row>
    <row r="66" spans="2:18" ht="15.75" thickBot="1" x14ac:dyDescent="0.3">
      <c r="G66" s="384">
        <f>SUM(G64:G65)</f>
        <v>191320.76070511714</v>
      </c>
    </row>
    <row r="67" spans="2:18" ht="15.75" thickBot="1" x14ac:dyDescent="0.3">
      <c r="B67" s="418"/>
      <c r="C67" s="418"/>
      <c r="D67" s="418"/>
      <c r="E67" s="418"/>
      <c r="F67" s="418"/>
      <c r="G67" s="418"/>
      <c r="H67" s="418"/>
      <c r="I67" s="418"/>
    </row>
    <row r="68" spans="2:18" x14ac:dyDescent="0.25">
      <c r="F68" s="346"/>
    </row>
    <row r="69" spans="2:18" x14ac:dyDescent="0.25">
      <c r="C69" s="330"/>
    </row>
    <row r="70" spans="2:18" x14ac:dyDescent="0.25">
      <c r="B70" s="330" t="s">
        <v>83</v>
      </c>
      <c r="E70" s="377" t="str">
        <f>E43</f>
        <v>EW Method</v>
      </c>
      <c r="F70" s="377" t="s">
        <v>95</v>
      </c>
      <c r="G70" s="371" t="s">
        <v>65</v>
      </c>
    </row>
    <row r="71" spans="2:18" x14ac:dyDescent="0.25">
      <c r="C71" s="329" t="s">
        <v>124</v>
      </c>
      <c r="E71" s="346">
        <f>'Whitby - 2018'!E78</f>
        <v>23585615.090000004</v>
      </c>
      <c r="F71" s="346">
        <f>'Whitby - 2018'!E78</f>
        <v>23585615.090000004</v>
      </c>
      <c r="G71" s="331"/>
      <c r="H71" s="331"/>
    </row>
    <row r="72" spans="2:18" x14ac:dyDescent="0.25">
      <c r="C72" s="329" t="s">
        <v>113</v>
      </c>
      <c r="E72" s="346">
        <f>'Whitby - 2018'!E77</f>
        <v>9354068.910000002</v>
      </c>
      <c r="F72" s="346">
        <f>'Whitby - 2018'!E77</f>
        <v>9354068.910000002</v>
      </c>
      <c r="G72" s="331"/>
      <c r="H72" s="399"/>
    </row>
    <row r="73" spans="2:18" ht="15.75" thickBot="1" x14ac:dyDescent="0.3">
      <c r="C73" s="329" t="s">
        <v>110</v>
      </c>
      <c r="E73" s="384">
        <f>SUM(E71:E72)</f>
        <v>32939684.000000007</v>
      </c>
      <c r="F73" s="384">
        <f>SUM(F71:F72)</f>
        <v>32939684.000000007</v>
      </c>
      <c r="G73" s="384">
        <f>E73-F73</f>
        <v>0</v>
      </c>
      <c r="H73" s="399"/>
      <c r="I73" s="346"/>
    </row>
    <row r="74" spans="2:18" x14ac:dyDescent="0.25">
      <c r="E74" s="345"/>
      <c r="F74" s="345"/>
      <c r="G74" s="346"/>
      <c r="H74" s="399"/>
      <c r="I74" s="346"/>
    </row>
    <row r="75" spans="2:18" x14ac:dyDescent="0.25">
      <c r="B75" s="329" t="s">
        <v>135</v>
      </c>
      <c r="E75" s="354"/>
      <c r="F75" s="350"/>
      <c r="G75" s="331"/>
      <c r="H75" s="399"/>
    </row>
    <row r="76" spans="2:18" ht="15.75" thickBot="1" x14ac:dyDescent="0.3">
      <c r="C76" s="329" t="s">
        <v>111</v>
      </c>
      <c r="E76" s="354">
        <f>'Whitby - 2018'!E56</f>
        <v>9354068.910000002</v>
      </c>
      <c r="F76" s="346">
        <f>'Whitby - 2018'!E56</f>
        <v>9354068.910000002</v>
      </c>
      <c r="G76" s="331"/>
      <c r="H76" s="399"/>
    </row>
    <row r="77" spans="2:18" x14ac:dyDescent="0.25">
      <c r="C77" s="329" t="s">
        <v>112</v>
      </c>
      <c r="E77" s="354">
        <f>N50</f>
        <v>23221099.969686087</v>
      </c>
      <c r="F77" s="346">
        <f>'Whitby - 2018'!E58</f>
        <v>23059148.013289586</v>
      </c>
      <c r="G77" s="331"/>
      <c r="H77" s="399"/>
      <c r="I77" s="420" t="s">
        <v>219</v>
      </c>
    </row>
    <row r="78" spans="2:18" ht="15.75" thickBot="1" x14ac:dyDescent="0.3">
      <c r="C78" s="329" t="s">
        <v>114</v>
      </c>
      <c r="E78" s="384">
        <f>SUM(E76:E77)</f>
        <v>32575168.879686087</v>
      </c>
      <c r="F78" s="384">
        <f>SUM(F76:F77)</f>
        <v>32413216.92328959</v>
      </c>
      <c r="G78" s="384">
        <f>E78-F78</f>
        <v>161951.95639649779</v>
      </c>
      <c r="H78" s="400" t="s">
        <v>116</v>
      </c>
      <c r="I78" s="421"/>
    </row>
    <row r="79" spans="2:18" x14ac:dyDescent="0.25">
      <c r="G79" s="331"/>
      <c r="H79" s="399"/>
      <c r="I79" s="394">
        <v>5.0000000000000001E-3</v>
      </c>
    </row>
    <row r="80" spans="2:18" ht="15.75" thickBot="1" x14ac:dyDescent="0.3">
      <c r="B80" s="396" t="s">
        <v>182</v>
      </c>
      <c r="C80" s="396"/>
      <c r="D80" s="396"/>
      <c r="E80" s="397">
        <f>E78-E73</f>
        <v>-364515.12031392008</v>
      </c>
      <c r="F80" s="397">
        <f>F78-F73</f>
        <v>-526467.07671041787</v>
      </c>
      <c r="G80" s="397">
        <f>E80-F80</f>
        <v>161951.95639649779</v>
      </c>
      <c r="H80" s="399"/>
      <c r="I80" s="398">
        <f>I79*F78</f>
        <v>162066.08461644794</v>
      </c>
      <c r="J80" s="345"/>
    </row>
    <row r="81" spans="2:42" ht="15.75" thickTop="1" x14ac:dyDescent="0.25">
      <c r="E81" s="401"/>
      <c r="F81" s="401"/>
      <c r="G81" s="331"/>
      <c r="H81" s="399"/>
      <c r="J81" s="345"/>
    </row>
    <row r="82" spans="2:42" x14ac:dyDescent="0.25">
      <c r="B82" s="368" t="s">
        <v>116</v>
      </c>
      <c r="C82" s="333" t="s">
        <v>117</v>
      </c>
      <c r="E82" s="354"/>
      <c r="F82" s="350"/>
      <c r="G82" s="331"/>
      <c r="H82" s="399"/>
    </row>
    <row r="83" spans="2:42" x14ac:dyDescent="0.25">
      <c r="E83" s="371" t="s">
        <v>121</v>
      </c>
      <c r="F83" s="371" t="s">
        <v>122</v>
      </c>
      <c r="G83" s="371" t="s">
        <v>104</v>
      </c>
      <c r="H83" s="371" t="s">
        <v>118</v>
      </c>
      <c r="I83" s="371" t="s">
        <v>119</v>
      </c>
    </row>
    <row r="84" spans="2:42" x14ac:dyDescent="0.25">
      <c r="C84" s="329" t="s">
        <v>125</v>
      </c>
      <c r="E84" s="344">
        <f>'Whitby - 2018'!D28</f>
        <v>254897897</v>
      </c>
      <c r="F84" s="344">
        <f>'Whitby - 2018'!D11</f>
        <v>253199062.89125696</v>
      </c>
      <c r="G84" s="344">
        <f>E84-F84</f>
        <v>1698834.1087430418</v>
      </c>
      <c r="H84" s="402">
        <f>N49</f>
        <v>9.1099613778634222E-2</v>
      </c>
      <c r="I84" s="344">
        <f>G84*H84</f>
        <v>154763.13118046141</v>
      </c>
    </row>
    <row r="85" spans="2:42" x14ac:dyDescent="0.25">
      <c r="C85" s="329" t="s">
        <v>184</v>
      </c>
      <c r="E85" s="344"/>
      <c r="F85" s="344">
        <f>F84</f>
        <v>253199062.89125696</v>
      </c>
      <c r="G85" s="344"/>
      <c r="H85" s="402">
        <f>H84-'Whitby - 2018'!C58</f>
        <v>2.8391989819992469E-5</v>
      </c>
      <c r="I85" s="344">
        <f>H85*F85</f>
        <v>7188.8252160402008</v>
      </c>
    </row>
    <row r="86" spans="2:42" x14ac:dyDescent="0.25">
      <c r="E86" s="344"/>
      <c r="F86" s="344"/>
      <c r="G86" s="344"/>
      <c r="H86" s="372"/>
      <c r="I86" s="344">
        <f>SUM(I84:I85)</f>
        <v>161951.9563965016</v>
      </c>
    </row>
    <row r="87" spans="2:42" x14ac:dyDescent="0.25">
      <c r="B87" s="331"/>
      <c r="C87" s="331"/>
      <c r="D87" s="331"/>
      <c r="E87" s="331"/>
      <c r="F87" s="331"/>
      <c r="G87" s="403"/>
    </row>
    <row r="88" spans="2:42" x14ac:dyDescent="0.25">
      <c r="B88" s="331"/>
      <c r="C88" s="331"/>
      <c r="D88" s="331"/>
      <c r="E88" s="331"/>
      <c r="F88" s="331"/>
      <c r="I88" s="346"/>
    </row>
    <row r="89" spans="2:42" x14ac:dyDescent="0.25">
      <c r="B89" s="331"/>
      <c r="C89" s="331"/>
      <c r="D89" s="331"/>
      <c r="E89" s="331"/>
      <c r="F89" s="331"/>
      <c r="G89" s="404"/>
      <c r="H89" s="405"/>
    </row>
    <row r="90" spans="2:42" x14ac:dyDescent="0.25">
      <c r="B90" s="331"/>
      <c r="C90" s="331"/>
      <c r="D90" s="331"/>
      <c r="E90" s="345"/>
      <c r="F90" s="331"/>
      <c r="G90" s="406"/>
      <c r="N90" s="363"/>
      <c r="O90" s="363"/>
      <c r="P90" s="363"/>
      <c r="Q90" s="363"/>
      <c r="R90" s="363"/>
      <c r="S90" s="363"/>
      <c r="T90" s="363"/>
      <c r="V90" s="363"/>
      <c r="X90" s="363"/>
      <c r="Z90" s="363"/>
      <c r="AB90" s="363"/>
      <c r="AE90" s="363"/>
      <c r="AG90" s="363"/>
      <c r="AK90" s="363"/>
      <c r="AL90" s="363"/>
      <c r="AM90" s="363"/>
      <c r="AO90" s="363"/>
      <c r="AP90" s="363"/>
    </row>
    <row r="91" spans="2:42" x14ac:dyDescent="0.25">
      <c r="B91" s="331"/>
      <c r="C91" s="331"/>
      <c r="D91" s="331"/>
      <c r="E91" s="345"/>
      <c r="F91" s="331"/>
      <c r="AO91" s="329" t="s">
        <v>138</v>
      </c>
    </row>
    <row r="92" spans="2:42" x14ac:dyDescent="0.25">
      <c r="B92" s="331"/>
      <c r="C92" s="331"/>
      <c r="D92" s="331"/>
      <c r="E92" s="345"/>
      <c r="F92" s="331"/>
    </row>
    <row r="93" spans="2:42" x14ac:dyDescent="0.25">
      <c r="B93" s="331"/>
      <c r="C93" s="331"/>
      <c r="D93" s="331"/>
      <c r="E93" s="331"/>
      <c r="F93" s="331"/>
    </row>
    <row r="96" spans="2:42" x14ac:dyDescent="0.25">
      <c r="E96" s="354"/>
      <c r="F96" s="354"/>
      <c r="G96" s="344"/>
      <c r="I96" s="352"/>
    </row>
    <row r="99" spans="5:7" x14ac:dyDescent="0.25">
      <c r="E99" s="346"/>
      <c r="F99" s="346"/>
    </row>
    <row r="102" spans="5:7" x14ac:dyDescent="0.25">
      <c r="E102" s="346"/>
      <c r="F102" s="346"/>
      <c r="G102" s="346"/>
    </row>
    <row r="104" spans="5:7" x14ac:dyDescent="0.25">
      <c r="F104" s="344"/>
    </row>
    <row r="106" spans="5:7" x14ac:dyDescent="0.25">
      <c r="E106" s="344"/>
      <c r="F106" s="346"/>
    </row>
    <row r="108" spans="5:7" x14ac:dyDescent="0.25">
      <c r="E108" s="346"/>
      <c r="F108" s="346"/>
    </row>
    <row r="111" spans="5:7" x14ac:dyDescent="0.25">
      <c r="E111" s="346"/>
      <c r="F111" s="407"/>
      <c r="G111" s="346"/>
    </row>
    <row r="112" spans="5:7" x14ac:dyDescent="0.25">
      <c r="E112" s="346"/>
      <c r="F112" s="408"/>
      <c r="G112" s="346"/>
    </row>
    <row r="113" spans="5:7" x14ac:dyDescent="0.25">
      <c r="F113" s="409"/>
    </row>
    <row r="116" spans="5:7" x14ac:dyDescent="0.25">
      <c r="E116" s="346"/>
      <c r="F116" s="408"/>
      <c r="G116" s="346"/>
    </row>
    <row r="117" spans="5:7" x14ac:dyDescent="0.25">
      <c r="E117" s="346"/>
      <c r="F117" s="407"/>
      <c r="G117" s="346"/>
    </row>
    <row r="118" spans="5:7" x14ac:dyDescent="0.25">
      <c r="G118" s="346"/>
    </row>
  </sheetData>
  <mergeCells count="5">
    <mergeCell ref="F11:I12"/>
    <mergeCell ref="I57:I58"/>
    <mergeCell ref="I77:I78"/>
    <mergeCell ref="L52:O53"/>
    <mergeCell ref="L45:O45"/>
  </mergeCells>
  <pageMargins left="0.7" right="0.7" top="0.75" bottom="0.75" header="0.3" footer="0.3"/>
  <pageSetup orientation="portrait" r:id="rId1"/>
  <ignoredErrors>
    <ignoredError sqref="N4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topLeftCell="A16" zoomScaleNormal="100" workbookViewId="0">
      <selection activeCell="G22" sqref="G22"/>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8" customWidth="1"/>
    <col min="12" max="12" width="18" style="128" bestFit="1" customWidth="1"/>
    <col min="13" max="14" width="12.7109375" style="128" customWidth="1"/>
  </cols>
  <sheetData>
    <row r="1" spans="1:14" ht="26.25" x14ac:dyDescent="0.4">
      <c r="A1" s="288" t="s">
        <v>210</v>
      </c>
      <c r="B1" s="288"/>
      <c r="C1" s="288"/>
      <c r="D1" s="288"/>
      <c r="E1" s="288"/>
      <c r="F1" s="288"/>
      <c r="G1" s="288"/>
      <c r="H1" s="288"/>
      <c r="I1" s="288"/>
      <c r="J1" s="127"/>
    </row>
    <row r="2" spans="1:14" ht="26.25" x14ac:dyDescent="0.4">
      <c r="A2" s="129"/>
      <c r="B2" s="129"/>
      <c r="C2" s="129"/>
      <c r="D2" s="129"/>
      <c r="E2" s="129"/>
      <c r="F2" s="129"/>
      <c r="G2" s="129"/>
      <c r="H2" s="129"/>
      <c r="I2" s="129"/>
      <c r="J2" s="127"/>
    </row>
    <row r="3" spans="1:14" x14ac:dyDescent="0.25">
      <c r="A3" s="2" t="s">
        <v>140</v>
      </c>
      <c r="I3" s="3"/>
    </row>
    <row r="4" spans="1:14" ht="29.45" customHeight="1" thickBot="1" x14ac:dyDescent="0.3">
      <c r="A4" s="289" t="s">
        <v>141</v>
      </c>
      <c r="B4" s="290"/>
      <c r="C4" s="291"/>
      <c r="D4" s="292" t="s">
        <v>142</v>
      </c>
      <c r="E4" s="293"/>
      <c r="F4" s="294" t="s">
        <v>143</v>
      </c>
      <c r="G4" s="295"/>
      <c r="I4" s="13"/>
    </row>
    <row r="5" spans="1:14" ht="30.75" thickBot="1" x14ac:dyDescent="0.3">
      <c r="A5" s="130" t="s">
        <v>144</v>
      </c>
      <c r="B5" s="131" t="s">
        <v>145</v>
      </c>
      <c r="C5" s="131" t="s">
        <v>146</v>
      </c>
      <c r="D5" s="132" t="s">
        <v>118</v>
      </c>
      <c r="E5" s="133" t="s">
        <v>38</v>
      </c>
      <c r="F5" s="134" t="s">
        <v>147</v>
      </c>
      <c r="G5" s="133" t="s">
        <v>38</v>
      </c>
      <c r="I5" s="13"/>
      <c r="K5" s="135"/>
      <c r="L5" s="136"/>
      <c r="M5" s="137"/>
    </row>
    <row r="6" spans="1:14" x14ac:dyDescent="0.25">
      <c r="A6" s="138" t="s">
        <v>148</v>
      </c>
      <c r="B6" s="139">
        <f>'Whitby - 2018'!D27</f>
        <v>504292196.13000005</v>
      </c>
      <c r="C6" s="139">
        <f>'Whitby - 2018'!E27</f>
        <v>504292196.13000005</v>
      </c>
      <c r="D6" s="140">
        <f>'Whitby 2018 RPP 2nd TU'!B23</f>
        <v>8.239674105384813E-2</v>
      </c>
      <c r="E6" s="139">
        <f>C6*D6</f>
        <v>41552033.500000007</v>
      </c>
      <c r="F6" s="141"/>
      <c r="G6" s="141"/>
      <c r="I6" s="3"/>
      <c r="K6" s="135"/>
      <c r="L6" s="136"/>
      <c r="M6" s="137"/>
    </row>
    <row r="7" spans="1:14" s="128" customFormat="1" x14ac:dyDescent="0.25">
      <c r="A7" s="138" t="s">
        <v>149</v>
      </c>
      <c r="B7" s="142">
        <v>0</v>
      </c>
      <c r="C7" s="142">
        <f>-'Whitby - 2018'!D7</f>
        <v>145114780.17000002</v>
      </c>
      <c r="D7" s="143">
        <f>'Whitby - 2018'!C85</f>
        <v>2.3929301044813271E-2</v>
      </c>
      <c r="E7" s="142">
        <f>+C7*D7</f>
        <v>3472495.2607398294</v>
      </c>
      <c r="F7" s="144"/>
      <c r="G7" s="142">
        <f>'Whitby - 2018'!E77</f>
        <v>9354068.910000002</v>
      </c>
      <c r="I7"/>
      <c r="J7"/>
      <c r="K7" s="135"/>
      <c r="L7" s="135"/>
      <c r="N7" s="135"/>
    </row>
    <row r="8" spans="1:14" s="128" customFormat="1" ht="15.75" thickBot="1" x14ac:dyDescent="0.3">
      <c r="A8" s="138" t="s">
        <v>150</v>
      </c>
      <c r="B8" s="145">
        <f>'Whitby - 2018'!D28</f>
        <v>254897897</v>
      </c>
      <c r="C8" s="145">
        <f>'Whitby - 2018'!D28</f>
        <v>254897897</v>
      </c>
      <c r="D8" s="146">
        <f>'Whitby - 2018'!C85</f>
        <v>2.3929301044813271E-2</v>
      </c>
      <c r="E8" s="145">
        <f>+D8*C8</f>
        <v>6099528.5130028054</v>
      </c>
      <c r="F8" s="146">
        <f>'Whitby - 2018'!C45</f>
        <v>9.2529657433776336E-2</v>
      </c>
      <c r="G8" s="145">
        <f>B8*F8</f>
        <v>23585615.090000004</v>
      </c>
      <c r="I8"/>
      <c r="J8"/>
      <c r="N8" s="147"/>
    </row>
    <row r="9" spans="1:14" s="128" customFormat="1" ht="15.75" thickBot="1" x14ac:dyDescent="0.3">
      <c r="A9" s="144"/>
      <c r="B9" s="148">
        <f>SUM(B6:B8)</f>
        <v>759190093.13000011</v>
      </c>
      <c r="C9" s="148">
        <f>SUM(C6:C8)</f>
        <v>904304873.30000007</v>
      </c>
      <c r="D9" s="149"/>
      <c r="E9" s="150">
        <f>SUM(E6:E8)</f>
        <v>51124057.273742639</v>
      </c>
      <c r="F9" s="149"/>
      <c r="G9" s="150">
        <f>SUM(G6:G8)</f>
        <v>32939684.000000007</v>
      </c>
      <c r="I9"/>
      <c r="J9"/>
      <c r="K9" s="135"/>
      <c r="L9" s="151"/>
      <c r="M9" s="152"/>
    </row>
    <row r="10" spans="1:14" s="128" customFormat="1" ht="15.75" thickTop="1" x14ac:dyDescent="0.25">
      <c r="A10" s="3"/>
      <c r="B10" s="18"/>
      <c r="C10" s="18"/>
      <c r="D10" s="3"/>
      <c r="E10" s="153"/>
      <c r="F10" s="78"/>
      <c r="G10" s="153"/>
      <c r="I10"/>
      <c r="J10"/>
      <c r="K10" s="135"/>
      <c r="L10" s="151"/>
      <c r="M10" s="152"/>
    </row>
    <row r="11" spans="1:14" ht="15.75" thickBot="1" x14ac:dyDescent="0.3">
      <c r="A11" s="2" t="s">
        <v>151</v>
      </c>
      <c r="K11" s="135"/>
      <c r="L11" s="136"/>
      <c r="M11" s="152"/>
    </row>
    <row r="12" spans="1:14" s="128" customFormat="1" ht="16.5" thickBot="1" x14ac:dyDescent="0.3">
      <c r="A12" s="154"/>
      <c r="B12" s="155"/>
      <c r="C12" s="156"/>
      <c r="D12" s="296" t="s">
        <v>152</v>
      </c>
      <c r="E12" s="297"/>
      <c r="F12" s="297"/>
      <c r="G12" s="297"/>
      <c r="H12" s="297"/>
      <c r="I12" s="298"/>
      <c r="N12" s="147"/>
    </row>
    <row r="13" spans="1:14" s="128" customFormat="1" ht="29.45" customHeight="1" thickBot="1" x14ac:dyDescent="0.3">
      <c r="A13" s="282" t="s">
        <v>141</v>
      </c>
      <c r="B13" s="283"/>
      <c r="C13" s="284"/>
      <c r="D13" s="285" t="s">
        <v>153</v>
      </c>
      <c r="E13" s="286"/>
      <c r="F13" s="285" t="s">
        <v>154</v>
      </c>
      <c r="G13" s="287"/>
      <c r="H13" s="157" t="s">
        <v>155</v>
      </c>
      <c r="I13" s="158" t="s">
        <v>156</v>
      </c>
    </row>
    <row r="14" spans="1:14" s="128" customFormat="1" ht="48" customHeight="1" thickBot="1" x14ac:dyDescent="0.3">
      <c r="A14" s="130" t="s">
        <v>144</v>
      </c>
      <c r="B14" s="131" t="s">
        <v>157</v>
      </c>
      <c r="C14" s="131" t="s">
        <v>158</v>
      </c>
      <c r="D14" s="134" t="s">
        <v>159</v>
      </c>
      <c r="E14" s="133" t="s">
        <v>38</v>
      </c>
      <c r="F14" s="134" t="s">
        <v>160</v>
      </c>
      <c r="G14" s="133" t="s">
        <v>38</v>
      </c>
      <c r="H14" s="157" t="s">
        <v>38</v>
      </c>
      <c r="I14" s="159" t="s">
        <v>38</v>
      </c>
    </row>
    <row r="15" spans="1:14" s="128" customFormat="1" x14ac:dyDescent="0.25">
      <c r="A15" s="160" t="s">
        <v>161</v>
      </c>
      <c r="B15" s="161">
        <f>'Whitby - 2018'!D10</f>
        <v>500931208.08874297</v>
      </c>
      <c r="C15" s="162">
        <f>'Whitby - 2018'!E10</f>
        <v>500931208.08874297</v>
      </c>
      <c r="D15" s="163">
        <f>'Whitby - 2018'!C43</f>
        <v>2.5473033488482753E-2</v>
      </c>
      <c r="E15" s="162">
        <f>C15*D15</f>
        <v>12760237.439070672</v>
      </c>
      <c r="F15" s="274">
        <f>'Whitby - 2018'!C49</f>
        <v>9.0111046637235501E-2</v>
      </c>
      <c r="G15" s="162">
        <f>B15*F15</f>
        <v>45139435.454131439</v>
      </c>
      <c r="H15" s="164">
        <f>'Whitby 2018 RPP 2nd TU'!K23</f>
        <v>-16624573.854522649</v>
      </c>
      <c r="I15" s="165">
        <f>+E15+G15+H15</f>
        <v>41275099.038679466</v>
      </c>
      <c r="J15" s="135"/>
      <c r="K15" s="135"/>
    </row>
    <row r="16" spans="1:14" s="128" customFormat="1" x14ac:dyDescent="0.25">
      <c r="A16" s="138" t="s">
        <v>149</v>
      </c>
      <c r="B16" s="166">
        <v>0</v>
      </c>
      <c r="C16" s="167">
        <f>-'Whitby - 2018'!D7</f>
        <v>145114780.17000002</v>
      </c>
      <c r="D16" s="168">
        <f>'Whitby - 2018'!C44</f>
        <v>2.3929301044813271E-2</v>
      </c>
      <c r="E16" s="167">
        <f>C16*D16</f>
        <v>3472495.2607398294</v>
      </c>
      <c r="F16" s="168"/>
      <c r="G16" s="167"/>
      <c r="H16" s="169"/>
      <c r="I16" s="170">
        <f>+E16+G16+H16</f>
        <v>3472495.2607398294</v>
      </c>
      <c r="J16" s="135"/>
      <c r="K16" s="171"/>
    </row>
    <row r="17" spans="1:12" s="128" customFormat="1" ht="15.75" thickBot="1" x14ac:dyDescent="0.3">
      <c r="A17" s="138" t="s">
        <v>150</v>
      </c>
      <c r="B17" s="172">
        <f>'Whitby - 2018'!D11</f>
        <v>253199062.89125696</v>
      </c>
      <c r="C17" s="167">
        <f>'Whitby - 2018'!D11</f>
        <v>253199062.89125696</v>
      </c>
      <c r="D17" s="173">
        <f>'Whitby - 2018'!C44</f>
        <v>2.3929301044813271E-2</v>
      </c>
      <c r="E17" s="174">
        <f>C17*D17</f>
        <v>6058876.6001894958</v>
      </c>
      <c r="F17" s="146"/>
      <c r="G17" s="175"/>
      <c r="H17" s="169"/>
      <c r="I17" s="170">
        <f>+E17+G17+H17</f>
        <v>6058876.6001894958</v>
      </c>
      <c r="J17" s="135"/>
    </row>
    <row r="18" spans="1:12" s="128" customFormat="1" ht="15.75" thickBot="1" x14ac:dyDescent="0.3">
      <c r="A18" s="144"/>
      <c r="B18" s="148">
        <f>SUM(B15:B17)</f>
        <v>754130270.9799999</v>
      </c>
      <c r="C18" s="148">
        <f>SUM(C15:C17)</f>
        <v>899245051.14999998</v>
      </c>
      <c r="D18" s="148"/>
      <c r="E18" s="148">
        <f>SUM(E15:E17)</f>
        <v>22291609.299999997</v>
      </c>
      <c r="F18" s="149"/>
      <c r="G18" s="148">
        <f>SUM(G15:G17)</f>
        <v>45139435.454131439</v>
      </c>
      <c r="H18" s="148">
        <f>SUM(H15:H17)</f>
        <v>-16624573.854522649</v>
      </c>
      <c r="I18" s="150">
        <f>SUM(I15:I17)</f>
        <v>50806470.899608791</v>
      </c>
      <c r="J18" s="135"/>
      <c r="K18" s="135"/>
      <c r="L18" s="135"/>
    </row>
    <row r="19" spans="1:12" s="128" customFormat="1" ht="15.75" thickTop="1" x14ac:dyDescent="0.25">
      <c r="A19"/>
      <c r="B19"/>
      <c r="C19"/>
      <c r="D19"/>
      <c r="E19" s="176"/>
      <c r="F19" s="177"/>
      <c r="G19" s="3"/>
      <c r="H19" s="3"/>
      <c r="I19" s="110"/>
      <c r="J19" s="7" t="s">
        <v>162</v>
      </c>
      <c r="K19" s="135"/>
    </row>
    <row r="20" spans="1:12" s="128" customFormat="1" x14ac:dyDescent="0.25">
      <c r="A20" s="2" t="s">
        <v>163</v>
      </c>
      <c r="B20"/>
      <c r="C20"/>
      <c r="D20"/>
      <c r="E20"/>
      <c r="F20"/>
      <c r="G20"/>
      <c r="H20"/>
      <c r="I20"/>
      <c r="J20"/>
      <c r="K20" s="136"/>
    </row>
    <row r="21" spans="1:12" s="128" customFormat="1" ht="16.149999999999999" customHeight="1" thickBot="1" x14ac:dyDescent="0.3">
      <c r="A21" s="289" t="s">
        <v>141</v>
      </c>
      <c r="B21" s="290"/>
      <c r="C21" s="291"/>
      <c r="D21" s="302" t="s">
        <v>164</v>
      </c>
      <c r="E21" s="303"/>
      <c r="F21" s="178"/>
      <c r="G21" s="179"/>
      <c r="H21" s="179"/>
      <c r="I21" s="179"/>
      <c r="J21" s="179"/>
      <c r="K21" s="147"/>
    </row>
    <row r="22" spans="1:12" s="128" customFormat="1" ht="45" customHeight="1" thickBot="1" x14ac:dyDescent="0.3">
      <c r="A22" s="130" t="s">
        <v>144</v>
      </c>
      <c r="B22" s="131" t="s">
        <v>157</v>
      </c>
      <c r="C22" s="131" t="s">
        <v>158</v>
      </c>
      <c r="D22" s="134" t="s">
        <v>160</v>
      </c>
      <c r="E22" s="180" t="s">
        <v>38</v>
      </c>
      <c r="F22" s="3"/>
      <c r="G22" s="181"/>
      <c r="H22" s="181"/>
      <c r="I22" s="3"/>
      <c r="J22" s="3"/>
    </row>
    <row r="23" spans="1:12" s="128" customFormat="1" x14ac:dyDescent="0.25">
      <c r="A23" s="138" t="s">
        <v>149</v>
      </c>
      <c r="B23" s="182"/>
      <c r="C23" s="167"/>
      <c r="D23" s="168"/>
      <c r="E23" s="167">
        <f>'Whitby - 2018'!E77</f>
        <v>9354068.910000002</v>
      </c>
      <c r="F23" s="95"/>
      <c r="G23" s="181"/>
      <c r="H23" s="181"/>
      <c r="I23" s="3"/>
      <c r="J23" s="3"/>
    </row>
    <row r="24" spans="1:12" s="128" customFormat="1" ht="15.75" thickBot="1" x14ac:dyDescent="0.3">
      <c r="A24" s="138" t="s">
        <v>150</v>
      </c>
      <c r="B24" s="182">
        <f>B17</f>
        <v>253199062.89125696</v>
      </c>
      <c r="C24" s="167"/>
      <c r="D24" s="273">
        <f>'Whitby - 2018'!C50</f>
        <v>9.107122178881423E-2</v>
      </c>
      <c r="E24" s="174">
        <f>+D24*B24</f>
        <v>23059148.013289586</v>
      </c>
      <c r="F24" s="95"/>
      <c r="G24" s="181"/>
      <c r="H24" s="181"/>
      <c r="I24" s="3"/>
      <c r="J24" s="3"/>
    </row>
    <row r="25" spans="1:12" s="128" customFormat="1" ht="15.75" thickBot="1" x14ac:dyDescent="0.3">
      <c r="A25" s="144"/>
      <c r="B25" s="145">
        <f>+B23+B24</f>
        <v>253199062.89125696</v>
      </c>
      <c r="C25" s="145">
        <f>+C23+C24</f>
        <v>0</v>
      </c>
      <c r="D25" s="183"/>
      <c r="E25" s="184">
        <f>+E23+E24</f>
        <v>32413216.92328959</v>
      </c>
      <c r="F25" s="95"/>
      <c r="G25" s="181"/>
      <c r="H25" s="185"/>
      <c r="I25" s="3"/>
      <c r="J25" s="3"/>
      <c r="K25" s="147"/>
    </row>
    <row r="26" spans="1:12" s="128" customFormat="1" x14ac:dyDescent="0.25">
      <c r="A26" s="3"/>
      <c r="B26" s="18"/>
      <c r="C26" s="18"/>
      <c r="D26" s="17"/>
      <c r="E26" s="153"/>
      <c r="F26" s="3"/>
      <c r="G26" s="181"/>
      <c r="H26" s="185"/>
      <c r="I26" s="3"/>
      <c r="J26" s="3"/>
      <c r="K26" s="147"/>
    </row>
    <row r="27" spans="1:12" s="128" customFormat="1" ht="15.75" thickBot="1" x14ac:dyDescent="0.3">
      <c r="A27" s="2" t="s">
        <v>165</v>
      </c>
      <c r="B27" s="17"/>
      <c r="C27" s="18"/>
      <c r="D27" s="3"/>
      <c r="E27"/>
      <c r="F27"/>
      <c r="G27"/>
      <c r="H27" s="7" t="s">
        <v>162</v>
      </c>
      <c r="I27"/>
      <c r="J27"/>
    </row>
    <row r="28" spans="1:12" s="128" customFormat="1" ht="15" customHeight="1" thickBot="1" x14ac:dyDescent="0.3">
      <c r="A28" s="186"/>
      <c r="B28" s="187"/>
      <c r="C28" s="304" t="s">
        <v>166</v>
      </c>
      <c r="D28" s="297"/>
      <c r="E28" s="297"/>
      <c r="F28" s="297"/>
      <c r="G28" s="297"/>
      <c r="H28" s="297"/>
      <c r="I28" s="298"/>
    </row>
    <row r="29" spans="1:12" s="128" customFormat="1" ht="15.75" thickBot="1" x14ac:dyDescent="0.3">
      <c r="A29" s="305"/>
      <c r="B29" s="306"/>
      <c r="C29" s="188"/>
      <c r="D29" s="13"/>
      <c r="E29" s="181"/>
      <c r="F29" s="311"/>
      <c r="G29" s="312"/>
      <c r="H29" s="312"/>
      <c r="I29" s="313"/>
    </row>
    <row r="30" spans="1:12" s="128" customFormat="1" ht="15" customHeight="1" thickBot="1" x14ac:dyDescent="0.3">
      <c r="A30" s="307"/>
      <c r="B30" s="308"/>
      <c r="C30" s="314" t="s">
        <v>167</v>
      </c>
      <c r="D30" s="315"/>
      <c r="E30" s="189">
        <f>+I18-E9</f>
        <v>-317586.37413384765</v>
      </c>
      <c r="F30" s="299" t="s">
        <v>168</v>
      </c>
      <c r="G30" s="300"/>
      <c r="H30" s="300"/>
      <c r="I30" s="301"/>
      <c r="J30" s="135"/>
    </row>
    <row r="31" spans="1:12" s="128" customFormat="1" ht="16.5" thickTop="1" thickBot="1" x14ac:dyDescent="0.3">
      <c r="A31" s="309"/>
      <c r="B31" s="310"/>
      <c r="C31" s="190"/>
      <c r="E31" s="191"/>
      <c r="F31" s="316"/>
      <c r="G31" s="317"/>
      <c r="H31" s="317"/>
      <c r="I31" s="318"/>
    </row>
    <row r="32" spans="1:12" s="128" customFormat="1" ht="16.5" thickBot="1" x14ac:dyDescent="0.3">
      <c r="A32" s="130" t="s">
        <v>144</v>
      </c>
      <c r="B32" s="192" t="s">
        <v>169</v>
      </c>
      <c r="C32" s="193" t="s">
        <v>170</v>
      </c>
      <c r="D32" s="194" t="s">
        <v>171</v>
      </c>
      <c r="E32" s="195" t="s">
        <v>89</v>
      </c>
      <c r="F32" s="319" t="s">
        <v>172</v>
      </c>
      <c r="G32" s="320"/>
      <c r="H32" s="320"/>
      <c r="I32" s="321"/>
    </row>
    <row r="33" spans="1:10" s="128" customFormat="1" x14ac:dyDescent="0.25">
      <c r="A33" s="196" t="s">
        <v>148</v>
      </c>
      <c r="B33" s="197" t="s">
        <v>173</v>
      </c>
      <c r="C33" s="198">
        <f>+C15</f>
        <v>500931208.08874297</v>
      </c>
      <c r="D33" s="199">
        <f>((+I15)/C15)-D6</f>
        <v>0</v>
      </c>
      <c r="E33" s="200">
        <f>+C33*D33</f>
        <v>0</v>
      </c>
      <c r="F33" s="300" t="s">
        <v>174</v>
      </c>
      <c r="G33" s="300"/>
      <c r="H33" s="300"/>
      <c r="I33" s="301"/>
    </row>
    <row r="34" spans="1:10" s="128" customFormat="1" x14ac:dyDescent="0.25">
      <c r="A34" s="196" t="s">
        <v>148</v>
      </c>
      <c r="B34" s="197" t="s">
        <v>175</v>
      </c>
      <c r="C34" s="201">
        <f>+C15-C6</f>
        <v>-3360988.0412570834</v>
      </c>
      <c r="D34" s="202">
        <f>D6</f>
        <v>8.239674105384813E-2</v>
      </c>
      <c r="E34" s="203">
        <f>+C34*D34</f>
        <v>-276934.46132054011</v>
      </c>
      <c r="F34" s="300" t="s">
        <v>176</v>
      </c>
      <c r="G34" s="300"/>
      <c r="H34" s="300"/>
      <c r="I34" s="301"/>
    </row>
    <row r="35" spans="1:10" s="128" customFormat="1" x14ac:dyDescent="0.25">
      <c r="A35" s="204" t="s">
        <v>150</v>
      </c>
      <c r="B35" s="197" t="s">
        <v>177</v>
      </c>
      <c r="C35" s="201">
        <f>+C16+C17</f>
        <v>398313843.061257</v>
      </c>
      <c r="D35" s="205">
        <f>+D16-D7</f>
        <v>0</v>
      </c>
      <c r="E35" s="203">
        <f>+C35*D35</f>
        <v>0</v>
      </c>
      <c r="F35" s="300" t="s">
        <v>174</v>
      </c>
      <c r="G35" s="300"/>
      <c r="H35" s="300"/>
      <c r="I35" s="301"/>
      <c r="J35" s="206"/>
    </row>
    <row r="36" spans="1:10" s="128" customFormat="1" ht="15.75" thickBot="1" x14ac:dyDescent="0.3">
      <c r="A36" s="196" t="s">
        <v>150</v>
      </c>
      <c r="B36" s="197" t="s">
        <v>175</v>
      </c>
      <c r="C36" s="207">
        <f>(+C17+C16)-(C8+C7)</f>
        <v>-1698834.108743012</v>
      </c>
      <c r="D36" s="208">
        <f>+D7</f>
        <v>2.3929301044813271E-2</v>
      </c>
      <c r="E36" s="209">
        <f>+C36*D36</f>
        <v>-40651.912813308576</v>
      </c>
      <c r="F36" s="300" t="s">
        <v>176</v>
      </c>
      <c r="G36" s="300"/>
      <c r="H36" s="300"/>
      <c r="I36" s="301"/>
      <c r="J36" s="206"/>
    </row>
    <row r="37" spans="1:10" s="128" customFormat="1" ht="15.75" thickBot="1" x14ac:dyDescent="0.3">
      <c r="A37" s="210"/>
      <c r="B37" s="144"/>
      <c r="C37" s="211" t="s">
        <v>178</v>
      </c>
      <c r="D37" s="212"/>
      <c r="E37" s="213">
        <f>SUM(E33:E36)</f>
        <v>-317586.3741338487</v>
      </c>
      <c r="F37" s="299"/>
      <c r="G37" s="300"/>
      <c r="H37" s="300"/>
      <c r="I37" s="301"/>
    </row>
    <row r="38" spans="1:10" s="128" customFormat="1" ht="15.75" thickTop="1" x14ac:dyDescent="0.25">
      <c r="A38" s="181"/>
      <c r="B38" s="3"/>
      <c r="C38" s="111"/>
      <c r="D38" s="3"/>
      <c r="E38" s="153"/>
      <c r="F38" s="111"/>
      <c r="G38" s="111"/>
      <c r="H38" s="111"/>
      <c r="I38" s="111"/>
    </row>
    <row r="39" spans="1:10" s="128" customFormat="1" ht="15.75" thickBot="1" x14ac:dyDescent="0.3">
      <c r="A39" s="2" t="s">
        <v>179</v>
      </c>
      <c r="B39" s="18"/>
      <c r="C39" s="18"/>
      <c r="D39"/>
      <c r="E39"/>
      <c r="F39"/>
      <c r="G39" s="206"/>
      <c r="H39" s="206"/>
      <c r="I39" s="181"/>
      <c r="J39"/>
    </row>
    <row r="40" spans="1:10" s="128" customFormat="1" ht="16.5" thickBot="1" x14ac:dyDescent="0.3">
      <c r="A40" s="186"/>
      <c r="B40" s="214"/>
      <c r="C40" s="304" t="s">
        <v>180</v>
      </c>
      <c r="D40" s="297"/>
      <c r="E40" s="297"/>
      <c r="F40" s="297" t="s">
        <v>172</v>
      </c>
      <c r="G40" s="297"/>
      <c r="H40" s="297"/>
      <c r="I40" s="298"/>
    </row>
    <row r="41" spans="1:10" s="128" customFormat="1" ht="15.75" thickBot="1" x14ac:dyDescent="0.3">
      <c r="A41" s="305"/>
      <c r="B41" s="306"/>
      <c r="C41" s="215"/>
      <c r="D41" s="13"/>
      <c r="E41" s="3"/>
      <c r="F41" s="316"/>
      <c r="G41" s="317"/>
      <c r="H41" s="317"/>
      <c r="I41" s="318"/>
    </row>
    <row r="42" spans="1:10" s="128" customFormat="1" ht="15" customHeight="1" thickBot="1" x14ac:dyDescent="0.3">
      <c r="A42" s="307"/>
      <c r="B42" s="308"/>
      <c r="C42" s="314" t="s">
        <v>167</v>
      </c>
      <c r="D42" s="315"/>
      <c r="E42" s="189">
        <f>+E25-G9</f>
        <v>-526467.07671041787</v>
      </c>
      <c r="F42" s="299" t="s">
        <v>168</v>
      </c>
      <c r="G42" s="300"/>
      <c r="H42" s="300"/>
      <c r="I42" s="301"/>
    </row>
    <row r="43" spans="1:10" s="128" customFormat="1" ht="16.5" thickTop="1" thickBot="1" x14ac:dyDescent="0.3">
      <c r="A43" s="309"/>
      <c r="B43" s="310"/>
      <c r="C43" s="190"/>
      <c r="E43" s="191"/>
      <c r="F43" s="316"/>
      <c r="G43" s="317"/>
      <c r="H43" s="317"/>
      <c r="I43" s="318"/>
    </row>
    <row r="44" spans="1:10" s="128" customFormat="1" ht="16.5" thickBot="1" x14ac:dyDescent="0.3">
      <c r="A44" s="130" t="s">
        <v>144</v>
      </c>
      <c r="B44" s="192" t="s">
        <v>169</v>
      </c>
      <c r="C44" s="193" t="s">
        <v>170</v>
      </c>
      <c r="D44" s="194" t="s">
        <v>171</v>
      </c>
      <c r="E44" s="195" t="s">
        <v>89</v>
      </c>
      <c r="F44" s="319" t="s">
        <v>172</v>
      </c>
      <c r="G44" s="320"/>
      <c r="H44" s="320"/>
      <c r="I44" s="321"/>
    </row>
    <row r="45" spans="1:10" s="128" customFormat="1" x14ac:dyDescent="0.25">
      <c r="A45" s="216" t="s">
        <v>150</v>
      </c>
      <c r="B45" s="217" t="s">
        <v>173</v>
      </c>
      <c r="C45" s="218">
        <f>+B24</f>
        <v>253199062.89125696</v>
      </c>
      <c r="D45" s="219">
        <f>+D24-F8</f>
        <v>-1.4584356449621055E-3</v>
      </c>
      <c r="E45" s="220">
        <f>+D45*C45</f>
        <v>-369274.53859161108</v>
      </c>
      <c r="F45" s="322" t="s">
        <v>181</v>
      </c>
      <c r="G45" s="322"/>
      <c r="H45" s="322"/>
      <c r="I45" s="323"/>
      <c r="J45" s="221"/>
    </row>
    <row r="46" spans="1:10" s="128" customFormat="1" ht="15.75" thickBot="1" x14ac:dyDescent="0.3">
      <c r="A46" s="196" t="s">
        <v>150</v>
      </c>
      <c r="B46" s="197" t="s">
        <v>175</v>
      </c>
      <c r="C46" s="222">
        <f>+B8-B24</f>
        <v>1698834.1087430418</v>
      </c>
      <c r="D46" s="223">
        <f>-F8</f>
        <v>-9.2529657433776336E-2</v>
      </c>
      <c r="E46" s="224">
        <f>+C46*D46</f>
        <v>-157192.53811880838</v>
      </c>
      <c r="F46" s="324" t="s">
        <v>176</v>
      </c>
      <c r="G46" s="324"/>
      <c r="H46" s="324"/>
      <c r="I46" s="325"/>
      <c r="J46" s="225"/>
    </row>
    <row r="47" spans="1:10" s="128" customFormat="1" ht="15.75" thickBot="1" x14ac:dyDescent="0.3">
      <c r="A47" s="210"/>
      <c r="B47" s="144"/>
      <c r="C47" s="211" t="s">
        <v>178</v>
      </c>
      <c r="D47" s="211"/>
      <c r="E47" s="213">
        <f>SUM(E45:E46)</f>
        <v>-526467.0767104195</v>
      </c>
      <c r="F47" s="326"/>
      <c r="G47" s="327"/>
      <c r="H47" s="327"/>
      <c r="I47" s="328"/>
    </row>
    <row r="48" spans="1:10" s="128" customFormat="1" ht="15.75" thickTop="1" x14ac:dyDescent="0.25">
      <c r="A48"/>
      <c r="B48" s="78"/>
      <c r="C48"/>
    </row>
    <row r="58" spans="9:11" x14ac:dyDescent="0.25">
      <c r="I58" s="226"/>
      <c r="J58" s="125"/>
      <c r="K58" s="147"/>
    </row>
    <row r="59" spans="9:11" x14ac:dyDescent="0.25">
      <c r="I59" s="226"/>
      <c r="J59" s="125"/>
      <c r="K59" s="147"/>
    </row>
    <row r="60" spans="9:11" x14ac:dyDescent="0.25">
      <c r="I60" s="35"/>
      <c r="J60" s="31"/>
      <c r="K60" s="147"/>
    </row>
  </sheetData>
  <mergeCells count="32">
    <mergeCell ref="F44:I44"/>
    <mergeCell ref="F45:I45"/>
    <mergeCell ref="F46:I46"/>
    <mergeCell ref="F47:I47"/>
    <mergeCell ref="C40:I40"/>
    <mergeCell ref="A41:B43"/>
    <mergeCell ref="F41:I41"/>
    <mergeCell ref="C42:D42"/>
    <mergeCell ref="F42:I42"/>
    <mergeCell ref="F43:I43"/>
    <mergeCell ref="F37:I37"/>
    <mergeCell ref="A21:C21"/>
    <mergeCell ref="D21:E21"/>
    <mergeCell ref="C28:I28"/>
    <mergeCell ref="A29:B31"/>
    <mergeCell ref="F29:I29"/>
    <mergeCell ref="C30:D30"/>
    <mergeCell ref="F30:I30"/>
    <mergeCell ref="F31:I31"/>
    <mergeCell ref="F32:I32"/>
    <mergeCell ref="F33:I33"/>
    <mergeCell ref="F34:I34"/>
    <mergeCell ref="F35:I35"/>
    <mergeCell ref="F36:I36"/>
    <mergeCell ref="A13:C13"/>
    <mergeCell ref="D13:E13"/>
    <mergeCell ref="F13:G13"/>
    <mergeCell ref="A1:I1"/>
    <mergeCell ref="A4:C4"/>
    <mergeCell ref="D4:E4"/>
    <mergeCell ref="F4:G4"/>
    <mergeCell ref="D12:I12"/>
  </mergeCells>
  <pageMargins left="0.7" right="0.7" top="0.75" bottom="0.75" header="0.3" footer="0.3"/>
  <pageSetup paperSize="17"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Whitby - 2018</vt:lpstr>
      <vt:lpstr>Whitby 2018 RPP 2nd TU</vt:lpstr>
      <vt:lpstr>WH Settlement Comparison</vt:lpstr>
      <vt:lpstr>Final RSVA Balances</vt:lpstr>
      <vt:lpstr>'WH Settlement Comparison'!Print_Area</vt:lpstr>
      <vt:lpstr>'Whitby - 2018'!Print_Area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Susan Reffle</cp:lastModifiedBy>
  <dcterms:created xsi:type="dcterms:W3CDTF">2019-07-16T19:41:05Z</dcterms:created>
  <dcterms:modified xsi:type="dcterms:W3CDTF">2019-08-08T15:28:14Z</dcterms:modified>
</cp:coreProperties>
</file>