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55" yWindow="-15" windowWidth="25140" windowHeight="11445" tabRatio="800"/>
  </bookViews>
  <sheets>
    <sheet name="Whitby - 2019" sheetId="5" r:id="rId1"/>
    <sheet name="Whitby 2019 RPP 2nd TU" sheetId="6" r:id="rId2"/>
    <sheet name="EW Settlement Comparison" sheetId="7" r:id="rId3"/>
    <sheet name="Final RSVA Balances" sheetId="9" r:id="rId4"/>
  </sheets>
  <externalReferences>
    <externalReference r:id="rId5"/>
    <externalReference r:id="rId6"/>
    <externalReference r:id="rId7"/>
    <externalReference r:id="rId8"/>
  </externalReferences>
  <definedNames>
    <definedName name="_xlnm.Print_Area" localSheetId="2">'EW Settlement Comparison'!$A$1:$O$88</definedName>
    <definedName name="_xlnm.Print_Area" localSheetId="0">'Whitby - 2019'!$B$1:$E$86</definedName>
    <definedName name="_xlnm.Print_Area" localSheetId="1">'Whitby 2019 RPP 2nd TU'!$A$1:$K$24</definedName>
  </definedNames>
  <calcPr calcId="145621"/>
</workbook>
</file>

<file path=xl/calcChain.xml><?xml version="1.0" encoding="utf-8"?>
<calcChain xmlns="http://schemas.openxmlformats.org/spreadsheetml/2006/main">
  <c r="B18" i="6" l="1"/>
  <c r="B19" i="6"/>
  <c r="B20" i="6"/>
  <c r="B21" i="6"/>
  <c r="B22" i="6"/>
  <c r="J24" i="6"/>
  <c r="G24" i="6"/>
  <c r="K23" i="6"/>
  <c r="E15" i="7" l="1"/>
  <c r="E58" i="7" l="1"/>
  <c r="E62" i="7" l="1"/>
  <c r="O63" i="7" l="1"/>
  <c r="O61" i="7"/>
  <c r="M63" i="7"/>
  <c r="N63" i="7"/>
  <c r="N61" i="7"/>
  <c r="E81" i="7"/>
  <c r="E13" i="7" l="1"/>
  <c r="E12" i="7"/>
  <c r="E11" i="7"/>
  <c r="E7" i="7"/>
  <c r="D11" i="5"/>
  <c r="D10" i="5"/>
  <c r="C10" i="5"/>
  <c r="C11" i="5"/>
  <c r="C17" i="5"/>
  <c r="C78" i="5"/>
  <c r="D78" i="5" l="1"/>
  <c r="C62" i="7" l="1"/>
  <c r="C35" i="7"/>
  <c r="C24" i="7"/>
  <c r="D24" i="9" l="1"/>
  <c r="F15" i="9"/>
  <c r="N62" i="7"/>
  <c r="O62" i="7" l="1"/>
  <c r="E50" i="7" l="1"/>
  <c r="E74" i="7" l="1"/>
  <c r="C16" i="9" l="1"/>
  <c r="F8" i="9"/>
  <c r="C8" i="9"/>
  <c r="C7" i="9"/>
  <c r="B8" i="9"/>
  <c r="C25" i="9"/>
  <c r="G8" i="9" l="1"/>
  <c r="D46" i="9"/>
  <c r="F58" i="7" l="1"/>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C69" i="5" l="1"/>
  <c r="C67" i="5"/>
  <c r="D85" i="5"/>
  <c r="C70" i="5"/>
  <c r="C71" i="5"/>
  <c r="C68" i="5"/>
  <c r="K12" i="6"/>
  <c r="D27" i="5" l="1"/>
  <c r="D5" i="5"/>
  <c r="D6" i="5"/>
  <c r="B6" i="9" l="1"/>
  <c r="B9" i="9" s="1"/>
  <c r="C34" i="5"/>
  <c r="C37" i="5"/>
  <c r="C33" i="5"/>
  <c r="C36" i="5"/>
  <c r="C35" i="5"/>
  <c r="C38" i="5" l="1"/>
  <c r="D71" i="5" l="1"/>
  <c r="D70" i="5"/>
  <c r="D69" i="5"/>
  <c r="D68" i="5"/>
  <c r="D67" i="5"/>
  <c r="E77" i="5"/>
  <c r="F76" i="7" s="1"/>
  <c r="D29" i="5"/>
  <c r="C27" i="5" s="1"/>
  <c r="E27" i="5"/>
  <c r="C6" i="9" s="1"/>
  <c r="C9" i="9" s="1"/>
  <c r="C20" i="5"/>
  <c r="C19" i="5"/>
  <c r="C18" i="5"/>
  <c r="C16" i="5"/>
  <c r="G7" i="9" l="1"/>
  <c r="G9" i="9" s="1"/>
  <c r="E23" i="9"/>
  <c r="E76" i="7"/>
  <c r="C21" i="5"/>
  <c r="E68" i="5"/>
  <c r="E69" i="5"/>
  <c r="E29" i="5"/>
  <c r="E25" i="5" s="1"/>
  <c r="K56" i="5"/>
  <c r="D76" i="5"/>
  <c r="E67" i="5"/>
  <c r="E70" i="5"/>
  <c r="E71" i="5"/>
  <c r="D25" i="5"/>
  <c r="C28" i="5"/>
  <c r="C12" i="5" s="1"/>
  <c r="D72" i="5"/>
  <c r="D84" i="5"/>
  <c r="E78" i="5" l="1"/>
  <c r="E75" i="7" s="1"/>
  <c r="E72" i="5"/>
  <c r="E21" i="7" s="1"/>
  <c r="C29" i="5"/>
  <c r="D86" i="5"/>
  <c r="D8" i="5"/>
  <c r="D60" i="5"/>
  <c r="D54" i="5"/>
  <c r="C54" i="5" s="1"/>
  <c r="J78" i="5" l="1"/>
  <c r="M61" i="7"/>
  <c r="M62" i="7" s="1"/>
  <c r="F75" i="7"/>
  <c r="F77" i="7" s="1"/>
  <c r="E77" i="7"/>
  <c r="F51" i="7"/>
  <c r="C72" i="5"/>
  <c r="J60" i="5"/>
  <c r="C60" i="5"/>
  <c r="J54" i="5"/>
  <c r="E8" i="5"/>
  <c r="D55" i="5"/>
  <c r="J72" i="5"/>
  <c r="G51" i="7" l="1"/>
  <c r="D6" i="9"/>
  <c r="E6" i="9" s="1"/>
  <c r="G77" i="7"/>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H24" i="6" s="1"/>
  <c r="H20" i="6"/>
  <c r="H21" i="6"/>
  <c r="H22" i="6"/>
  <c r="I29" i="7"/>
  <c r="I34" i="7" s="1"/>
  <c r="G34" i="7"/>
  <c r="I35" i="7" l="1"/>
  <c r="I36" i="7"/>
  <c r="E7" i="9"/>
  <c r="D36" i="9"/>
  <c r="E36" i="9" s="1"/>
  <c r="B24" i="6" l="1"/>
  <c r="F21" i="7"/>
  <c r="D34" i="9" l="1"/>
  <c r="E34" i="9" s="1"/>
  <c r="E9" i="9"/>
  <c r="G21" i="7"/>
  <c r="H21" i="7" l="1"/>
  <c r="K85" i="5" l="1"/>
  <c r="C44" i="5"/>
  <c r="E85" i="5"/>
  <c r="C84" i="5" s="1"/>
  <c r="C76" i="5" l="1"/>
  <c r="D16" i="9"/>
  <c r="D17" i="9"/>
  <c r="E17" i="9" s="1"/>
  <c r="I17" i="9" s="1"/>
  <c r="C43" i="5"/>
  <c r="I38" i="7"/>
  <c r="I39" i="7" s="1"/>
  <c r="E86" i="5"/>
  <c r="C86" i="5" s="1"/>
  <c r="E76" i="5"/>
  <c r="K84" i="5"/>
  <c r="K86" i="5" s="1"/>
  <c r="C18" i="6" l="1"/>
  <c r="D15" i="9"/>
  <c r="E15" i="9" s="1"/>
  <c r="E16" i="9"/>
  <c r="I16" i="9" s="1"/>
  <c r="D35" i="9"/>
  <c r="E35" i="9" s="1"/>
  <c r="F53" i="7"/>
  <c r="F54" i="7" s="1"/>
  <c r="E53" i="7"/>
  <c r="J73" i="5"/>
  <c r="J74" i="5" s="1"/>
  <c r="E79" i="5"/>
  <c r="C19" i="6"/>
  <c r="I40" i="7" l="1"/>
  <c r="I18" i="6"/>
  <c r="E18" i="9"/>
  <c r="G53" i="7"/>
  <c r="E54" i="7"/>
  <c r="C20" i="6"/>
  <c r="I19" i="6"/>
  <c r="E24" i="7" l="1"/>
  <c r="G24" i="7" s="1"/>
  <c r="E18" i="7"/>
  <c r="G54" i="7"/>
  <c r="C21" i="6"/>
  <c r="I20" i="6"/>
  <c r="E63" i="7" l="1"/>
  <c r="E65" i="7" s="1"/>
  <c r="C22" i="6"/>
  <c r="I21" i="6"/>
  <c r="I22" i="6" l="1"/>
  <c r="I24" i="6" s="1"/>
  <c r="F22" i="7" l="1"/>
  <c r="G22" i="7" s="1"/>
  <c r="H22" i="7" l="1"/>
  <c r="G15" i="9" l="1"/>
  <c r="C58" i="5" l="1"/>
  <c r="G18" i="9"/>
  <c r="E24" i="9"/>
  <c r="E25" i="9" s="1"/>
  <c r="E42" i="9" s="1"/>
  <c r="D45" i="9"/>
  <c r="E45" i="9" s="1"/>
  <c r="E47" i="9" s="1"/>
  <c r="E58" i="5" l="1"/>
  <c r="E82" i="7"/>
  <c r="F81" i="7" l="1"/>
  <c r="F82" i="7" s="1"/>
  <c r="K58" i="5"/>
  <c r="K61" i="5" s="1"/>
  <c r="E23" i="7"/>
  <c r="E25" i="7" s="1"/>
  <c r="E16" i="7"/>
  <c r="E84" i="7"/>
  <c r="G82" i="7" l="1"/>
  <c r="I84" i="7"/>
  <c r="F84" i="7"/>
  <c r="G84" i="7" s="1"/>
  <c r="I85" i="7" s="1"/>
  <c r="D18" i="6" l="1"/>
  <c r="C57" i="5"/>
  <c r="E57" i="5" s="1"/>
  <c r="J57" i="5" l="1"/>
  <c r="F60" i="7"/>
  <c r="D20" i="6"/>
  <c r="D19" i="6"/>
  <c r="D22" i="6"/>
  <c r="D21" i="6"/>
  <c r="E18" i="6"/>
  <c r="J18" i="6"/>
  <c r="K18" i="6" l="1"/>
  <c r="E22" i="6"/>
  <c r="J22" i="6"/>
  <c r="J20" i="6"/>
  <c r="E20" i="6"/>
  <c r="E21" i="6"/>
  <c r="J21" i="6"/>
  <c r="F18" i="6"/>
  <c r="E19" i="6"/>
  <c r="J19" i="6"/>
  <c r="F20" i="6" l="1"/>
  <c r="K19" i="6"/>
  <c r="K22" i="6"/>
  <c r="F22" i="6"/>
  <c r="K21" i="6"/>
  <c r="F19" i="6"/>
  <c r="F21" i="6"/>
  <c r="K20" i="6"/>
  <c r="K24" i="6" l="1"/>
  <c r="F23" i="7"/>
  <c r="F25" i="7" s="1"/>
  <c r="G23" i="7"/>
  <c r="G25" i="7" l="1"/>
  <c r="H25" i="7" s="1"/>
  <c r="H15" i="9"/>
  <c r="I15" i="9" s="1"/>
  <c r="E59" i="5"/>
  <c r="F61" i="7"/>
  <c r="F63" i="7" s="1"/>
  <c r="H23" i="7"/>
  <c r="I65" i="7" l="1"/>
  <c r="E61" i="5"/>
  <c r="J59" i="5"/>
  <c r="J61" i="5" s="1"/>
  <c r="L61" i="5" s="1"/>
  <c r="H18" i="9"/>
  <c r="D33" i="9"/>
  <c r="E33" i="9" s="1"/>
  <c r="E37" i="9" s="1"/>
  <c r="I18" i="9"/>
  <c r="E30" i="9" s="1"/>
  <c r="F65" i="7"/>
  <c r="G65" i="7" s="1"/>
  <c r="I66" i="7" s="1"/>
  <c r="G63" i="7"/>
</calcChain>
</file>

<file path=xl/sharedStrings.xml><?xml version="1.0" encoding="utf-8"?>
<sst xmlns="http://schemas.openxmlformats.org/spreadsheetml/2006/main" count="316" uniqueCount="209">
  <si>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</si>
  <si>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</si>
  <si>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</si>
  <si>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</si>
  <si>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</si>
  <si>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</si>
  <si>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</si>
  <si>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</si>
  <si>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</si>
  <si>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</si>
  <si>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</si>
  <si>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</si>
  <si>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</si>
  <si>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</si>
  <si>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</si>
  <si>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</si>
  <si>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</si>
  <si>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</si>
  <si>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</si>
  <si>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</si>
  <si>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</si>
  <si>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</si>
  <si>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</si>
  <si>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</si>
  <si>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</si>
  <si>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</si>
  <si>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</si>
  <si>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</si>
  <si>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</si>
  <si>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</si>
  <si>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</si>
  <si>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</si>
  <si>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</si>
  <si>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</si>
  <si>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</si>
  <si>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</si>
  <si>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</si>
  <si>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</si>
  <si>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</si>
  <si>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</si>
  <si>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</si>
  <si>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</si>
  <si>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</si>
  <si>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</si>
  <si>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</si>
  <si>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</si>
  <si>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</si>
  <si>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</si>
  <si>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</si>
  <si>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</si>
  <si>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</si>
  <si>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</si>
  <si>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</si>
  <si>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</si>
  <si>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</si>
  <si>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</si>
  <si>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</si>
  <si>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</si>
  <si>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</si>
  <si>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</si>
  <si>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</si>
  <si>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</si>
  <si>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</si>
  <si>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</si>
  <si>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</si>
  <si>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</si>
  <si>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</si>
  <si>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</si>
  <si>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</si>
  <si>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</si>
  <si>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</si>
  <si>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</si>
  <si>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</si>
  <si>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</si>
  <si>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</si>
  <si>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</si>
  <si>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</si>
  <si>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</si>
  <si>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</si>
  <si>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</si>
  <si>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</si>
  <si>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</si>
  <si>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</si>
  <si>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</si>
  <si>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</si>
  <si>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</si>
  <si>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</si>
  <si>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</si>
  <si>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</si>
  <si>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</si>
  <si>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</si>
  <si>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</si>
  <si>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</si>
  <si>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</si>
  <si>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</si>
  <si>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</si>
  <si>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</si>
  <si>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</si>
  <si>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</si>
  <si>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</si>
  <si>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</si>
  <si>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</si>
  <si>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</si>
  <si>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</si>
  <si>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</si>
  <si>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</si>
  <si>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</si>
  <si>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</si>
  <si>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</si>
  <si>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</si>
  <si>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</si>
  <si>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</si>
  <si>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</si>
  <si>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</si>
  <si>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</si>
  <si>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</si>
  <si>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</si>
  <si>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</si>
  <si>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</si>
  <si>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Cost of Energy (4705)</t>
  </si>
  <si>
    <t>GA - Cost (4707)</t>
  </si>
  <si>
    <t>Total $</t>
  </si>
  <si>
    <t xml:space="preserve">Opening Balance </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</si>
  <si>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</si>
  <si>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</si>
  <si>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</si>
  <si>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</si>
  <si>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</si>
  <si>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</si>
  <si>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</si>
  <si>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</si>
  <si>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</si>
  <si>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</si>
  <si>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</si>
  <si>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</si>
  <si>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</si>
  <si>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</si>
  <si>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</si>
  <si>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</si>
  <si>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</si>
  <si>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</si>
  <si>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</si>
  <si>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</si>
  <si>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</si>
  <si>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</si>
  <si>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</si>
  <si>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</si>
  <si>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</si>
  <si>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</si>
  <si>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</si>
  <si>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</si>
  <si>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</si>
  <si>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</si>
  <si>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</si>
  <si>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</si>
  <si>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</si>
  <si>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</si>
  <si>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</si>
  <si>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</si>
  <si>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</si>
  <si>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</si>
  <si>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</si>
  <si>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</si>
  <si>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</si>
  <si>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</si>
  <si>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</si>
  <si>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</si>
  <si>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</si>
  <si>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</si>
  <si>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</si>
  <si>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</si>
  <si>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</si>
  <si>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</si>
  <si>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</si>
  <si>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</si>
  <si>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</si>
  <si>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</si>
  <si>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</si>
  <si>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</si>
  <si>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</si>
  <si>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</si>
  <si>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</si>
  <si>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</si>
  <si>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</si>
  <si>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</si>
  <si>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</si>
  <si>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W/S kWh</t>
  </si>
  <si>
    <t>EW Method:  Clearing Account - IESO A/R/AP</t>
  </si>
  <si>
    <t>Summary:</t>
  </si>
  <si>
    <t>Energy  Cost</t>
  </si>
  <si>
    <t>GA Cost</t>
  </si>
  <si>
    <t>EW Method - GA CT 148 Split Adjusted for OEB Accounting Guidance</t>
  </si>
  <si>
    <t xml:space="preserve">  Adjustment for OEB Accounting Guidance (UFE)</t>
  </si>
  <si>
    <t>Materiality Threshold</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</si>
  <si>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</si>
  <si>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</si>
  <si>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</si>
  <si>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</si>
  <si>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</si>
  <si>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</si>
  <si>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</si>
  <si>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</si>
  <si>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RPP - actual differential - Billing from CIS Final (RPP - spot)*</t>
  </si>
  <si>
    <t xml:space="preserve">* This line (net of adjustment line) is effectively a combination of the net impact of GA RPP Portion plus 1598 Final Settlement </t>
  </si>
  <si>
    <t>Data for Final RPP Settlement based on Actual Revenue Volumes Jan -Dec 2019:</t>
  </si>
  <si>
    <t>2019</t>
  </si>
  <si>
    <t>Rounding adjustments</t>
  </si>
  <si>
    <t>Summary and Explanation of Final Balances of RSVA 1588 and 1589 -OEB Guidance*</t>
  </si>
  <si>
    <t>* Analysis represents the net activity in the accounts for the year of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</si>
</sst>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00000_-;\-&quot;$&quot;* #,##0.00000_-;_-&quot;$&quot;* &quot;-&quot;??_-;_-@_-"/>
    <numFmt numFmtId="179" formatCode="0.000000"/>
    <numFmt numFmtId="180" formatCode="_(* #,##0.000_);_(* \(#,##0.000\);_(* &quot;-&quot;??_);_(@_)"/>
    <numFmt numFmtId="181" formatCode="0.00000"/>
    <numFmt numFmtId="182" formatCode="\ mm\/dd\/yyyy"/>
    <numFmt numFmtId="183" formatCode="0.0000"/>
    <numFmt numFmtId="184" formatCode="_(* #,##0.000000_);_(* \(#,##0.000000\);_(* &quot;-&quot;??_);_(@_)"/>
    <numFmt numFmtId="185" formatCode="0.0%"/>
    <numFmt numFmtId="186" formatCode="_(&quot;$&quot;* #,##0.000000_);_(&quot;$&quot;* \(#,##0.000000\);_(&quot;$&quot;* &quot;-&quot;??_);_(@_)"/>
    <numFmt numFmtId="187" formatCode="_(* #,##0.0000000_);_(* \(#,##0.0000000\);_(* &quot;-&quot;??_);_(@_)"/>
    <numFmt numFmtId="188" formatCode="_-* #,##0.000000_-;\-* #,##0.000000_-;_-* &quot;-&quot;??_-;_-@_-"/>
    <numFmt numFmtId="189"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lightGray"/>
    </fill>
  </fills>
  <borders count="63">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right/>
      <top style="medium">
        <color indexed="64"/>
      </top>
      <bottom/>
      <diagonal/>
    </border>
    <border>
      <left style="medium">
        <color indexed="64"/>
      </left>
      <right/>
      <top style="thin">
        <color indexed="64"/>
      </top>
      <bottom style="thin">
        <color auto="1"/>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48">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8"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8"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0"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0"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28" xfId="0" applyFont="1" applyBorder="1"/>
    <xf numFmtId="0" fontId="2" fillId="0" borderId="29" xfId="0" applyFont="1" applyBorder="1" applyAlignment="1">
      <alignment horizontal="center"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0"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7" fontId="0" fillId="0" borderId="0" xfId="0" applyNumberFormat="1" applyAlignment="1">
      <alignment wrapText="1"/>
    </xf>
    <xf numFmtId="0" fontId="0" fillId="0" borderId="3" xfId="0" applyFont="1" applyBorder="1"/>
    <xf numFmtId="164" fontId="0" fillId="0" borderId="32" xfId="0" applyNumberFormat="1" applyBorder="1"/>
    <xf numFmtId="0" fontId="0" fillId="0" borderId="32" xfId="0" applyBorder="1"/>
    <xf numFmtId="164" fontId="0" fillId="0" borderId="3" xfId="0" applyNumberFormat="1" applyBorder="1"/>
    <xf numFmtId="167" fontId="0" fillId="0" borderId="3" xfId="0" applyNumberFormat="1" applyBorder="1"/>
    <xf numFmtId="0" fontId="0" fillId="0" borderId="3" xfId="0" applyBorder="1"/>
    <xf numFmtId="164" fontId="0" fillId="0" borderId="33" xfId="0" applyNumberFormat="1" applyBorder="1"/>
    <xf numFmtId="167" fontId="0" fillId="0" borderId="33" xfId="0" applyNumberFormat="1" applyBorder="1"/>
    <xf numFmtId="43" fontId="0" fillId="0" borderId="0" xfId="0" applyNumberFormat="1" applyAlignment="1">
      <alignment wrapText="1"/>
    </xf>
    <xf numFmtId="164" fontId="0" fillId="0" borderId="34" xfId="0" applyNumberFormat="1" applyBorder="1"/>
    <xf numFmtId="0" fontId="0" fillId="0" borderId="25" xfId="0" applyBorder="1"/>
    <xf numFmtId="164" fontId="0" fillId="4" borderId="35"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26" xfId="0" applyFill="1" applyBorder="1"/>
    <xf numFmtId="0" fontId="2" fillId="0" borderId="37" xfId="0" applyFont="1" applyBorder="1" applyAlignment="1">
      <alignment horizontal="center" wrapText="1"/>
    </xf>
    <xf numFmtId="0" fontId="2" fillId="0" borderId="18" xfId="0" applyFont="1" applyBorder="1" applyAlignment="1">
      <alignment horizontal="center" wrapText="1"/>
    </xf>
    <xf numFmtId="0" fontId="2" fillId="0" borderId="18" xfId="0" applyFont="1" applyBorder="1" applyAlignment="1">
      <alignment horizontal="center"/>
    </xf>
    <xf numFmtId="0" fontId="0" fillId="0" borderId="15" xfId="0" applyFont="1" applyBorder="1"/>
    <xf numFmtId="164" fontId="0" fillId="0" borderId="38" xfId="0" applyNumberFormat="1" applyBorder="1"/>
    <xf numFmtId="164" fontId="0" fillId="0" borderId="39" xfId="0" applyNumberFormat="1" applyBorder="1"/>
    <xf numFmtId="167" fontId="0" fillId="0" borderId="38" xfId="0" applyNumberFormat="1" applyBorder="1"/>
    <xf numFmtId="164" fontId="0" fillId="0" borderId="40" xfId="1" applyNumberFormat="1" applyFont="1" applyBorder="1"/>
    <xf numFmtId="164" fontId="0" fillId="0" borderId="41" xfId="0" applyNumberFormat="1" applyBorder="1"/>
    <xf numFmtId="164" fontId="0" fillId="0" borderId="4" xfId="0" applyNumberFormat="1" applyBorder="1"/>
    <xf numFmtId="164" fontId="0" fillId="0" borderId="42" xfId="0" applyNumberFormat="1" applyBorder="1"/>
    <xf numFmtId="167" fontId="0" fillId="0" borderId="27" xfId="0" applyNumberFormat="1" applyBorder="1"/>
    <xf numFmtId="0" fontId="0" fillId="0" borderId="43" xfId="0" applyBorder="1"/>
    <xf numFmtId="164" fontId="0" fillId="0" borderId="23" xfId="0" applyNumberFormat="1" applyBorder="1"/>
    <xf numFmtId="170" fontId="0" fillId="0" borderId="0" xfId="0" applyNumberFormat="1" applyAlignment="1">
      <alignment wrapText="1"/>
    </xf>
    <xf numFmtId="164" fontId="0" fillId="0" borderId="44" xfId="0" applyNumberFormat="1" applyBorder="1"/>
    <xf numFmtId="167" fontId="0" fillId="0" borderId="44" xfId="0" applyNumberFormat="1" applyBorder="1"/>
    <xf numFmtId="164" fontId="0" fillId="0" borderId="42" xfId="0" applyNumberFormat="1" applyFill="1" applyBorder="1"/>
    <xf numFmtId="43" fontId="0" fillId="0" borderId="42" xfId="0" applyNumberFormat="1" applyBorder="1"/>
    <xf numFmtId="188"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45" xfId="0" applyFont="1" applyBorder="1" applyAlignment="1">
      <alignment horizontal="center"/>
    </xf>
    <xf numFmtId="0" fontId="0" fillId="0" borderId="0" xfId="0" applyBorder="1" applyAlignment="1">
      <alignment wrapText="1"/>
    </xf>
    <xf numFmtId="164" fontId="0" fillId="0" borderId="27" xfId="0" applyNumberFormat="1" applyBorder="1"/>
    <xf numFmtId="167" fontId="0" fillId="0" borderId="25" xfId="0" applyNumberFormat="1" applyBorder="1"/>
    <xf numFmtId="164" fontId="0" fillId="4" borderId="46"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1" xfId="0" applyFill="1" applyBorder="1" applyAlignment="1"/>
    <xf numFmtId="0" fontId="2" fillId="0" borderId="4" xfId="0" applyFont="1" applyBorder="1" applyAlignment="1">
      <alignment horizontal="center" wrapText="1"/>
    </xf>
    <xf numFmtId="164" fontId="0" fillId="4" borderId="47"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29" xfId="0" applyFont="1" applyBorder="1"/>
    <xf numFmtId="164" fontId="2" fillId="0" borderId="30" xfId="0" applyNumberFormat="1" applyFont="1" applyFill="1" applyBorder="1" applyAlignment="1">
      <alignment horizontal="center" wrapText="1"/>
    </xf>
    <xf numFmtId="0" fontId="2" fillId="0" borderId="50" xfId="0" applyFont="1" applyBorder="1" applyAlignment="1">
      <alignment horizontal="center" wrapText="1"/>
    </xf>
    <xf numFmtId="0" fontId="2" fillId="0" borderId="36" xfId="0" applyFont="1" applyBorder="1" applyAlignment="1">
      <alignment horizontal="center"/>
    </xf>
    <xf numFmtId="0" fontId="23" fillId="0" borderId="3" xfId="0" applyFont="1" applyBorder="1"/>
    <xf numFmtId="0" fontId="23" fillId="0" borderId="27" xfId="0" applyFont="1" applyBorder="1" applyAlignment="1">
      <alignment wrapText="1"/>
    </xf>
    <xf numFmtId="164" fontId="0" fillId="0" borderId="51" xfId="0" applyNumberFormat="1" applyFill="1" applyBorder="1" applyAlignment="1">
      <alignment wrapText="1"/>
    </xf>
    <xf numFmtId="167" fontId="0" fillId="0" borderId="52" xfId="2" applyNumberFormat="1" applyFont="1" applyFill="1" applyBorder="1" applyAlignment="1">
      <alignment wrapText="1"/>
    </xf>
    <xf numFmtId="165" fontId="0" fillId="0" borderId="53" xfId="0" applyNumberFormat="1" applyFill="1" applyBorder="1" applyAlignment="1">
      <alignment wrapText="1"/>
    </xf>
    <xf numFmtId="164" fontId="0" fillId="0" borderId="11" xfId="0" applyNumberFormat="1" applyBorder="1" applyAlignment="1">
      <alignment wrapText="1"/>
    </xf>
    <xf numFmtId="167" fontId="0" fillId="0" borderId="54" xfId="2" applyNumberFormat="1" applyFont="1" applyFill="1" applyBorder="1" applyAlignment="1">
      <alignment wrapText="1"/>
    </xf>
    <xf numFmtId="165" fontId="0" fillId="0" borderId="55" xfId="0" applyNumberFormat="1" applyBorder="1" applyAlignment="1">
      <alignment wrapText="1"/>
    </xf>
    <xf numFmtId="0" fontId="23" fillId="0" borderId="3" xfId="0" applyFont="1" applyBorder="1" applyAlignment="1">
      <alignment wrapText="1"/>
    </xf>
    <xf numFmtId="167" fontId="0" fillId="0" borderId="54" xfId="0" applyNumberFormat="1" applyBorder="1" applyAlignment="1">
      <alignment wrapText="1"/>
    </xf>
    <xf numFmtId="0" fontId="0" fillId="0" borderId="0" xfId="0" applyAlignment="1"/>
    <xf numFmtId="164" fontId="0" fillId="0" borderId="56" xfId="1" applyNumberFormat="1" applyFont="1" applyBorder="1" applyAlignment="1">
      <alignment wrapText="1"/>
    </xf>
    <xf numFmtId="167" fontId="0" fillId="0" borderId="57" xfId="2" applyNumberFormat="1" applyFont="1" applyBorder="1" applyAlignment="1">
      <alignment wrapText="1"/>
    </xf>
    <xf numFmtId="165" fontId="0" fillId="0" borderId="58" xfId="0" applyNumberFormat="1" applyBorder="1" applyAlignment="1">
      <alignment wrapText="1"/>
    </xf>
    <xf numFmtId="0" fontId="0" fillId="0" borderId="3" xfId="0" applyBorder="1" applyAlignment="1">
      <alignment wrapText="1"/>
    </xf>
    <xf numFmtId="0" fontId="0" fillId="0" borderId="24" xfId="0" applyBorder="1" applyAlignment="1">
      <alignment horizontal="left"/>
    </xf>
    <xf numFmtId="0" fontId="0" fillId="0" borderId="24" xfId="0" applyBorder="1"/>
    <xf numFmtId="164" fontId="0" fillId="0" borderId="59"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15" xfId="0" applyFont="1" applyBorder="1"/>
    <xf numFmtId="0" fontId="23" fillId="0" borderId="7" xfId="0" applyFont="1" applyBorder="1" applyAlignment="1">
      <alignment wrapText="1"/>
    </xf>
    <xf numFmtId="164" fontId="0" fillId="0" borderId="51" xfId="1" applyNumberFormat="1" applyFont="1" applyBorder="1" applyAlignment="1">
      <alignment wrapText="1"/>
    </xf>
    <xf numFmtId="167" fontId="0" fillId="0" borderId="52" xfId="2" applyNumberFormat="1" applyFont="1" applyBorder="1" applyAlignment="1">
      <alignment wrapText="1"/>
    </xf>
    <xf numFmtId="165" fontId="0" fillId="0" borderId="53" xfId="0" applyNumberFormat="1" applyBorder="1" applyAlignment="1">
      <alignment wrapText="1"/>
    </xf>
    <xf numFmtId="44" fontId="0" fillId="0" borderId="0" xfId="0" applyNumberFormat="1" applyAlignment="1">
      <alignment wrapText="1"/>
    </xf>
    <xf numFmtId="164" fontId="0" fillId="0" borderId="56" xfId="0" applyNumberFormat="1" applyBorder="1" applyAlignment="1">
      <alignment wrapText="1"/>
    </xf>
    <xf numFmtId="167" fontId="0" fillId="0" borderId="57" xfId="2" applyNumberFormat="1" applyFont="1" applyFill="1" applyBorder="1" applyAlignment="1">
      <alignment wrapText="1"/>
    </xf>
    <xf numFmtId="165" fontId="0" fillId="0" borderId="58"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43" fontId="0" fillId="0" borderId="0" xfId="0" applyNumberFormat="1" applyFill="1"/>
    <xf numFmtId="173" fontId="0" fillId="0" borderId="0" xfId="2" applyNumberFormat="1" applyFont="1" applyFill="1" applyAlignment="1">
      <alignment horizontal="right"/>
    </xf>
    <xf numFmtId="165"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2" xfId="2" applyNumberFormat="1" applyFont="1" applyBorder="1"/>
    <xf numFmtId="164" fontId="2" fillId="0" borderId="6" xfId="1" applyNumberFormat="1" applyFont="1" applyBorder="1" applyAlignment="1">
      <alignment horizontal="center"/>
    </xf>
    <xf numFmtId="165" fontId="2" fillId="0" borderId="22" xfId="2" applyNumberFormat="1" applyFont="1" applyBorder="1" applyAlignment="1">
      <alignment horizontal="center"/>
    </xf>
    <xf numFmtId="164" fontId="0" fillId="0" borderId="6" xfId="0" applyNumberFormat="1" applyFill="1" applyBorder="1"/>
    <xf numFmtId="165" fontId="0" fillId="0" borderId="22" xfId="2" applyNumberFormat="1" applyFont="1" applyFill="1" applyBorder="1"/>
    <xf numFmtId="164" fontId="0" fillId="0" borderId="7" xfId="1" applyNumberFormat="1" applyFont="1" applyFill="1" applyBorder="1"/>
    <xf numFmtId="165" fontId="0" fillId="0" borderId="60" xfId="0" applyNumberFormat="1" applyFill="1" applyBorder="1"/>
    <xf numFmtId="0" fontId="0" fillId="0" borderId="6" xfId="0" applyFill="1" applyBorder="1"/>
    <xf numFmtId="0" fontId="0" fillId="0" borderId="22"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79"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1" xfId="0" applyBorder="1"/>
    <xf numFmtId="0" fontId="0" fillId="0" borderId="7" xfId="0" applyBorder="1" applyAlignment="1">
      <alignment horizontal="center"/>
    </xf>
    <xf numFmtId="0" fontId="0" fillId="0" borderId="22"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2" xfId="0" applyNumberFormat="1" applyFill="1" applyBorder="1"/>
    <xf numFmtId="165" fontId="0" fillId="0" borderId="27" xfId="0" applyNumberFormat="1" applyFill="1" applyBorder="1"/>
    <xf numFmtId="175" fontId="0" fillId="0" borderId="22" xfId="0" applyNumberFormat="1" applyFill="1" applyBorder="1"/>
    <xf numFmtId="165" fontId="0" fillId="0" borderId="23" xfId="0" applyNumberFormat="1" applyBorder="1"/>
    <xf numFmtId="0" fontId="0" fillId="0" borderId="23" xfId="0" applyFill="1" applyBorder="1"/>
    <xf numFmtId="174" fontId="0" fillId="0" borderId="23" xfId="0" applyNumberFormat="1" applyFill="1" applyBorder="1"/>
    <xf numFmtId="165" fontId="24" fillId="0" borderId="0" xfId="2" applyNumberFormat="1" applyFont="1" applyFill="1" applyAlignment="1">
      <alignment horizontal="left"/>
    </xf>
    <xf numFmtId="167" fontId="0" fillId="3" borderId="33" xfId="0" applyNumberFormat="1" applyFill="1" applyBorder="1"/>
    <xf numFmtId="167" fontId="0" fillId="3" borderId="38" xfId="0" applyNumberFormat="1" applyFill="1" applyBorder="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2"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5"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0" fontId="5" fillId="5" borderId="0" xfId="4" applyFont="1" applyFill="1" applyAlignment="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16" xfId="0" applyFont="1" applyFill="1" applyBorder="1"/>
    <xf numFmtId="0" fontId="0" fillId="5" borderId="17" xfId="0" applyFont="1" applyFill="1" applyBorder="1"/>
    <xf numFmtId="164" fontId="0" fillId="5" borderId="17" xfId="1" applyNumberFormat="1" applyFont="1" applyFill="1" applyBorder="1"/>
    <xf numFmtId="164" fontId="0" fillId="5" borderId="18" xfId="1" applyNumberFormat="1" applyFont="1" applyFill="1" applyBorder="1"/>
    <xf numFmtId="182"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4"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0" fontId="0" fillId="5" borderId="9" xfId="1" applyNumberFormat="1" applyFont="1" applyFill="1" applyBorder="1"/>
    <xf numFmtId="180" fontId="0" fillId="5" borderId="0" xfId="1" applyNumberFormat="1" applyFont="1" applyFill="1" applyBorder="1"/>
    <xf numFmtId="183" fontId="0" fillId="5" borderId="0" xfId="0" applyNumberFormat="1" applyFill="1"/>
    <xf numFmtId="164" fontId="0" fillId="5" borderId="9" xfId="0" applyNumberFormat="1" applyFill="1" applyBorder="1"/>
    <xf numFmtId="0" fontId="0" fillId="5" borderId="12" xfId="0" quotePrefix="1" applyFill="1" applyBorder="1"/>
    <xf numFmtId="0" fontId="0" fillId="5" borderId="12" xfId="0" applyFill="1" applyBorder="1"/>
    <xf numFmtId="164" fontId="0" fillId="5" borderId="12" xfId="1" applyNumberFormat="1" applyFont="1" applyFill="1" applyBorder="1"/>
    <xf numFmtId="183" fontId="0" fillId="5" borderId="12" xfId="0" applyNumberFormat="1" applyFill="1" applyBorder="1"/>
    <xf numFmtId="0" fontId="13" fillId="5" borderId="0" xfId="0" applyFont="1" applyFill="1" applyBorder="1"/>
    <xf numFmtId="0" fontId="0" fillId="5" borderId="0" xfId="0" quotePrefix="1" applyFill="1" applyBorder="1"/>
    <xf numFmtId="181"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79" fontId="23" fillId="5" borderId="0" xfId="0" applyNumberFormat="1" applyFont="1" applyFill="1" applyBorder="1"/>
    <xf numFmtId="184"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3" xfId="0" quotePrefix="1" applyNumberFormat="1" applyFont="1" applyFill="1" applyBorder="1"/>
    <xf numFmtId="38" fontId="15" fillId="5" borderId="13" xfId="0" applyNumberFormat="1" applyFont="1" applyFill="1" applyBorder="1" applyAlignment="1">
      <alignment horizontal="center"/>
    </xf>
    <xf numFmtId="0" fontId="15" fillId="5" borderId="13" xfId="0" applyFont="1" applyFill="1" applyBorder="1" applyAlignment="1">
      <alignment horizontal="center"/>
    </xf>
    <xf numFmtId="38" fontId="23" fillId="5" borderId="14" xfId="0" applyNumberFormat="1" applyFont="1" applyFill="1" applyBorder="1"/>
    <xf numFmtId="164" fontId="23" fillId="5" borderId="14" xfId="0" applyNumberFormat="1" applyFont="1" applyFill="1" applyBorder="1"/>
    <xf numFmtId="0" fontId="23" fillId="5" borderId="14" xfId="0" applyFont="1" applyFill="1" applyBorder="1"/>
    <xf numFmtId="179" fontId="23" fillId="5" borderId="14" xfId="0" applyNumberFormat="1" applyFont="1" applyFill="1" applyBorder="1"/>
    <xf numFmtId="186" fontId="0" fillId="5" borderId="0" xfId="2" applyNumberFormat="1" applyFont="1" applyFill="1"/>
    <xf numFmtId="40" fontId="23" fillId="5" borderId="15" xfId="0" applyNumberFormat="1" applyFont="1" applyFill="1" applyBorder="1"/>
    <xf numFmtId="164" fontId="23" fillId="5" borderId="15" xfId="1" applyNumberFormat="1" applyFont="1" applyFill="1" applyBorder="1"/>
    <xf numFmtId="164" fontId="23" fillId="5" borderId="15" xfId="0" applyNumberFormat="1" applyFont="1" applyFill="1" applyBorder="1"/>
    <xf numFmtId="185" fontId="0" fillId="5" borderId="62"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19" xfId="0" applyNumberFormat="1" applyFill="1" applyBorder="1"/>
    <xf numFmtId="180" fontId="0" fillId="5" borderId="0" xfId="0" applyNumberFormat="1" applyFill="1" applyBorder="1"/>
    <xf numFmtId="183" fontId="0" fillId="5" borderId="0" xfId="0" applyNumberFormat="1" applyFill="1" applyBorder="1"/>
    <xf numFmtId="0" fontId="0" fillId="5" borderId="20"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79" fontId="0" fillId="5" borderId="0" xfId="0" applyNumberFormat="1" applyFill="1"/>
    <xf numFmtId="189" fontId="0" fillId="5" borderId="0" xfId="0" applyNumberFormat="1" applyFill="1"/>
    <xf numFmtId="38" fontId="0" fillId="5" borderId="0" xfId="0" applyNumberFormat="1" applyFill="1"/>
    <xf numFmtId="0" fontId="28" fillId="5" borderId="0" xfId="0" applyFont="1" applyFill="1"/>
    <xf numFmtId="165" fontId="0" fillId="2" borderId="0" xfId="1" applyNumberFormat="1" applyFont="1" applyFill="1"/>
    <xf numFmtId="164" fontId="0" fillId="0" borderId="32" xfId="0" applyNumberFormat="1" applyFill="1" applyBorder="1"/>
    <xf numFmtId="181" fontId="0" fillId="2" borderId="0" xfId="2" applyNumberFormat="1" applyFont="1" applyFill="1"/>
    <xf numFmtId="181" fontId="0" fillId="2" borderId="0" xfId="2" applyNumberFormat="1" applyFont="1" applyFill="1" applyAlignment="1">
      <alignment horizontal="right"/>
    </xf>
    <xf numFmtId="181" fontId="0" fillId="2" borderId="0" xfId="0" applyNumberFormat="1" applyFill="1"/>
    <xf numFmtId="164" fontId="0" fillId="0" borderId="8" xfId="3" applyNumberFormat="1" applyFont="1" applyFill="1" applyBorder="1"/>
    <xf numFmtId="165" fontId="0" fillId="0" borderId="8" xfId="2" applyNumberFormat="1" applyFont="1" applyBorder="1"/>
    <xf numFmtId="167" fontId="0" fillId="0" borderId="32" xfId="0" applyNumberFormat="1" applyFill="1" applyBorder="1"/>
    <xf numFmtId="170" fontId="0" fillId="0" borderId="0" xfId="0" applyNumberFormat="1" applyFill="1"/>
    <xf numFmtId="186" fontId="0" fillId="6" borderId="0" xfId="2" applyNumberFormat="1" applyFont="1" applyFill="1" applyAlignment="1">
      <alignment horizontal="right"/>
    </xf>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1" xfId="0" applyFont="1" applyBorder="1" applyAlignment="1">
      <alignment horizontal="center"/>
    </xf>
    <xf numFmtId="0" fontId="10" fillId="0" borderId="27" xfId="0" applyFont="1" applyFill="1" applyBorder="1" applyAlignment="1">
      <alignment horizontal="center"/>
    </xf>
    <xf numFmtId="0" fontId="10" fillId="0" borderId="1" xfId="0" applyFont="1" applyBorder="1" applyAlignment="1">
      <alignment horizontal="center"/>
    </xf>
    <xf numFmtId="0" fontId="10" fillId="0" borderId="23" xfId="0" applyFont="1" applyBorder="1" applyAlignment="1">
      <alignment horizontal="center"/>
    </xf>
    <xf numFmtId="0" fontId="11" fillId="0" borderId="0" xfId="0" applyFont="1" applyAlignment="1">
      <alignment horizontal="left" wrapText="1"/>
    </xf>
    <xf numFmtId="0" fontId="11" fillId="0" borderId="22" xfId="0" applyFont="1" applyBorder="1" applyAlignment="1">
      <alignment horizontal="left" wrapText="1"/>
    </xf>
    <xf numFmtId="0" fontId="0" fillId="5" borderId="61" xfId="0" applyFill="1" applyBorder="1" applyAlignment="1">
      <alignment horizontal="center" wrapText="1"/>
    </xf>
    <xf numFmtId="0" fontId="0" fillId="5" borderId="19"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36" xfId="0" applyFont="1" applyBorder="1" applyAlignment="1">
      <alignment horizontal="center"/>
    </xf>
    <xf numFmtId="0" fontId="2" fillId="0" borderId="30" xfId="0" applyFont="1" applyBorder="1" applyAlignment="1">
      <alignment horizontal="center" wrapText="1"/>
    </xf>
    <xf numFmtId="0" fontId="2" fillId="0" borderId="17" xfId="0" applyFont="1" applyBorder="1" applyAlignment="1">
      <alignment horizontal="center" wrapText="1"/>
    </xf>
    <xf numFmtId="0" fontId="2" fillId="0" borderId="36" xfId="0" applyFont="1" applyBorder="1" applyAlignment="1">
      <alignment horizontal="center" wrapText="1"/>
    </xf>
    <xf numFmtId="0" fontId="25" fillId="0" borderId="0" xfId="0" applyFont="1" applyAlignment="1">
      <alignment horizontal="center"/>
    </xf>
    <xf numFmtId="0" fontId="2" fillId="3" borderId="25" xfId="0" applyFont="1" applyFill="1" applyBorder="1" applyAlignment="1">
      <alignment horizontal="center"/>
    </xf>
    <xf numFmtId="0" fontId="2" fillId="3" borderId="9" xfId="0" applyFont="1" applyFill="1" applyBorder="1" applyAlignment="1">
      <alignment horizontal="center"/>
    </xf>
    <xf numFmtId="0" fontId="2" fillId="3" borderId="26" xfId="0" applyFont="1" applyFill="1" applyBorder="1" applyAlignment="1">
      <alignment horizontal="center"/>
    </xf>
    <xf numFmtId="0" fontId="22" fillId="3" borderId="27" xfId="0" applyFont="1" applyFill="1" applyBorder="1" applyAlignment="1">
      <alignment horizontal="center" wrapText="1"/>
    </xf>
    <xf numFmtId="0" fontId="22" fillId="3" borderId="23" xfId="0" applyFont="1" applyFill="1" applyBorder="1" applyAlignment="1">
      <alignment horizontal="center" wrapText="1"/>
    </xf>
    <xf numFmtId="0" fontId="22" fillId="3" borderId="27" xfId="0" applyFont="1" applyFill="1" applyBorder="1" applyAlignment="1">
      <alignment horizontal="center"/>
    </xf>
    <xf numFmtId="0" fontId="22" fillId="3" borderId="23" xfId="0" applyFont="1" applyFill="1" applyBorder="1" applyAlignment="1">
      <alignment horizontal="center"/>
    </xf>
    <xf numFmtId="0" fontId="22" fillId="3" borderId="30" xfId="0" applyFont="1" applyFill="1" applyBorder="1" applyAlignment="1">
      <alignment horizontal="center"/>
    </xf>
    <xf numFmtId="0" fontId="22" fillId="3" borderId="17" xfId="0" applyFont="1" applyFill="1" applyBorder="1" applyAlignment="1">
      <alignment horizontal="center"/>
    </xf>
    <xf numFmtId="0" fontId="22" fillId="3" borderId="18" xfId="0" applyFont="1" applyFill="1" applyBorder="1" applyAlignment="1">
      <alignment horizontal="center"/>
    </xf>
    <xf numFmtId="0" fontId="0" fillId="0" borderId="27" xfId="0" applyBorder="1" applyAlignment="1">
      <alignment horizontal="left"/>
    </xf>
    <xf numFmtId="0" fontId="0" fillId="0" borderId="1" xfId="0" applyBorder="1" applyAlignment="1">
      <alignment horizontal="left"/>
    </xf>
    <xf numFmtId="0" fontId="0" fillId="0" borderId="23" xfId="0" applyBorder="1" applyAlignment="1">
      <alignment horizontal="left"/>
    </xf>
    <xf numFmtId="0" fontId="22" fillId="3" borderId="4" xfId="0" applyFont="1" applyFill="1" applyBorder="1" applyAlignment="1">
      <alignment horizontal="center"/>
    </xf>
    <xf numFmtId="0" fontId="22" fillId="3" borderId="21" xfId="0" applyFont="1" applyFill="1" applyBorder="1" applyAlignment="1">
      <alignment horizontal="center"/>
    </xf>
    <xf numFmtId="0" fontId="22" fillId="3" borderId="16" xfId="0" applyFont="1" applyFill="1" applyBorder="1" applyAlignment="1">
      <alignment horizontal="center"/>
    </xf>
    <xf numFmtId="0" fontId="0" fillId="0" borderId="4" xfId="0" applyBorder="1" applyAlignment="1">
      <alignment horizontal="center"/>
    </xf>
    <xf numFmtId="0" fontId="0" fillId="0" borderId="21" xfId="0" applyBorder="1" applyAlignment="1">
      <alignment horizontal="center"/>
    </xf>
    <xf numFmtId="0" fontId="0" fillId="0" borderId="6" xfId="0" applyBorder="1" applyAlignment="1">
      <alignment horizontal="center"/>
    </xf>
    <xf numFmtId="0" fontId="0" fillId="0" borderId="22"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1"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2" xfId="0" applyNumberFormat="1" applyBorder="1" applyAlignment="1">
      <alignment horizontal="center" wrapText="1"/>
    </xf>
    <xf numFmtId="0" fontId="22" fillId="2" borderId="30" xfId="0" applyFont="1" applyFill="1" applyBorder="1" applyAlignment="1">
      <alignment horizontal="center"/>
    </xf>
    <xf numFmtId="0" fontId="22" fillId="2" borderId="17" xfId="0" applyFont="1" applyFill="1" applyBorder="1" applyAlignment="1">
      <alignment horizontal="center"/>
    </xf>
    <xf numFmtId="0" fontId="22" fillId="2" borderId="18" xfId="0" applyFont="1" applyFill="1" applyBorder="1" applyAlignment="1">
      <alignment horizontal="center"/>
    </xf>
    <xf numFmtId="44" fontId="0" fillId="0" borderId="8" xfId="0" applyNumberFormat="1" applyBorder="1" applyAlignment="1">
      <alignment horizontal="left"/>
    </xf>
    <xf numFmtId="44" fontId="0" fillId="0" borderId="24" xfId="0" applyNumberFormat="1" applyBorder="1" applyAlignment="1">
      <alignment horizontal="left"/>
    </xf>
    <xf numFmtId="44" fontId="0" fillId="0" borderId="1" xfId="0" applyNumberFormat="1" applyBorder="1" applyAlignment="1">
      <alignment horizontal="left"/>
    </xf>
    <xf numFmtId="44" fontId="0" fillId="0" borderId="23" xfId="0" applyNumberFormat="1" applyBorder="1" applyAlignment="1">
      <alignment horizontal="left"/>
    </xf>
    <xf numFmtId="0" fontId="0" fillId="0" borderId="27"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169" fontId="0" fillId="0" borderId="0" xfId="0" applyNumberFormat="1" applyFill="1" applyBorder="1"/>
    <xf numFmtId="0" fontId="3" fillId="0" borderId="0" xfId="0" applyFont="1" applyFill="1" applyBorder="1"/>
    <xf numFmtId="0" fontId="2" fillId="0" borderId="0" xfId="0" applyFont="1" applyFill="1" applyBorder="1"/>
    <xf numFmtId="0" fontId="2" fillId="0" borderId="0" xfId="0" applyFont="1" applyFill="1" applyBorder="1" applyAlignment="1">
      <alignment wrapText="1"/>
    </xf>
    <xf numFmtId="164" fontId="0" fillId="0" borderId="0" xfId="3" applyNumberFormat="1" applyFont="1" applyFill="1" applyBorder="1"/>
    <xf numFmtId="167" fontId="0" fillId="0" borderId="0" xfId="0" applyNumberFormat="1" applyFill="1" applyBorder="1"/>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Rates/2020%20Rate%20Application/Whitby%20Rate%20Zone/Reg%20Acctg%20Guidance/Summary%20OEB%20Jan-Apr%202019%20new%20guid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WIRESCO/IMO%20HYDRO%20ONE/IMO%20Rebates/Recs/2019/GA%20True%20Up%20-%20May%20to%20Oct%202019/Reg%20Acctg%20Guidance/Summary%20OEB%20May-Oct%202019%20new%20guidance%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WIRESCO/IMO%20HYDRO%20ONE/IMO%20Rebates/Recs/2020/GA%20True%20up%20-%20Nov%2019%20-%20Apr%2020/Regulatory%20Acctg%20Guidance%20True%20up/Summary%20OEB%20Nov%202019%20-%20Apr%202020%20new%20guidance%20Final%20Nov-Dec19%20True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itby - Jan - Apr 2019"/>
      <sheetName val="Whitby Jan-Apr RPP 2nd TU"/>
      <sheetName val="WH Settlement Comparison"/>
      <sheetName val="Final RSVA Balances"/>
      <sheetName val="Data for 2nd TU"/>
      <sheetName val="RPP 2nd TU"/>
      <sheetName val="T-Accounts"/>
      <sheetName val="T-Accounts Orig"/>
    </sheetNames>
    <sheetDataSet>
      <sheetData sheetId="0"/>
      <sheetData sheetId="1"/>
      <sheetData sheetId="2">
        <row r="7">
          <cell r="E7">
            <v>-8942745.1300000008</v>
          </cell>
        </row>
        <row r="11">
          <cell r="E11">
            <v>-4190801.19</v>
          </cell>
        </row>
        <row r="12">
          <cell r="E12">
            <v>13984084.640000001</v>
          </cell>
        </row>
        <row r="13">
          <cell r="E13">
            <v>354860.25</v>
          </cell>
        </row>
        <row r="15">
          <cell r="E15"/>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itby - May - Oct 2019"/>
      <sheetName val="Whitby May-Oct RPP 2nd TU"/>
      <sheetName val="WH Settlement Comparison"/>
      <sheetName val="Final RSVA Balances"/>
    </sheetNames>
    <sheetDataSet>
      <sheetData sheetId="0"/>
      <sheetData sheetId="1"/>
      <sheetData sheetId="2">
        <row r="7">
          <cell r="E7">
            <v>-17227644.52</v>
          </cell>
        </row>
        <row r="11">
          <cell r="E11">
            <v>-13199311.41</v>
          </cell>
        </row>
        <row r="12">
          <cell r="E12">
            <v>29069297.329999998</v>
          </cell>
        </row>
        <row r="13">
          <cell r="E13">
            <v>996590.01</v>
          </cell>
        </row>
        <row r="15">
          <cell r="E15">
            <v>185309.94099125935</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itby - Nov-Dec 2019"/>
      <sheetName val="Whitby Nov-Dec RPP 2nd TU"/>
      <sheetName val="WH Settlement Comparison"/>
      <sheetName val="Final RSVA Balances"/>
    </sheetNames>
    <sheetDataSet>
      <sheetData sheetId="0"/>
      <sheetData sheetId="1"/>
      <sheetData sheetId="2">
        <row r="7">
          <cell r="E7">
            <v>-8777801</v>
          </cell>
        </row>
        <row r="11">
          <cell r="E11">
            <v>872846.38</v>
          </cell>
        </row>
        <row r="12">
          <cell r="E12">
            <v>7670115.9515463943</v>
          </cell>
        </row>
        <row r="13">
          <cell r="E13">
            <v>71740.34</v>
          </cell>
        </row>
        <row r="15">
          <cell r="E15">
            <v>188083.50470647425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
  <sheetViews>
    <sheetView showGridLines="0" tabSelected="1" zoomScaleNormal="100" workbookViewId="0">
      <selection activeCell="B34" sqref="B34"/>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204</v>
      </c>
      <c r="G1" s="1"/>
    </row>
    <row r="3" spans="1:23" x14ac:dyDescent="0.25">
      <c r="B3" s="2" t="s">
        <v>0</v>
      </c>
      <c r="G3" s="3"/>
      <c r="H3" s="3"/>
      <c r="I3" s="3"/>
      <c r="J3" s="3"/>
      <c r="K3" s="3"/>
      <c r="L3" s="3"/>
      <c r="M3" s="3"/>
      <c r="N3" s="3"/>
      <c r="O3" s="3"/>
      <c r="P3" s="3"/>
    </row>
    <row r="4" spans="1:23" ht="30" x14ac:dyDescent="0.25">
      <c r="B4" s="2"/>
      <c r="C4" s="104" t="s">
        <v>1</v>
      </c>
      <c r="D4" s="103" t="s">
        <v>2</v>
      </c>
      <c r="E4" s="103" t="s">
        <v>3</v>
      </c>
      <c r="G4" s="77"/>
      <c r="H4" s="77"/>
      <c r="I4" s="77"/>
      <c r="J4" s="116"/>
      <c r="K4" s="116"/>
      <c r="L4" s="116"/>
      <c r="M4" s="116"/>
      <c r="N4" s="116"/>
      <c r="O4" s="116"/>
      <c r="P4" s="116"/>
      <c r="Q4" s="116"/>
      <c r="R4" s="116"/>
      <c r="S4" s="116"/>
      <c r="T4" s="116"/>
      <c r="U4" s="116"/>
      <c r="V4" s="116"/>
    </row>
    <row r="5" spans="1:23" x14ac:dyDescent="0.25">
      <c r="A5" s="21"/>
      <c r="B5" s="220" t="s">
        <v>4</v>
      </c>
      <c r="D5" s="6">
        <f>E5</f>
        <v>872402163</v>
      </c>
      <c r="E5" s="111">
        <v>872402163</v>
      </c>
      <c r="G5" s="220"/>
      <c r="H5" s="77"/>
      <c r="I5" s="77"/>
      <c r="J5" s="77"/>
      <c r="K5" s="79"/>
      <c r="L5" s="79"/>
      <c r="M5" s="79"/>
      <c r="N5" s="79"/>
      <c r="O5" s="5"/>
      <c r="P5" s="79"/>
      <c r="Q5" s="5"/>
      <c r="R5" s="5"/>
      <c r="S5" s="5"/>
      <c r="T5" s="5"/>
      <c r="U5" s="5"/>
      <c r="V5" s="5"/>
      <c r="W5" s="55"/>
    </row>
    <row r="6" spans="1:23" x14ac:dyDescent="0.25">
      <c r="A6" s="21"/>
      <c r="B6" s="220" t="s">
        <v>5</v>
      </c>
      <c r="D6" s="5">
        <f>E6</f>
        <v>6416573</v>
      </c>
      <c r="E6" s="111">
        <v>6416573</v>
      </c>
      <c r="G6" s="220"/>
      <c r="H6" s="77"/>
      <c r="I6" s="77"/>
      <c r="J6" s="77"/>
      <c r="K6" s="79"/>
      <c r="L6" s="79"/>
      <c r="M6" s="79"/>
      <c r="N6" s="79"/>
      <c r="O6" s="5"/>
      <c r="P6" s="79"/>
      <c r="Q6" s="5"/>
      <c r="R6" s="5"/>
      <c r="S6" s="5"/>
      <c r="T6" s="5"/>
      <c r="U6" s="5"/>
      <c r="V6" s="5"/>
      <c r="W6" s="55"/>
    </row>
    <row r="7" spans="1:23" x14ac:dyDescent="0.25">
      <c r="A7" s="21"/>
      <c r="B7" s="220" t="s">
        <v>6</v>
      </c>
      <c r="D7" s="110">
        <v>-155069422</v>
      </c>
      <c r="G7" s="220"/>
      <c r="H7" s="77"/>
      <c r="I7" s="77"/>
      <c r="J7" s="77"/>
      <c r="K7" s="5"/>
      <c r="L7" s="5"/>
      <c r="M7" s="5"/>
      <c r="N7" s="5"/>
      <c r="O7" s="5"/>
      <c r="P7" s="5"/>
      <c r="Q7" s="5"/>
      <c r="R7" s="5"/>
      <c r="S7" s="5"/>
      <c r="T7" s="5"/>
      <c r="U7" s="5"/>
      <c r="V7" s="5"/>
      <c r="W7" s="55"/>
    </row>
    <row r="8" spans="1:23" x14ac:dyDescent="0.25">
      <c r="B8" s="4"/>
      <c r="D8" s="10">
        <f>SUM(D5:D7)</f>
        <v>723749314</v>
      </c>
      <c r="E8" s="10">
        <f>SUM(E5:E7)</f>
        <v>878818736</v>
      </c>
      <c r="G8" s="220"/>
      <c r="H8" s="77"/>
      <c r="I8" s="78"/>
      <c r="J8" s="78"/>
      <c r="K8" s="238"/>
      <c r="L8" s="238"/>
      <c r="M8" s="238"/>
      <c r="N8" s="238"/>
      <c r="O8" s="238"/>
      <c r="P8" s="238"/>
      <c r="Q8" s="238"/>
      <c r="R8" s="238"/>
      <c r="S8" s="238"/>
      <c r="T8" s="238"/>
      <c r="U8" s="238"/>
      <c r="V8" s="238"/>
      <c r="W8" s="117"/>
    </row>
    <row r="9" spans="1:23" x14ac:dyDescent="0.25">
      <c r="B9" s="4"/>
      <c r="D9" s="6"/>
      <c r="G9" s="4"/>
      <c r="H9" s="11"/>
      <c r="I9" s="12"/>
      <c r="J9" s="11"/>
      <c r="K9" s="13"/>
      <c r="L9" s="12"/>
      <c r="M9" s="11"/>
      <c r="N9" s="13"/>
      <c r="O9" s="13"/>
      <c r="P9" s="3"/>
    </row>
    <row r="10" spans="1:23" x14ac:dyDescent="0.25">
      <c r="B10" t="s">
        <v>7</v>
      </c>
      <c r="C10" s="15">
        <f>+C27</f>
        <v>0.66700684460725124</v>
      </c>
      <c r="D10" s="5">
        <f>+D8*C10-38501</f>
        <v>482707245.2178027</v>
      </c>
      <c r="E10" s="7">
        <f>+D10</f>
        <v>482707245.2178027</v>
      </c>
      <c r="G10" s="16"/>
      <c r="H10" s="17"/>
      <c r="I10" s="18"/>
      <c r="J10" s="19"/>
      <c r="K10" s="93"/>
      <c r="L10" s="93"/>
      <c r="M10" s="93"/>
      <c r="N10" s="93"/>
      <c r="O10" s="93"/>
      <c r="P10" s="93"/>
      <c r="Q10" s="93"/>
      <c r="R10" s="93"/>
      <c r="S10" s="93"/>
      <c r="T10" s="93"/>
      <c r="U10" s="93"/>
      <c r="V10" s="93"/>
      <c r="W10" s="93"/>
    </row>
    <row r="11" spans="1:23" x14ac:dyDescent="0.25">
      <c r="B11" t="s">
        <v>8</v>
      </c>
      <c r="C11" s="15">
        <f>+C28</f>
        <v>0.33299315539274882</v>
      </c>
      <c r="D11" s="5">
        <f>+D8*C11+38501</f>
        <v>241042068.78219736</v>
      </c>
      <c r="E11" s="7">
        <f>+D11-D7</f>
        <v>396111490.78219736</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723749314</v>
      </c>
      <c r="E12" s="23">
        <f>+E10+E11</f>
        <v>878818736</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3" t="s">
        <v>12</v>
      </c>
      <c r="D15" s="103" t="s">
        <v>11</v>
      </c>
      <c r="E15" s="104"/>
      <c r="H15" s="25"/>
      <c r="I15" s="7"/>
      <c r="J15" s="26"/>
      <c r="K15" s="14"/>
      <c r="L15" s="7"/>
      <c r="M15" s="14"/>
      <c r="N15" s="26"/>
      <c r="O15" s="26"/>
    </row>
    <row r="16" spans="1:23" ht="14.45" x14ac:dyDescent="0.3">
      <c r="B16" t="s">
        <v>13</v>
      </c>
      <c r="C16" s="15">
        <f>C33</f>
        <v>6.6080160507703323E-2</v>
      </c>
      <c r="D16" s="27">
        <f>+C16*$D$10</f>
        <v>31897372.24222371</v>
      </c>
      <c r="E16" s="29"/>
      <c r="H16" s="25"/>
      <c r="I16" s="7"/>
      <c r="J16" s="26"/>
      <c r="K16" s="14"/>
      <c r="L16" s="7"/>
      <c r="M16" s="14"/>
      <c r="N16" s="26"/>
      <c r="O16" s="26"/>
    </row>
    <row r="17" spans="1:23" ht="14.45" x14ac:dyDescent="0.3">
      <c r="B17" t="s">
        <v>14</v>
      </c>
      <c r="C17" s="15">
        <f>C34</f>
        <v>3.3443270417156584E-2</v>
      </c>
      <c r="D17" s="27">
        <f t="shared" ref="D17:D20" si="0">+C17*$D$10</f>
        <v>16143308.934139689</v>
      </c>
      <c r="E17" s="29"/>
      <c r="H17" s="25"/>
      <c r="I17" s="7"/>
      <c r="J17" s="26"/>
      <c r="K17" s="14"/>
      <c r="L17" s="7"/>
      <c r="M17" s="14"/>
      <c r="N17" s="26"/>
      <c r="O17" s="26"/>
    </row>
    <row r="18" spans="1:23" ht="14.45" x14ac:dyDescent="0.3">
      <c r="B18" t="s">
        <v>15</v>
      </c>
      <c r="C18" s="15">
        <f t="shared" ref="C18:C20" si="1">C35</f>
        <v>0.57696412833889388</v>
      </c>
      <c r="D18" s="27">
        <f t="shared" si="0"/>
        <v>278504764.97995824</v>
      </c>
      <c r="E18" s="29"/>
      <c r="H18" s="25"/>
      <c r="I18" s="7"/>
      <c r="J18" s="26"/>
      <c r="K18" s="14"/>
      <c r="L18" s="7"/>
      <c r="M18" s="14"/>
      <c r="N18" s="26"/>
      <c r="O18" s="26"/>
    </row>
    <row r="19" spans="1:23" ht="14.45" x14ac:dyDescent="0.3">
      <c r="B19" t="s">
        <v>16</v>
      </c>
      <c r="C19" s="15">
        <f t="shared" si="1"/>
        <v>0.15637672412934206</v>
      </c>
      <c r="D19" s="27">
        <f t="shared" si="0"/>
        <v>75484177.720659003</v>
      </c>
      <c r="E19" s="29"/>
      <c r="H19" s="25"/>
      <c r="I19" s="7"/>
      <c r="J19" s="26"/>
      <c r="K19" s="14"/>
      <c r="L19" s="7"/>
      <c r="M19" s="14"/>
      <c r="N19" s="26"/>
      <c r="O19" s="26"/>
    </row>
    <row r="20" spans="1:23" ht="14.45" x14ac:dyDescent="0.3">
      <c r="B20" t="s">
        <v>17</v>
      </c>
      <c r="C20" s="15">
        <f t="shared" si="1"/>
        <v>0.1671357166069041</v>
      </c>
      <c r="D20" s="27">
        <f t="shared" si="0"/>
        <v>80677621.340822041</v>
      </c>
      <c r="E20" s="29"/>
      <c r="H20" s="25"/>
      <c r="I20" s="7"/>
      <c r="J20" s="26"/>
      <c r="K20" s="14"/>
      <c r="L20" s="7"/>
      <c r="M20" s="14"/>
      <c r="N20" s="26"/>
      <c r="O20" s="26"/>
    </row>
    <row r="21" spans="1:23" thickBot="1" x14ac:dyDescent="0.35">
      <c r="C21" s="22">
        <f>SUM(C16:C20)</f>
        <v>1</v>
      </c>
      <c r="D21" s="23">
        <f>SUM(D16:D20)</f>
        <v>482707245.2178027</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4" t="s">
        <v>1</v>
      </c>
      <c r="D24" s="103" t="s">
        <v>2</v>
      </c>
      <c r="E24" s="103" t="s">
        <v>3</v>
      </c>
      <c r="G24" s="21"/>
      <c r="H24" s="105"/>
      <c r="I24" s="105"/>
      <c r="J24" s="21"/>
      <c r="K24" s="21"/>
      <c r="L24" s="21"/>
      <c r="M24" s="21"/>
      <c r="N24" s="21"/>
      <c r="O24" s="21"/>
      <c r="P24" s="21"/>
      <c r="Q24" s="21"/>
      <c r="R24" s="21"/>
      <c r="S24" s="21"/>
      <c r="T24" s="21"/>
      <c r="U24" s="21"/>
      <c r="V24" s="21"/>
      <c r="W24" s="21"/>
    </row>
    <row r="25" spans="1:23" ht="14.45" x14ac:dyDescent="0.3">
      <c r="B25" s="220" t="s">
        <v>19</v>
      </c>
      <c r="D25" s="30">
        <f>+D29</f>
        <v>732069485.66999996</v>
      </c>
      <c r="E25" s="7">
        <f>+E29</f>
        <v>887138907.66999996</v>
      </c>
      <c r="G25" s="21"/>
      <c r="H25" s="47"/>
      <c r="I25" s="21"/>
      <c r="J25" s="21"/>
      <c r="K25" s="21"/>
      <c r="L25" s="21"/>
      <c r="M25" s="21"/>
      <c r="N25" s="21"/>
      <c r="O25" s="21"/>
      <c r="P25" s="21"/>
      <c r="Q25" s="21"/>
      <c r="R25" s="21"/>
      <c r="S25" s="21"/>
      <c r="T25" s="21"/>
      <c r="U25" s="21"/>
      <c r="V25" s="21"/>
      <c r="W25" s="21"/>
    </row>
    <row r="26" spans="1:23" ht="14.45" x14ac:dyDescent="0.3">
      <c r="B26" s="220"/>
      <c r="G26" s="21"/>
      <c r="H26" s="21"/>
      <c r="I26" s="21"/>
      <c r="J26" s="21"/>
      <c r="K26" s="116"/>
      <c r="L26" s="116"/>
      <c r="M26" s="116"/>
      <c r="N26" s="116"/>
      <c r="O26" s="116"/>
      <c r="P26" s="116"/>
      <c r="Q26" s="116"/>
      <c r="R26" s="116"/>
      <c r="S26" s="116"/>
      <c r="T26" s="116"/>
      <c r="U26" s="116"/>
      <c r="V26" s="116"/>
      <c r="W26" s="21"/>
    </row>
    <row r="27" spans="1:23" ht="14.45" x14ac:dyDescent="0.3">
      <c r="B27" s="21" t="s">
        <v>20</v>
      </c>
      <c r="C27" s="15">
        <f>+D27/D29</f>
        <v>0.66700684460725124</v>
      </c>
      <c r="D27" s="5">
        <f>D38</f>
        <v>488295357.66999996</v>
      </c>
      <c r="E27" s="7">
        <f>+D27</f>
        <v>488295357.66999996</v>
      </c>
      <c r="G27" s="21"/>
      <c r="H27" s="21"/>
      <c r="I27" s="21"/>
      <c r="J27" s="21"/>
      <c r="K27" s="5"/>
      <c r="L27" s="5"/>
      <c r="M27" s="5"/>
      <c r="N27" s="5"/>
      <c r="O27" s="21"/>
      <c r="P27" s="21"/>
      <c r="Q27" s="21"/>
      <c r="R27" s="21"/>
      <c r="S27" s="21"/>
      <c r="T27" s="21"/>
      <c r="U27" s="21"/>
      <c r="V27" s="21"/>
      <c r="W27" s="21"/>
    </row>
    <row r="28" spans="1:23" x14ac:dyDescent="0.25">
      <c r="A28" s="21"/>
      <c r="B28" s="21" t="s">
        <v>21</v>
      </c>
      <c r="C28" s="15">
        <f>+D28/D29</f>
        <v>0.33299315539274882</v>
      </c>
      <c r="D28" s="110">
        <v>243774128</v>
      </c>
      <c r="E28" s="7">
        <f>+D28-D7</f>
        <v>398843550</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732069485.66999996</v>
      </c>
      <c r="E29" s="23">
        <f>+E27+E28</f>
        <v>887138907.66999996</v>
      </c>
      <c r="F29" s="6"/>
      <c r="G29" s="32"/>
    </row>
    <row r="30" spans="1:23" thickTop="1" x14ac:dyDescent="0.3">
      <c r="G30" s="14"/>
    </row>
    <row r="31" spans="1:23" x14ac:dyDescent="0.3">
      <c r="B31" s="24" t="s">
        <v>23</v>
      </c>
      <c r="D31" s="7">
        <f>D29-D12</f>
        <v>8320171.6699999571</v>
      </c>
      <c r="E31" s="7">
        <f>D31*0.09</f>
        <v>748815.45029999607</v>
      </c>
    </row>
    <row r="32" spans="1:23" ht="31.15" customHeight="1" x14ac:dyDescent="0.3">
      <c r="B32" s="24"/>
      <c r="C32" s="103" t="s">
        <v>12</v>
      </c>
      <c r="D32" s="103" t="s">
        <v>11</v>
      </c>
      <c r="E32" s="104" t="s">
        <v>24</v>
      </c>
      <c r="F32" s="33"/>
      <c r="G32" s="33"/>
      <c r="H32" s="33"/>
      <c r="I32" s="33"/>
      <c r="J32" s="33" t="s">
        <v>121</v>
      </c>
      <c r="K32" s="116"/>
      <c r="L32" s="116"/>
      <c r="M32" s="116"/>
      <c r="N32" s="116"/>
    </row>
    <row r="33" spans="1:27" x14ac:dyDescent="0.25">
      <c r="A33" s="21"/>
      <c r="B33" s="21" t="s">
        <v>13</v>
      </c>
      <c r="C33" s="15">
        <f>D33/D$38</f>
        <v>6.6080160507703323E-2</v>
      </c>
      <c r="D33" s="110">
        <v>32266635.609999999</v>
      </c>
      <c r="E33" s="29">
        <f>J33/D33</f>
        <v>8.5016565598175789E-2</v>
      </c>
      <c r="F33" s="29"/>
      <c r="G33" s="373" t="s">
        <v>196</v>
      </c>
      <c r="H33" s="374"/>
      <c r="I33" s="28"/>
      <c r="J33" s="363">
        <v>2743198.5429699998</v>
      </c>
      <c r="K33" s="21"/>
      <c r="L33" s="21"/>
      <c r="M33" s="21"/>
      <c r="N33" s="21"/>
      <c r="O33" s="7"/>
    </row>
    <row r="34" spans="1:27" x14ac:dyDescent="0.25">
      <c r="A34" s="21"/>
      <c r="B34" s="21" t="s">
        <v>14</v>
      </c>
      <c r="C34" s="15">
        <f>D34/D$38</f>
        <v>3.3443270417156584E-2</v>
      </c>
      <c r="D34" s="110">
        <v>16330193.690000001</v>
      </c>
      <c r="E34" s="29">
        <f>J34/D34</f>
        <v>9.6955955358910384E-2</v>
      </c>
      <c r="F34" s="29"/>
      <c r="G34" s="374"/>
      <c r="H34" s="374"/>
      <c r="I34" s="28"/>
      <c r="J34" s="363">
        <v>1583309.5304100001</v>
      </c>
      <c r="K34" s="21"/>
      <c r="L34" s="21"/>
      <c r="M34" s="21"/>
      <c r="N34" s="21"/>
      <c r="O34" s="7"/>
    </row>
    <row r="35" spans="1:27" x14ac:dyDescent="0.25">
      <c r="A35" s="21"/>
      <c r="B35" s="21" t="s">
        <v>15</v>
      </c>
      <c r="C35" s="15">
        <f>D35/D$38</f>
        <v>0.57696412833889388</v>
      </c>
      <c r="D35" s="110">
        <v>281728905.40999997</v>
      </c>
      <c r="E35" s="29">
        <f>J35/D35</f>
        <v>7.1124493429202656E-2</v>
      </c>
      <c r="F35" s="29"/>
      <c r="G35" s="374"/>
      <c r="H35" s="374"/>
      <c r="I35" s="28"/>
      <c r="J35" s="363">
        <v>20037825.681649998</v>
      </c>
      <c r="K35" s="21"/>
      <c r="L35" s="21"/>
      <c r="M35" s="21"/>
      <c r="N35" s="21"/>
      <c r="O35" s="7"/>
    </row>
    <row r="36" spans="1:27" x14ac:dyDescent="0.25">
      <c r="A36" s="21"/>
      <c r="B36" s="21" t="s">
        <v>16</v>
      </c>
      <c r="C36" s="15">
        <f>D36/D$38</f>
        <v>0.15637672412934206</v>
      </c>
      <c r="D36" s="110">
        <v>76358028.439999998</v>
      </c>
      <c r="E36" s="29">
        <f>J36/D36</f>
        <v>0.10207422300700775</v>
      </c>
      <c r="F36" s="29"/>
      <c r="G36" s="374"/>
      <c r="H36" s="374"/>
      <c r="I36" s="28"/>
      <c r="J36" s="363">
        <v>7794186.4233599994</v>
      </c>
      <c r="K36" s="21"/>
      <c r="L36" s="21"/>
      <c r="M36" s="21"/>
      <c r="N36" s="21"/>
      <c r="O36" s="7"/>
    </row>
    <row r="37" spans="1:27" x14ac:dyDescent="0.25">
      <c r="A37" s="21"/>
      <c r="B37" s="21" t="s">
        <v>76</v>
      </c>
      <c r="C37" s="15">
        <f>D37/D$38</f>
        <v>0.1671357166069041</v>
      </c>
      <c r="D37" s="110">
        <v>81611594.519999996</v>
      </c>
      <c r="E37" s="29">
        <f>J37/D37</f>
        <v>0.14534170467326388</v>
      </c>
      <c r="F37" s="29"/>
      <c r="G37" s="374"/>
      <c r="H37" s="374"/>
      <c r="I37" s="28"/>
      <c r="J37" s="363">
        <v>11861568.26864</v>
      </c>
      <c r="K37" s="21"/>
      <c r="L37" s="21"/>
      <c r="M37" s="21"/>
      <c r="N37" s="21"/>
      <c r="O37" s="7"/>
    </row>
    <row r="38" spans="1:27" ht="15.75" thickBot="1" x14ac:dyDescent="0.3">
      <c r="B38" s="21" t="s">
        <v>77</v>
      </c>
      <c r="C38" s="22">
        <f>SUM(C33:C37)</f>
        <v>1</v>
      </c>
      <c r="D38" s="23">
        <v>488295357.66999996</v>
      </c>
      <c r="G38" s="47"/>
      <c r="H38" s="21"/>
      <c r="I38" s="21"/>
      <c r="J38" s="69">
        <f>SUM(J33:J37)</f>
        <v>44020088.447029993</v>
      </c>
      <c r="K38" s="119"/>
      <c r="L38" s="119"/>
      <c r="M38" s="119"/>
      <c r="N38" s="119"/>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3" t="s">
        <v>26</v>
      </c>
      <c r="N41" s="21"/>
      <c r="O41" s="21"/>
      <c r="P41" s="21"/>
      <c r="Q41" s="21"/>
      <c r="R41" s="21"/>
      <c r="S41" s="21"/>
      <c r="T41" s="21"/>
      <c r="U41" s="21"/>
      <c r="V41" s="21"/>
      <c r="W41" s="21"/>
      <c r="X41" s="21"/>
      <c r="Y41" s="21"/>
      <c r="Z41" s="21"/>
      <c r="AA41" s="21"/>
    </row>
    <row r="42" spans="1:27" x14ac:dyDescent="0.25">
      <c r="B42" s="2" t="s">
        <v>27</v>
      </c>
      <c r="C42" s="103" t="s">
        <v>28</v>
      </c>
      <c r="N42" s="116"/>
      <c r="O42" s="116"/>
      <c r="P42" s="116"/>
      <c r="Q42" s="116"/>
      <c r="R42" s="116"/>
      <c r="S42" s="116"/>
      <c r="T42" s="116"/>
      <c r="U42" s="116"/>
      <c r="V42" s="116"/>
      <c r="W42" s="116"/>
      <c r="X42" s="116"/>
      <c r="Y42" s="116"/>
      <c r="Z42" s="21"/>
      <c r="AA42" s="21"/>
    </row>
    <row r="43" spans="1:27" x14ac:dyDescent="0.25">
      <c r="B43" t="s">
        <v>29</v>
      </c>
      <c r="C43" s="25">
        <f>+C84</f>
        <v>1.8578765838136418E-2</v>
      </c>
      <c r="D43" s="221"/>
      <c r="G43" s="31"/>
      <c r="H43" s="35"/>
      <c r="N43" s="5"/>
      <c r="O43" s="5"/>
      <c r="P43" s="5"/>
      <c r="Q43" s="5"/>
      <c r="R43" s="5"/>
      <c r="S43" s="5"/>
      <c r="T43" s="5"/>
      <c r="U43" s="5"/>
      <c r="V43" s="5"/>
      <c r="W43" s="5"/>
      <c r="X43" s="5"/>
      <c r="Y43" s="5"/>
      <c r="Z43" s="5"/>
      <c r="AA43" s="21"/>
    </row>
    <row r="44" spans="1:27" x14ac:dyDescent="0.25">
      <c r="B44" t="s">
        <v>30</v>
      </c>
      <c r="C44" s="25">
        <f>+C85</f>
        <v>1.787990608083834E-2</v>
      </c>
      <c r="D44" s="221"/>
      <c r="E44" s="31"/>
      <c r="G44" s="31"/>
      <c r="H44" s="35"/>
      <c r="N44" s="5"/>
      <c r="O44" s="5"/>
      <c r="P44" s="5"/>
      <c r="Q44" s="5"/>
      <c r="R44" s="5"/>
      <c r="S44" s="5"/>
      <c r="T44" s="5"/>
      <c r="U44" s="5"/>
      <c r="V44" s="5"/>
      <c r="W44" s="5"/>
      <c r="X44" s="5"/>
      <c r="Y44" s="5"/>
      <c r="Z44" s="5"/>
      <c r="AA44" s="21"/>
    </row>
    <row r="45" spans="1:27" x14ac:dyDescent="0.25">
      <c r="A45" s="21"/>
      <c r="B45" s="21" t="s">
        <v>31</v>
      </c>
      <c r="C45" s="365">
        <v>0.1057160930114306</v>
      </c>
      <c r="D45" s="21"/>
      <c r="E45" s="37"/>
      <c r="N45" s="243"/>
      <c r="O45" s="243"/>
      <c r="P45" s="243"/>
      <c r="Q45" s="243"/>
      <c r="R45" s="243"/>
      <c r="S45" s="243"/>
      <c r="T45" s="243"/>
      <c r="U45" s="243"/>
      <c r="V45" s="243"/>
      <c r="W45" s="243"/>
      <c r="X45" s="243"/>
      <c r="Y45" s="243"/>
      <c r="Z45" s="243"/>
      <c r="AA45" s="21"/>
    </row>
    <row r="46" spans="1:27" x14ac:dyDescent="0.25">
      <c r="B46" s="21" t="s">
        <v>32</v>
      </c>
      <c r="C46" s="222" t="s">
        <v>170</v>
      </c>
      <c r="D46" s="21"/>
      <c r="E46" s="31"/>
      <c r="N46" s="21"/>
      <c r="O46" s="21"/>
      <c r="P46" s="21"/>
      <c r="Q46" s="21"/>
      <c r="R46" s="21"/>
      <c r="S46" s="21"/>
      <c r="T46" s="21"/>
      <c r="U46" s="21"/>
      <c r="V46" s="21"/>
      <c r="W46" s="21"/>
      <c r="X46" s="21"/>
      <c r="Y46" s="21"/>
      <c r="Z46" s="21"/>
      <c r="AA46" s="21"/>
    </row>
    <row r="47" spans="1:27" x14ac:dyDescent="0.25">
      <c r="B47" s="21" t="s">
        <v>33</v>
      </c>
      <c r="C47" s="222" t="s">
        <v>170</v>
      </c>
      <c r="D47" s="21"/>
      <c r="N47" s="5"/>
      <c r="O47" s="5"/>
      <c r="P47" s="5"/>
      <c r="Q47" s="5"/>
      <c r="R47" s="5"/>
      <c r="S47" s="5"/>
      <c r="T47" s="5"/>
      <c r="U47" s="5"/>
      <c r="V47" s="5"/>
      <c r="W47" s="5"/>
      <c r="X47" s="5"/>
      <c r="Y47" s="5"/>
      <c r="Z47" s="5"/>
      <c r="AA47" s="21"/>
    </row>
    <row r="48" spans="1:27" x14ac:dyDescent="0.25">
      <c r="A48" s="21"/>
      <c r="B48" s="21" t="s">
        <v>34</v>
      </c>
      <c r="C48" s="372"/>
      <c r="D48" s="108" t="s">
        <v>171</v>
      </c>
      <c r="G48" s="263" t="s">
        <v>195</v>
      </c>
      <c r="N48" s="5"/>
      <c r="O48" s="5"/>
      <c r="P48" s="5"/>
      <c r="Q48" s="5"/>
      <c r="R48" s="5"/>
      <c r="S48" s="5"/>
      <c r="T48" s="5"/>
      <c r="U48" s="5"/>
      <c r="V48" s="5"/>
      <c r="W48" s="5"/>
      <c r="X48" s="5"/>
      <c r="Y48" s="5"/>
      <c r="Z48" s="5"/>
      <c r="AA48" s="21"/>
    </row>
    <row r="49" spans="1:28" x14ac:dyDescent="0.25">
      <c r="C49" s="366">
        <v>0.10802966172243099</v>
      </c>
      <c r="D49" s="108" t="s">
        <v>172</v>
      </c>
      <c r="E49" s="21"/>
      <c r="G49" s="375" t="s">
        <v>197</v>
      </c>
      <c r="H49" s="376"/>
      <c r="I49" s="376"/>
      <c r="J49" s="376"/>
      <c r="N49" s="243"/>
      <c r="O49" s="243"/>
      <c r="P49" s="243"/>
      <c r="Q49" s="243"/>
      <c r="R49" s="243"/>
      <c r="S49" s="243"/>
      <c r="T49" s="243"/>
      <c r="U49" s="243"/>
      <c r="V49" s="243"/>
      <c r="W49" s="243"/>
      <c r="X49" s="243"/>
      <c r="Y49" s="243"/>
      <c r="Z49" s="243"/>
      <c r="AA49" s="21"/>
    </row>
    <row r="50" spans="1:28" ht="18.75" x14ac:dyDescent="0.3">
      <c r="B50" s="1" t="s">
        <v>35</v>
      </c>
      <c r="C50" s="367">
        <v>0.10789274501981845</v>
      </c>
      <c r="D50" s="108" t="s">
        <v>173</v>
      </c>
      <c r="E50" s="21"/>
      <c r="G50" s="376"/>
      <c r="H50" s="376"/>
      <c r="I50" s="376"/>
      <c r="J50" s="376"/>
      <c r="N50" s="21"/>
      <c r="O50" s="21"/>
      <c r="P50" s="21"/>
      <c r="Q50" s="21"/>
      <c r="R50" s="21"/>
      <c r="S50" s="21"/>
      <c r="T50" s="21"/>
      <c r="U50" s="21"/>
      <c r="V50" s="21"/>
      <c r="W50" s="21"/>
      <c r="X50" s="21"/>
      <c r="Y50" s="21"/>
      <c r="Z50" s="21"/>
      <c r="AA50" s="21"/>
    </row>
    <row r="51" spans="1:28" x14ac:dyDescent="0.25">
      <c r="B51" s="6"/>
      <c r="C51" s="36"/>
      <c r="D51" s="38"/>
      <c r="N51" s="116"/>
      <c r="O51" s="116"/>
      <c r="P51" s="116"/>
      <c r="Q51" s="116"/>
      <c r="R51" s="116"/>
      <c r="S51" s="116"/>
      <c r="T51" s="116"/>
      <c r="U51" s="116"/>
      <c r="V51" s="116"/>
      <c r="W51" s="116"/>
      <c r="X51" s="116"/>
      <c r="Y51" s="116"/>
      <c r="Z51" s="77"/>
      <c r="AA51" s="77"/>
      <c r="AB51" s="77"/>
    </row>
    <row r="52" spans="1:28" x14ac:dyDescent="0.25">
      <c r="B52" s="24" t="s">
        <v>36</v>
      </c>
      <c r="J52" s="382" t="s">
        <v>188</v>
      </c>
      <c r="K52" s="383"/>
      <c r="L52" s="247"/>
      <c r="N52" s="54"/>
      <c r="O52" s="54"/>
      <c r="P52" s="54"/>
      <c r="Q52" s="54"/>
      <c r="R52" s="54"/>
      <c r="S52" s="54"/>
      <c r="T52" s="54"/>
      <c r="U52" s="54"/>
      <c r="V52" s="54"/>
      <c r="W52" s="54"/>
      <c r="X52" s="54"/>
      <c r="Y52" s="54"/>
      <c r="Z52" s="79"/>
      <c r="AA52" s="77"/>
      <c r="AB52" s="77"/>
    </row>
    <row r="53" spans="1:28" x14ac:dyDescent="0.25">
      <c r="B53" s="24"/>
      <c r="C53" s="103" t="s">
        <v>37</v>
      </c>
      <c r="D53" s="12" t="s">
        <v>11</v>
      </c>
      <c r="E53" s="39" t="s">
        <v>38</v>
      </c>
      <c r="F53" s="2"/>
      <c r="H53" s="244"/>
      <c r="I53" s="245"/>
      <c r="J53" s="248" t="s">
        <v>189</v>
      </c>
      <c r="K53" s="109" t="s">
        <v>190</v>
      </c>
      <c r="L53" s="249"/>
      <c r="N53" s="54"/>
      <c r="O53" s="54"/>
      <c r="P53" s="54"/>
      <c r="Q53" s="54"/>
      <c r="R53" s="54"/>
      <c r="S53" s="54"/>
      <c r="T53" s="54"/>
      <c r="U53" s="54"/>
      <c r="V53" s="54"/>
      <c r="W53" s="54"/>
      <c r="X53" s="54"/>
      <c r="Y53" s="54"/>
      <c r="Z53" s="79"/>
      <c r="AA53" s="77"/>
      <c r="AB53" s="77"/>
    </row>
    <row r="54" spans="1:28" x14ac:dyDescent="0.25">
      <c r="A54" s="21"/>
      <c r="B54" s="21" t="s">
        <v>39</v>
      </c>
      <c r="C54" s="36">
        <f>E54/D54</f>
        <v>0.59646978379268811</v>
      </c>
      <c r="D54" s="7">
        <f>+E6</f>
        <v>6416573</v>
      </c>
      <c r="E54" s="223">
        <v>3827291.91</v>
      </c>
      <c r="F54" s="4"/>
      <c r="G54" s="5">
        <f>E54+E55+E60</f>
        <v>16050541.130000003</v>
      </c>
      <c r="H54" s="244"/>
      <c r="I54" s="245"/>
      <c r="J54" s="250">
        <f>E54</f>
        <v>3827291.91</v>
      </c>
      <c r="K54" s="3"/>
      <c r="L54" s="249"/>
      <c r="N54" s="79"/>
      <c r="O54" s="79"/>
      <c r="P54" s="79"/>
      <c r="Q54" s="79"/>
      <c r="R54" s="79"/>
      <c r="S54" s="79"/>
      <c r="T54" s="79"/>
      <c r="U54" s="79"/>
      <c r="V54" s="79"/>
      <c r="W54" s="79"/>
      <c r="X54" s="79"/>
      <c r="Y54" s="79"/>
      <c r="Z54" s="79"/>
      <c r="AA54" s="77"/>
      <c r="AB54" s="77"/>
    </row>
    <row r="55" spans="1:28" x14ac:dyDescent="0.25">
      <c r="A55" s="21"/>
      <c r="B55" s="21" t="s">
        <v>40</v>
      </c>
      <c r="C55" s="36">
        <f>E55/D55</f>
        <v>1.8278305094023478E-2</v>
      </c>
      <c r="D55" s="47">
        <f>+E5</f>
        <v>872402163</v>
      </c>
      <c r="E55" s="223">
        <v>15946032.9</v>
      </c>
      <c r="F55" s="26"/>
      <c r="G55" s="377" t="s">
        <v>199</v>
      </c>
      <c r="H55" s="375"/>
      <c r="J55" s="250">
        <f>+E55</f>
        <v>15946032.9</v>
      </c>
      <c r="K55" s="3"/>
      <c r="L55" s="249"/>
      <c r="N55" s="79"/>
      <c r="O55" s="79"/>
      <c r="P55" s="79"/>
      <c r="Q55" s="79"/>
      <c r="R55" s="79"/>
      <c r="S55" s="79"/>
      <c r="T55" s="79"/>
      <c r="U55" s="79"/>
      <c r="V55" s="79"/>
      <c r="W55" s="79"/>
      <c r="X55" s="79"/>
      <c r="Y55" s="79"/>
      <c r="Z55" s="79"/>
      <c r="AA55" s="77"/>
      <c r="AB55" s="77"/>
    </row>
    <row r="56" spans="1:28" x14ac:dyDescent="0.25">
      <c r="A56" s="21"/>
      <c r="B56" s="21" t="s">
        <v>41</v>
      </c>
      <c r="C56" s="36"/>
      <c r="D56" s="7"/>
      <c r="E56" s="223">
        <v>11358101.689999999</v>
      </c>
      <c r="F56" s="26"/>
      <c r="G56" s="375"/>
      <c r="H56" s="375"/>
      <c r="I56" s="21"/>
      <c r="J56" s="94"/>
      <c r="K56" s="80">
        <f>E56</f>
        <v>11358101.689999999</v>
      </c>
      <c r="L56" s="249"/>
      <c r="N56" s="79"/>
      <c r="O56" s="79"/>
      <c r="P56" s="79"/>
      <c r="Q56" s="79"/>
      <c r="R56" s="79"/>
      <c r="S56" s="79"/>
      <c r="T56" s="79"/>
      <c r="U56" s="79"/>
      <c r="V56" s="79"/>
      <c r="W56" s="79"/>
      <c r="X56" s="79"/>
      <c r="Y56" s="79"/>
      <c r="Z56" s="79"/>
      <c r="AA56" s="77"/>
      <c r="AB56" s="77"/>
    </row>
    <row r="57" spans="1:28" ht="17.25" x14ac:dyDescent="0.25">
      <c r="B57" s="21" t="s">
        <v>42</v>
      </c>
      <c r="C57" s="42">
        <f>C49</f>
        <v>0.10802966172243099</v>
      </c>
      <c r="D57" s="7">
        <f>+D10</f>
        <v>482707245.2178027</v>
      </c>
      <c r="E57" s="40">
        <f>+D57*C57</f>
        <v>52146700.411845773</v>
      </c>
      <c r="F57" s="40"/>
      <c r="G57" s="375"/>
      <c r="H57" s="375"/>
      <c r="I57" s="21"/>
      <c r="J57" s="251">
        <f>+E57</f>
        <v>52146700.411845773</v>
      </c>
      <c r="K57" s="77"/>
      <c r="L57" s="249"/>
      <c r="N57" s="79"/>
      <c r="O57" s="79"/>
      <c r="P57" s="79"/>
      <c r="Q57" s="79"/>
      <c r="R57" s="79"/>
      <c r="S57" s="77"/>
      <c r="T57" s="77"/>
      <c r="U57" s="77"/>
      <c r="V57" s="77"/>
      <c r="W57" s="77"/>
      <c r="X57" s="77"/>
      <c r="Y57" s="77"/>
      <c r="Z57" s="77"/>
      <c r="AA57" s="77"/>
      <c r="AB57" s="77"/>
    </row>
    <row r="58" spans="1:28" ht="17.25" x14ac:dyDescent="0.25">
      <c r="B58" s="21" t="s">
        <v>43</v>
      </c>
      <c r="C58" s="42">
        <f>C50</f>
        <v>0.10789274501981845</v>
      </c>
      <c r="D58" s="7">
        <f>+D11</f>
        <v>241042068.78219736</v>
      </c>
      <c r="E58" s="40">
        <f>+D58*C58</f>
        <v>26006690.466167159</v>
      </c>
      <c r="F58" s="40"/>
      <c r="G58" s="375"/>
      <c r="H58" s="375"/>
      <c r="I58" s="21"/>
      <c r="J58" s="236"/>
      <c r="K58" s="80">
        <f>E58</f>
        <v>26006690.466167159</v>
      </c>
      <c r="L58" s="249"/>
      <c r="N58" s="79"/>
      <c r="O58" s="79"/>
      <c r="P58" s="79"/>
      <c r="Q58" s="79"/>
      <c r="R58" s="79"/>
      <c r="S58" s="77"/>
      <c r="T58" s="77"/>
      <c r="U58" s="77"/>
      <c r="V58" s="77"/>
      <c r="W58" s="77"/>
      <c r="X58" s="77"/>
      <c r="Y58" s="77"/>
      <c r="Z58" s="77"/>
      <c r="AA58" s="77"/>
      <c r="AB58" s="77"/>
    </row>
    <row r="59" spans="1:28" ht="17.25" x14ac:dyDescent="0.25">
      <c r="B59" t="s">
        <v>44</v>
      </c>
      <c r="C59" s="25"/>
      <c r="D59" s="7"/>
      <c r="E59" s="40">
        <f>'Whitby 2019 RPP 2nd TU'!K24</f>
        <v>-17637296.177478239</v>
      </c>
      <c r="F59" s="259" t="s">
        <v>174</v>
      </c>
      <c r="J59" s="251">
        <f>E59</f>
        <v>-17637296.177478239</v>
      </c>
      <c r="K59" s="252"/>
      <c r="L59" s="253"/>
      <c r="M59" s="108"/>
      <c r="N59" s="79"/>
      <c r="O59" s="79"/>
      <c r="P59" s="79"/>
      <c r="Q59" s="79"/>
      <c r="R59" s="79"/>
      <c r="S59" s="77"/>
      <c r="T59" s="77"/>
      <c r="U59" s="77"/>
      <c r="V59" s="77"/>
      <c r="W59" s="77"/>
      <c r="X59" s="77"/>
      <c r="Y59" s="77"/>
      <c r="Z59" s="77"/>
      <c r="AA59" s="77"/>
      <c r="AB59" s="77"/>
    </row>
    <row r="60" spans="1:28" x14ac:dyDescent="0.25">
      <c r="A60" s="21"/>
      <c r="B60" s="21" t="s">
        <v>45</v>
      </c>
      <c r="C60" s="25">
        <f>E60/D60</f>
        <v>-0.58018254915824996</v>
      </c>
      <c r="D60" s="7">
        <f>+E6</f>
        <v>6416573</v>
      </c>
      <c r="E60" s="223">
        <v>-3722783.6799999997</v>
      </c>
      <c r="F60" s="40"/>
      <c r="G60" s="26"/>
      <c r="H60" s="42"/>
      <c r="I60" s="21"/>
      <c r="J60" s="251">
        <f>+E60</f>
        <v>-3722783.6799999997</v>
      </c>
      <c r="K60" s="77"/>
      <c r="L60" s="249"/>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87924737.520534694</v>
      </c>
      <c r="F61" s="44"/>
      <c r="G61" s="44"/>
      <c r="H61" s="45"/>
      <c r="I61" s="45"/>
      <c r="J61" s="254">
        <f>SUM(J54:J60)</f>
        <v>50559945.364367537</v>
      </c>
      <c r="K61" s="246">
        <f>SUM(K54:K60)</f>
        <v>37364792.156167157</v>
      </c>
      <c r="L61" s="256">
        <f>SUM(J61:K61)</f>
        <v>87924737.520534694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39"/>
      <c r="O64" s="239"/>
      <c r="P64" s="239"/>
      <c r="Q64" s="239"/>
      <c r="R64" s="80"/>
      <c r="S64" s="80"/>
      <c r="T64" s="80"/>
      <c r="U64" s="80"/>
      <c r="V64" s="80"/>
      <c r="W64" s="80"/>
      <c r="X64" s="80"/>
      <c r="Y64" s="80"/>
      <c r="Z64" s="79"/>
      <c r="AA64" s="77"/>
      <c r="AB64" s="77"/>
    </row>
    <row r="65" spans="2:28" x14ac:dyDescent="0.25">
      <c r="B65" s="24" t="s">
        <v>48</v>
      </c>
      <c r="C65" s="105"/>
      <c r="D65" s="105"/>
      <c r="E65" s="105"/>
      <c r="G65" s="105"/>
      <c r="H65" s="105"/>
      <c r="I65" s="21"/>
      <c r="J65" s="21"/>
      <c r="K65" s="21"/>
      <c r="N65" s="79"/>
      <c r="O65" s="79"/>
      <c r="P65" s="79"/>
      <c r="Q65" s="79"/>
      <c r="R65" s="79"/>
      <c r="S65" s="79"/>
      <c r="T65" s="79"/>
      <c r="U65" s="79"/>
      <c r="V65" s="79"/>
      <c r="W65" s="79"/>
      <c r="X65" s="79"/>
      <c r="Y65" s="79"/>
      <c r="Z65" s="79"/>
      <c r="AA65" s="77"/>
      <c r="AB65" s="77"/>
    </row>
    <row r="66" spans="2:28" x14ac:dyDescent="0.25">
      <c r="B66" s="24"/>
      <c r="C66" s="104" t="s">
        <v>24</v>
      </c>
      <c r="D66" s="103" t="s">
        <v>11</v>
      </c>
      <c r="E66" s="103" t="s">
        <v>38</v>
      </c>
      <c r="G66" s="48"/>
      <c r="H66" s="48"/>
      <c r="I66" s="21"/>
      <c r="J66" s="21"/>
      <c r="K66" s="21"/>
      <c r="N66" s="77"/>
      <c r="O66" s="77"/>
      <c r="P66" s="77"/>
      <c r="Q66" s="240"/>
      <c r="R66" s="241"/>
      <c r="S66" s="77"/>
      <c r="T66" s="240"/>
      <c r="U66" s="77"/>
      <c r="V66" s="77"/>
      <c r="W66" s="77"/>
      <c r="X66" s="77"/>
      <c r="Y66" s="77"/>
      <c r="Z66" s="77"/>
      <c r="AA66" s="77"/>
      <c r="AB66" s="77"/>
    </row>
    <row r="67" spans="2:28" x14ac:dyDescent="0.25">
      <c r="B67" s="21" t="s">
        <v>13</v>
      </c>
      <c r="C67" s="29">
        <f>E33</f>
        <v>8.5016565598175789E-2</v>
      </c>
      <c r="D67" s="6">
        <f>+D33</f>
        <v>32266635.609999999</v>
      </c>
      <c r="E67" s="51">
        <f>+D67*C67</f>
        <v>2743198.5429699998</v>
      </c>
      <c r="G67" s="40"/>
      <c r="H67" s="40"/>
      <c r="I67" s="21"/>
      <c r="J67" s="21"/>
      <c r="K67" s="21"/>
      <c r="N67" s="77"/>
      <c r="O67" s="77"/>
      <c r="P67" s="77"/>
      <c r="Q67" s="242"/>
      <c r="R67" s="242"/>
      <c r="S67" s="242"/>
      <c r="T67" s="242"/>
      <c r="U67" s="77"/>
      <c r="V67" s="77"/>
      <c r="W67" s="77"/>
      <c r="X67" s="77"/>
      <c r="Y67" s="77"/>
      <c r="Z67" s="77"/>
      <c r="AA67" s="77"/>
      <c r="AB67" s="77"/>
    </row>
    <row r="68" spans="2:28" x14ac:dyDescent="0.25">
      <c r="B68" s="21" t="s">
        <v>14</v>
      </c>
      <c r="C68" s="29">
        <f>E34</f>
        <v>9.6955955358910384E-2</v>
      </c>
      <c r="D68" s="6">
        <f>+D34</f>
        <v>16330193.690000001</v>
      </c>
      <c r="E68" s="51">
        <f t="shared" ref="E68:E71" si="2">+D68*C68</f>
        <v>1583309.5304100001</v>
      </c>
      <c r="G68" s="40"/>
      <c r="H68" s="40"/>
      <c r="I68" s="21"/>
      <c r="J68" s="21"/>
      <c r="K68" s="21"/>
      <c r="N68" s="145"/>
      <c r="O68" s="145"/>
      <c r="P68" s="145"/>
      <c r="Q68" s="145"/>
      <c r="R68" s="145"/>
      <c r="S68" s="145"/>
      <c r="T68" s="145"/>
      <c r="U68" s="145"/>
      <c r="V68" s="145"/>
      <c r="W68" s="145"/>
      <c r="X68" s="145"/>
      <c r="Y68" s="145"/>
      <c r="Z68" s="145"/>
      <c r="AA68" s="77"/>
      <c r="AB68" s="77"/>
    </row>
    <row r="69" spans="2:28" x14ac:dyDescent="0.25">
      <c r="B69" s="21" t="s">
        <v>15</v>
      </c>
      <c r="C69" s="29">
        <f>E35</f>
        <v>7.1124493429202656E-2</v>
      </c>
      <c r="D69" s="6">
        <f>+D35</f>
        <v>281728905.40999997</v>
      </c>
      <c r="E69" s="51">
        <f t="shared" si="2"/>
        <v>20037825.681649998</v>
      </c>
      <c r="G69" s="40"/>
      <c r="H69" s="40"/>
      <c r="I69" s="21"/>
      <c r="J69" s="21"/>
      <c r="K69" s="21"/>
      <c r="N69" s="145"/>
      <c r="O69" s="145"/>
      <c r="P69" s="145"/>
      <c r="Q69" s="145"/>
      <c r="R69" s="145"/>
      <c r="S69" s="145"/>
      <c r="T69" s="145"/>
      <c r="U69" s="145"/>
      <c r="V69" s="145"/>
      <c r="W69" s="145"/>
      <c r="X69" s="145"/>
      <c r="Y69" s="145"/>
      <c r="Z69" s="145"/>
      <c r="AA69" s="77"/>
      <c r="AB69" s="77"/>
    </row>
    <row r="70" spans="2:28" x14ac:dyDescent="0.25">
      <c r="B70" s="21" t="s">
        <v>16</v>
      </c>
      <c r="C70" s="29">
        <f>E36</f>
        <v>0.10207422300700775</v>
      </c>
      <c r="D70" s="6">
        <f>+D36</f>
        <v>76358028.439999998</v>
      </c>
      <c r="E70" s="51">
        <f t="shared" si="2"/>
        <v>7794186.4233599994</v>
      </c>
      <c r="G70" s="40"/>
      <c r="H70" s="40"/>
      <c r="I70" s="21"/>
      <c r="J70" s="21"/>
      <c r="K70" s="21"/>
      <c r="N70" s="145"/>
      <c r="O70" s="145"/>
      <c r="P70" s="145"/>
      <c r="Q70" s="145"/>
      <c r="R70" s="145"/>
      <c r="S70" s="145"/>
      <c r="T70" s="145"/>
      <c r="U70" s="145"/>
      <c r="V70" s="145"/>
      <c r="W70" s="145"/>
      <c r="X70" s="145"/>
      <c r="Y70" s="145"/>
      <c r="Z70" s="145"/>
      <c r="AA70" s="77"/>
      <c r="AB70" s="77"/>
    </row>
    <row r="71" spans="2:28" x14ac:dyDescent="0.25">
      <c r="B71" s="21" t="s">
        <v>17</v>
      </c>
      <c r="C71" s="29">
        <f>E37</f>
        <v>0.14534170467326388</v>
      </c>
      <c r="D71" s="6">
        <f>+D37</f>
        <v>81611594.519999996</v>
      </c>
      <c r="E71" s="51">
        <f t="shared" si="2"/>
        <v>11861568.26864</v>
      </c>
      <c r="G71" s="40"/>
      <c r="H71" s="40"/>
      <c r="I71" s="21"/>
      <c r="J71" s="382" t="s">
        <v>188</v>
      </c>
      <c r="K71" s="384"/>
      <c r="Q71" s="51"/>
      <c r="R71" s="52"/>
      <c r="S71" s="52"/>
      <c r="T71" s="52"/>
      <c r="U71" s="21"/>
      <c r="V71" s="21"/>
      <c r="W71" s="21"/>
    </row>
    <row r="72" spans="2:28" ht="15.75" thickBot="1" x14ac:dyDescent="0.3">
      <c r="B72" s="21" t="s">
        <v>49</v>
      </c>
      <c r="C72" s="29">
        <f>E72/D72</f>
        <v>9.0150536464407002E-2</v>
      </c>
      <c r="D72" s="53">
        <f>SUM(D67:D71)</f>
        <v>488295357.66999996</v>
      </c>
      <c r="E72" s="43">
        <f>SUM(E67:E71)</f>
        <v>44020088.447029993</v>
      </c>
      <c r="G72" s="79"/>
      <c r="H72" s="54"/>
      <c r="I72" s="21"/>
      <c r="J72" s="251">
        <f>E72</f>
        <v>44020088.447029993</v>
      </c>
      <c r="K72" s="237"/>
      <c r="Q72" s="19"/>
      <c r="R72" s="54"/>
      <c r="S72" s="54"/>
      <c r="T72" s="54"/>
      <c r="U72" s="21"/>
      <c r="V72" s="21"/>
      <c r="W72" s="21"/>
    </row>
    <row r="73" spans="2:28" ht="15.75" thickTop="1" x14ac:dyDescent="0.25">
      <c r="E73" s="21"/>
      <c r="G73" s="31"/>
      <c r="H73" s="21"/>
      <c r="I73" s="21"/>
      <c r="J73" s="251">
        <f>E76</f>
        <v>7131285.2149481503</v>
      </c>
      <c r="K73" s="237"/>
      <c r="Q73" s="46"/>
      <c r="R73" s="41"/>
      <c r="S73" s="41"/>
      <c r="T73" s="56"/>
      <c r="U73" s="21"/>
      <c r="V73" s="21"/>
      <c r="W73" s="21"/>
    </row>
    <row r="74" spans="2:28" x14ac:dyDescent="0.25">
      <c r="B74" s="24" t="s">
        <v>50</v>
      </c>
      <c r="E74" s="21"/>
      <c r="G74" s="37"/>
      <c r="H74" s="34"/>
      <c r="I74" s="21"/>
      <c r="J74" s="254">
        <f>SUM(J72:J73)</f>
        <v>51151373.66197814</v>
      </c>
      <c r="K74" s="257" t="s">
        <v>75</v>
      </c>
      <c r="Q74" s="19"/>
      <c r="R74" s="54"/>
      <c r="S74" s="54"/>
      <c r="T74" s="54"/>
      <c r="U74" s="21"/>
      <c r="V74" s="21"/>
      <c r="W74" s="21"/>
    </row>
    <row r="75" spans="2:28" x14ac:dyDescent="0.25">
      <c r="B75" s="24"/>
      <c r="C75" s="103" t="s">
        <v>37</v>
      </c>
      <c r="D75" s="12" t="s">
        <v>11</v>
      </c>
      <c r="E75" s="57" t="s">
        <v>38</v>
      </c>
      <c r="G75" s="102"/>
      <c r="H75" s="102"/>
      <c r="I75" s="21"/>
      <c r="J75" s="236"/>
      <c r="K75" s="237"/>
      <c r="Q75" s="19"/>
      <c r="R75" s="54"/>
      <c r="S75" s="54"/>
      <c r="T75" s="54"/>
      <c r="U75" s="21"/>
      <c r="V75" s="21"/>
      <c r="W75" s="21"/>
    </row>
    <row r="76" spans="2:28" x14ac:dyDescent="0.25">
      <c r="B76" s="21" t="s">
        <v>51</v>
      </c>
      <c r="C76" s="58">
        <f>+C44</f>
        <v>1.787990608083834E-2</v>
      </c>
      <c r="D76" s="59">
        <f>+E28</f>
        <v>398843550</v>
      </c>
      <c r="E76" s="60">
        <f>E85</f>
        <v>7131285.2149481503</v>
      </c>
      <c r="G76" s="80"/>
      <c r="H76" s="80"/>
      <c r="I76" s="41"/>
      <c r="J76" s="236"/>
      <c r="K76" s="237"/>
      <c r="L76" s="21"/>
      <c r="M76" s="21"/>
      <c r="N76" s="21"/>
      <c r="Q76" s="19"/>
      <c r="R76" s="54"/>
      <c r="S76" s="54"/>
      <c r="T76" s="54"/>
      <c r="U76" s="21"/>
      <c r="V76" s="21"/>
      <c r="W76" s="21"/>
    </row>
    <row r="77" spans="2:28" x14ac:dyDescent="0.25">
      <c r="B77" s="21" t="s">
        <v>52</v>
      </c>
      <c r="C77" s="58"/>
      <c r="D77" s="59"/>
      <c r="E77" s="60">
        <f>+E56</f>
        <v>11358101.689999999</v>
      </c>
      <c r="G77" s="54"/>
      <c r="H77" s="80"/>
      <c r="I77" s="41"/>
      <c r="J77" s="236"/>
      <c r="K77" s="255"/>
      <c r="Q77" s="19"/>
      <c r="R77" s="54"/>
      <c r="S77" s="54"/>
      <c r="T77" s="54"/>
      <c r="U77" s="21"/>
      <c r="V77" s="21"/>
      <c r="W77" s="21"/>
    </row>
    <row r="78" spans="2:28" x14ac:dyDescent="0.25">
      <c r="B78" s="21" t="s">
        <v>53</v>
      </c>
      <c r="C78" s="112">
        <f>+C45</f>
        <v>0.1057160930114306</v>
      </c>
      <c r="D78" s="55">
        <f>+D28</f>
        <v>243774128</v>
      </c>
      <c r="E78" s="54">
        <f>+C78*D78</f>
        <v>25770848.389428388</v>
      </c>
      <c r="G78" s="80"/>
      <c r="H78" s="80"/>
      <c r="I78" s="41"/>
      <c r="J78" s="254">
        <f>E77+E78</f>
        <v>37128950.07942839</v>
      </c>
      <c r="K78" s="258" t="s">
        <v>74</v>
      </c>
      <c r="Q78" s="19"/>
      <c r="R78" s="54"/>
      <c r="S78" s="54"/>
      <c r="T78" s="54"/>
      <c r="U78" s="21"/>
      <c r="V78" s="21"/>
      <c r="W78" s="21"/>
    </row>
    <row r="79" spans="2:28" ht="15.75" thickBot="1" x14ac:dyDescent="0.3">
      <c r="D79" s="55"/>
      <c r="E79" s="61">
        <f>SUM(E76:E78)</f>
        <v>44260235.294376537</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78</v>
      </c>
      <c r="C81" s="21"/>
      <c r="D81" s="21"/>
      <c r="E81" s="41"/>
      <c r="F81" s="19"/>
      <c r="I81" s="62"/>
      <c r="J81" s="380" t="s">
        <v>180</v>
      </c>
      <c r="K81" s="381"/>
    </row>
    <row r="82" spans="1:26" x14ac:dyDescent="0.25">
      <c r="D82" s="219" t="s">
        <v>179</v>
      </c>
      <c r="E82" s="46"/>
      <c r="F82" s="19"/>
      <c r="I82" s="55"/>
      <c r="J82" s="228" t="s">
        <v>166</v>
      </c>
      <c r="K82" s="229"/>
      <c r="L82" s="116"/>
      <c r="M82" s="116"/>
      <c r="N82" s="116"/>
      <c r="O82" s="116"/>
      <c r="P82" s="116"/>
      <c r="Q82" s="116"/>
      <c r="R82" s="116"/>
      <c r="S82" s="116"/>
      <c r="T82" s="116"/>
      <c r="U82" s="116"/>
      <c r="V82" s="116"/>
      <c r="W82" s="21"/>
      <c r="X82" s="21"/>
      <c r="Y82" s="21"/>
      <c r="Z82" s="21"/>
    </row>
    <row r="83" spans="1:26" x14ac:dyDescent="0.25">
      <c r="B83" s="24"/>
      <c r="C83" s="103" t="s">
        <v>37</v>
      </c>
      <c r="D83" s="12" t="s">
        <v>11</v>
      </c>
      <c r="E83" s="39" t="s">
        <v>38</v>
      </c>
      <c r="F83" s="19"/>
      <c r="G83" s="385" t="s">
        <v>198</v>
      </c>
      <c r="H83" s="385"/>
      <c r="I83" s="386"/>
      <c r="J83" s="230" t="s">
        <v>11</v>
      </c>
      <c r="K83" s="231"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1.8578765838136418E-2</v>
      </c>
      <c r="D84" s="6">
        <f>+E27</f>
        <v>488295357.66999996</v>
      </c>
      <c r="E84" s="223">
        <v>9071925.1099999994</v>
      </c>
      <c r="F84" s="65"/>
      <c r="G84" s="385"/>
      <c r="H84" s="385"/>
      <c r="I84" s="386"/>
      <c r="J84" s="232">
        <f>E10</f>
        <v>482707245.2178027</v>
      </c>
      <c r="K84" s="233">
        <f>J84*C84</f>
        <v>8968104.8772734515</v>
      </c>
      <c r="L84" s="5"/>
      <c r="M84" s="5"/>
      <c r="N84" s="5"/>
      <c r="O84" s="5"/>
      <c r="P84" s="5"/>
      <c r="Q84" s="5"/>
      <c r="R84" s="5"/>
      <c r="S84" s="5"/>
      <c r="T84" s="5"/>
      <c r="U84" s="5"/>
      <c r="V84" s="5"/>
      <c r="W84" s="47"/>
      <c r="X84" s="21"/>
      <c r="Y84" s="21"/>
      <c r="Z84" s="21"/>
    </row>
    <row r="85" spans="1:26" x14ac:dyDescent="0.25">
      <c r="B85" t="s">
        <v>55</v>
      </c>
      <c r="C85" s="25">
        <f>((+E54+E55+E60)-(E84/(E27/E10)))/E11</f>
        <v>1.787990608083834E-2</v>
      </c>
      <c r="D85" s="6">
        <f>+E28</f>
        <v>398843550</v>
      </c>
      <c r="E85" s="40">
        <f>C85*D85</f>
        <v>7131285.2149481503</v>
      </c>
      <c r="F85" s="65"/>
      <c r="I85" s="66"/>
      <c r="J85" s="232">
        <f>E11</f>
        <v>396111490.78219736</v>
      </c>
      <c r="K85" s="233">
        <f>J85*C85</f>
        <v>7082436.2527265511</v>
      </c>
      <c r="L85" s="50"/>
      <c r="M85" s="21"/>
      <c r="N85" s="21"/>
      <c r="O85" s="21"/>
      <c r="P85" s="21"/>
      <c r="Q85" s="21"/>
      <c r="R85" s="21"/>
      <c r="S85" s="21"/>
      <c r="T85" s="21"/>
      <c r="U85" s="21"/>
      <c r="V85" s="21"/>
      <c r="W85" s="21"/>
      <c r="X85" s="21"/>
      <c r="Y85" s="21"/>
      <c r="Z85" s="21"/>
    </row>
    <row r="86" spans="1:26" ht="15.75" thickBot="1" x14ac:dyDescent="0.3">
      <c r="C86" s="68">
        <f>+E86/D86</f>
        <v>1.8264569601061233E-2</v>
      </c>
      <c r="D86" s="69">
        <f>SUM(D84:D85)</f>
        <v>887138907.66999996</v>
      </c>
      <c r="E86" s="70">
        <f>+E84+E85</f>
        <v>16203210.324948151</v>
      </c>
      <c r="F86" s="65"/>
      <c r="I86" s="71"/>
      <c r="J86" s="234"/>
      <c r="K86" s="235">
        <f>SUM(K84:K85)</f>
        <v>16050541.130000003</v>
      </c>
    </row>
    <row r="87" spans="1:26" ht="15.75" thickTop="1" x14ac:dyDescent="0.25">
      <c r="C87" s="37"/>
      <c r="D87" s="72"/>
      <c r="E87" s="55"/>
      <c r="F87" s="19"/>
      <c r="G87" s="19"/>
      <c r="H87" s="73"/>
      <c r="J87" s="55"/>
    </row>
    <row r="88" spans="1:26" ht="97.5" customHeight="1" x14ac:dyDescent="0.25">
      <c r="B88" s="378" t="s">
        <v>56</v>
      </c>
      <c r="C88" s="378"/>
      <c r="D88" s="378"/>
      <c r="E88" s="378"/>
      <c r="F88" s="19"/>
      <c r="G88" s="74"/>
      <c r="H88" s="63"/>
      <c r="I88" s="75"/>
    </row>
    <row r="89" spans="1:26" x14ac:dyDescent="0.25">
      <c r="B89" s="379"/>
      <c r="C89" s="379"/>
      <c r="D89" s="379"/>
      <c r="E89" s="379"/>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75" orientation="landscape" r:id="rId1"/>
  <headerFooter>
    <oddFooter>&amp;L&amp;P&amp;C&amp;A&amp;R&amp;F</oddFooter>
  </headerFooter>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
  <sheetViews>
    <sheetView showGridLines="0" zoomScaleNormal="100" workbookViewId="0">
      <selection activeCell="A27" sqref="A27"/>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106</v>
      </c>
      <c r="M14" s="82"/>
      <c r="N14" s="3"/>
      <c r="O14" s="3"/>
      <c r="P14" s="3"/>
      <c r="Q14" s="3"/>
      <c r="R14" s="3"/>
      <c r="S14" s="3"/>
      <c r="T14" s="3"/>
      <c r="U14" s="3"/>
      <c r="V14" s="82"/>
      <c r="W14" s="3"/>
      <c r="X14" s="3"/>
      <c r="Y14" s="3"/>
      <c r="Z14" s="3"/>
      <c r="AA14" s="99"/>
      <c r="AB14" s="3"/>
      <c r="AC14" s="3"/>
      <c r="AD14" s="3"/>
      <c r="AE14" s="3"/>
      <c r="AF14" s="3"/>
    </row>
    <row r="15" spans="1:32" x14ac:dyDescent="0.25">
      <c r="A15" s="2"/>
      <c r="C15" s="105"/>
      <c r="M15" s="82"/>
      <c r="N15" s="100"/>
      <c r="O15" s="100"/>
      <c r="P15" s="100"/>
      <c r="Q15" s="100"/>
      <c r="R15" s="100"/>
      <c r="S15" s="33"/>
      <c r="T15" s="33"/>
      <c r="V15" s="82"/>
      <c r="W15" s="100"/>
      <c r="X15" s="100"/>
      <c r="Y15" s="100"/>
      <c r="AA15" s="67"/>
    </row>
    <row r="16" spans="1:32" x14ac:dyDescent="0.25">
      <c r="A16" s="2" t="s">
        <v>70</v>
      </c>
      <c r="E16" s="105"/>
      <c r="H16" s="105"/>
      <c r="I16" s="105"/>
      <c r="J16" s="105"/>
      <c r="K16" s="105"/>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79</v>
      </c>
      <c r="M17" s="3"/>
      <c r="N17" s="17"/>
      <c r="O17" s="18"/>
      <c r="P17" s="19"/>
      <c r="Q17" s="19"/>
      <c r="R17" s="19"/>
      <c r="S17" s="26"/>
      <c r="T17" s="26"/>
      <c r="V17" s="3"/>
      <c r="W17" s="17"/>
      <c r="X17" s="18"/>
      <c r="Y17" s="19"/>
      <c r="AA17" s="67"/>
    </row>
    <row r="18" spans="1:27" x14ac:dyDescent="0.25">
      <c r="A18" s="87" t="s">
        <v>13</v>
      </c>
      <c r="B18" s="113">
        <f>'Whitby - 2019'!C67</f>
        <v>8.5016565598175789E-2</v>
      </c>
      <c r="C18" s="88">
        <f>'Whitby - 2019'!C43</f>
        <v>1.8578765838136418E-2</v>
      </c>
      <c r="D18" s="262">
        <f>'Whitby - 2019'!C49</f>
        <v>0.10802966172243099</v>
      </c>
      <c r="E18" s="113">
        <f>+C18+D18</f>
        <v>0.12660842756056739</v>
      </c>
      <c r="F18" s="224">
        <f>+B18-E18</f>
        <v>-4.1591861962391605E-2</v>
      </c>
      <c r="G18" s="225">
        <f>'Whitby - 2019'!D16</f>
        <v>31897372.24222371</v>
      </c>
      <c r="H18" s="26">
        <f>+G18*B18</f>
        <v>2711805.0396404434</v>
      </c>
      <c r="I18" s="26">
        <f>+G18*C18</f>
        <v>592613.80974014674</v>
      </c>
      <c r="J18" s="26">
        <f>+G18*D18</f>
        <v>3445862.3331618872</v>
      </c>
      <c r="K18" s="26">
        <f>+H18-I18-J18</f>
        <v>-1326671.1032615905</v>
      </c>
      <c r="M18" s="3"/>
      <c r="N18" s="9"/>
      <c r="O18" s="9"/>
      <c r="P18" s="19"/>
      <c r="Q18" s="19"/>
      <c r="R18" s="19"/>
      <c r="S18" s="19"/>
      <c r="T18" s="19"/>
      <c r="V18" s="3"/>
      <c r="W18" s="3"/>
      <c r="X18" s="3"/>
      <c r="Y18" s="19"/>
      <c r="AA18" s="67"/>
    </row>
    <row r="19" spans="1:27" x14ac:dyDescent="0.25">
      <c r="A19" s="94" t="s">
        <v>14</v>
      </c>
      <c r="B19" s="114">
        <f>'Whitby - 2019'!C68</f>
        <v>9.6955955358910384E-2</v>
      </c>
      <c r="C19" s="91">
        <f>C18</f>
        <v>1.8578765838136418E-2</v>
      </c>
      <c r="D19" s="114">
        <f>D18</f>
        <v>0.10802966172243099</v>
      </c>
      <c r="E19" s="114">
        <f t="shared" ref="E19:E22" si="7">+C19+D19</f>
        <v>0.12660842756056739</v>
      </c>
      <c r="F19" s="226">
        <f t="shared" ref="F19:F22" si="8">+B19-E19</f>
        <v>-2.965247220165701E-2</v>
      </c>
      <c r="G19" s="225">
        <f>'Whitby - 2019'!D17</f>
        <v>16143308.934139689</v>
      </c>
      <c r="H19" s="26">
        <f t="shared" ref="H19:H22" si="9">+G19*B19</f>
        <v>1565189.9403635468</v>
      </c>
      <c r="I19" s="26">
        <f t="shared" ref="I19:I22" si="10">+G19*C19</f>
        <v>299922.75654007692</v>
      </c>
      <c r="J19" s="26">
        <f t="shared" ref="J19:J22" si="11">+G19*D19</f>
        <v>1743956.2032358085</v>
      </c>
      <c r="K19" s="26">
        <f t="shared" ref="K19:K23" si="12">+H19-I19-J19</f>
        <v>-478689.0194123385</v>
      </c>
      <c r="M19" s="3"/>
      <c r="N19" s="3"/>
      <c r="O19" s="3"/>
      <c r="P19" s="3"/>
      <c r="Q19" s="3"/>
      <c r="R19" s="3"/>
      <c r="V19" s="3"/>
      <c r="W19" s="3"/>
      <c r="X19" s="3"/>
      <c r="Y19" s="3"/>
      <c r="AA19" s="67"/>
    </row>
    <row r="20" spans="1:27" x14ac:dyDescent="0.25">
      <c r="A20" s="94" t="s">
        <v>15</v>
      </c>
      <c r="B20" s="114">
        <f>'Whitby - 2019'!C69</f>
        <v>7.1124493429202656E-2</v>
      </c>
      <c r="C20" s="91">
        <f>C19</f>
        <v>1.8578765838136418E-2</v>
      </c>
      <c r="D20" s="114">
        <f>D18</f>
        <v>0.10802966172243099</v>
      </c>
      <c r="E20" s="114">
        <f t="shared" si="7"/>
        <v>0.12660842756056739</v>
      </c>
      <c r="F20" s="226">
        <f t="shared" si="8"/>
        <v>-5.5483934131364737E-2</v>
      </c>
      <c r="G20" s="225">
        <f>'Whitby - 2019'!D18</f>
        <v>278504764.97995824</v>
      </c>
      <c r="H20" s="26">
        <f t="shared" si="9"/>
        <v>19808510.326818671</v>
      </c>
      <c r="I20" s="26">
        <f t="shared" si="10"/>
        <v>5174274.8133678604</v>
      </c>
      <c r="J20" s="26">
        <f t="shared" si="11"/>
        <v>30086775.548870035</v>
      </c>
      <c r="K20" s="26">
        <f t="shared" si="12"/>
        <v>-15452540.035419224</v>
      </c>
      <c r="M20" s="82"/>
      <c r="N20" s="3"/>
      <c r="O20" s="3"/>
      <c r="P20" s="3"/>
      <c r="Q20" s="3"/>
      <c r="R20" s="3"/>
      <c r="V20" s="82"/>
      <c r="W20" s="3"/>
      <c r="X20" s="3"/>
      <c r="Y20" s="3"/>
    </row>
    <row r="21" spans="1:27" x14ac:dyDescent="0.25">
      <c r="A21" s="94" t="s">
        <v>16</v>
      </c>
      <c r="B21" s="114">
        <f>'Whitby - 2019'!C70</f>
        <v>0.10207422300700775</v>
      </c>
      <c r="C21" s="91">
        <f>C20</f>
        <v>1.8578765838136418E-2</v>
      </c>
      <c r="D21" s="114">
        <f>D18</f>
        <v>0.10802966172243099</v>
      </c>
      <c r="E21" s="114">
        <f t="shared" si="7"/>
        <v>0.12660842756056739</v>
      </c>
      <c r="F21" s="226">
        <f t="shared" si="8"/>
        <v>-2.4534204553559646E-2</v>
      </c>
      <c r="G21" s="225">
        <f>'Whitby - 2019'!D19</f>
        <v>75484177.720659003</v>
      </c>
      <c r="H21" s="26">
        <f t="shared" si="9"/>
        <v>7704988.7901591528</v>
      </c>
      <c r="I21" s="26">
        <f t="shared" si="10"/>
        <v>1402402.8623563976</v>
      </c>
      <c r="J21" s="26">
        <f t="shared" si="11"/>
        <v>8154530.1845586542</v>
      </c>
      <c r="K21" s="26">
        <f t="shared" si="12"/>
        <v>-1851944.2567558987</v>
      </c>
      <c r="M21" s="3"/>
      <c r="N21" s="3"/>
      <c r="O21" s="3"/>
      <c r="P21" s="9"/>
      <c r="Q21" s="9"/>
      <c r="R21" s="9"/>
      <c r="S21" s="46"/>
      <c r="T21" s="46"/>
      <c r="V21" s="3"/>
      <c r="W21" s="3"/>
      <c r="X21" s="3"/>
      <c r="Y21" s="9"/>
    </row>
    <row r="22" spans="1:27" x14ac:dyDescent="0.25">
      <c r="A22" s="95" t="s">
        <v>17</v>
      </c>
      <c r="B22" s="115">
        <f>'Whitby - 2019'!C71</f>
        <v>0.14534170467326388</v>
      </c>
      <c r="C22" s="96">
        <f>C21</f>
        <v>1.8578765838136418E-2</v>
      </c>
      <c r="D22" s="115">
        <f>D18</f>
        <v>0.10802966172243099</v>
      </c>
      <c r="E22" s="115">
        <f t="shared" si="7"/>
        <v>0.12660842756056739</v>
      </c>
      <c r="F22" s="227">
        <f t="shared" si="8"/>
        <v>1.8733277112696484E-2</v>
      </c>
      <c r="G22" s="368">
        <f>'Whitby - 2019'!D20</f>
        <v>80677621.340822041</v>
      </c>
      <c r="H22" s="369">
        <f t="shared" si="9"/>
        <v>11725823.014659168</v>
      </c>
      <c r="I22" s="369">
        <f t="shared" si="10"/>
        <v>1498890.6352689702</v>
      </c>
      <c r="J22" s="369">
        <f t="shared" si="11"/>
        <v>8715576.1420193836</v>
      </c>
      <c r="K22" s="369">
        <f t="shared" si="12"/>
        <v>1511356.2373708151</v>
      </c>
      <c r="M22" s="3"/>
      <c r="N22" s="3"/>
      <c r="O22" s="3"/>
      <c r="P22" s="9"/>
      <c r="Q22" s="9"/>
      <c r="R22" s="9"/>
      <c r="S22" s="46"/>
      <c r="T22" s="46"/>
      <c r="V22" s="3"/>
      <c r="W22" s="3"/>
      <c r="X22" s="3"/>
      <c r="Y22" s="9"/>
    </row>
    <row r="23" spans="1:27" x14ac:dyDescent="0.25">
      <c r="A23" s="236" t="s">
        <v>206</v>
      </c>
      <c r="B23" s="114"/>
      <c r="C23" s="91"/>
      <c r="D23" s="114"/>
      <c r="E23" s="114"/>
      <c r="F23" s="226"/>
      <c r="G23" s="225"/>
      <c r="H23" s="26">
        <v>-36904</v>
      </c>
      <c r="I23" s="26">
        <v>1904</v>
      </c>
      <c r="J23" s="26">
        <v>0</v>
      </c>
      <c r="K23" s="26">
        <f t="shared" si="12"/>
        <v>-38808</v>
      </c>
      <c r="M23" s="3"/>
      <c r="N23" s="3"/>
      <c r="O23" s="3"/>
      <c r="P23" s="9"/>
      <c r="Q23" s="9"/>
      <c r="R23" s="9"/>
      <c r="S23" s="46"/>
      <c r="T23" s="46"/>
      <c r="V23" s="3"/>
      <c r="W23" s="3"/>
      <c r="X23" s="3"/>
      <c r="Y23" s="9"/>
    </row>
    <row r="24" spans="1:27" ht="15.75" thickBot="1" x14ac:dyDescent="0.3">
      <c r="B24" s="98">
        <f>+H24/G24</f>
        <v>9.007408432832327E-2</v>
      </c>
      <c r="G24" s="23">
        <f>SUM(G18:G23)</f>
        <v>482707245.2178027</v>
      </c>
      <c r="H24" s="23">
        <f>SUM(H18:H23)</f>
        <v>43479413.111640982</v>
      </c>
      <c r="I24" s="23">
        <f>SUM(I18:I23)</f>
        <v>8970008.8772734515</v>
      </c>
      <c r="J24" s="23">
        <f>SUM(J18:J23)</f>
        <v>52146700.411845766</v>
      </c>
      <c r="K24" s="23">
        <f>SUM(K18:K23)</f>
        <v>-17637296.177478239</v>
      </c>
      <c r="M24" s="3"/>
      <c r="N24" s="3"/>
      <c r="O24" s="3"/>
      <c r="P24" s="19"/>
      <c r="Q24" s="19"/>
      <c r="R24" s="19"/>
      <c r="S24" s="19"/>
      <c r="T24" s="19"/>
      <c r="V24" s="3"/>
      <c r="W24" s="3"/>
      <c r="X24" s="3"/>
      <c r="Y24" s="19"/>
    </row>
    <row r="25" spans="1:27" x14ac:dyDescent="0.25">
      <c r="A25" s="3"/>
      <c r="B25" s="3"/>
      <c r="C25" s="3"/>
      <c r="D25" s="3"/>
      <c r="E25" s="3"/>
      <c r="M25" s="18"/>
      <c r="N25" s="3"/>
      <c r="O25" s="3"/>
      <c r="P25" s="3"/>
      <c r="Q25" s="3"/>
      <c r="R25" s="3"/>
      <c r="V25" s="3"/>
      <c r="W25" s="3"/>
      <c r="X25" s="3"/>
      <c r="Y25" s="3"/>
    </row>
    <row r="26" spans="1:27" ht="18.75" x14ac:dyDescent="0.3">
      <c r="A26" s="443"/>
      <c r="B26" s="77"/>
      <c r="C26" s="77"/>
      <c r="D26" s="77"/>
      <c r="E26" s="77"/>
      <c r="F26" s="77"/>
      <c r="G26" s="77"/>
      <c r="H26" s="77"/>
      <c r="I26" s="77"/>
      <c r="J26" s="77"/>
      <c r="K26" s="77"/>
      <c r="L26" s="77"/>
      <c r="M26" s="101"/>
      <c r="N26" s="3"/>
      <c r="O26" s="3"/>
      <c r="P26" s="3"/>
      <c r="Q26" s="3"/>
      <c r="R26" s="3"/>
      <c r="V26" s="3"/>
      <c r="W26" s="3"/>
      <c r="X26" s="3"/>
      <c r="Y26" s="3"/>
    </row>
    <row r="27" spans="1:27" ht="18.75" x14ac:dyDescent="0.3">
      <c r="A27" s="443"/>
      <c r="B27" s="77"/>
      <c r="C27" s="77"/>
      <c r="D27" s="77"/>
      <c r="E27" s="77"/>
      <c r="F27" s="77"/>
      <c r="G27" s="77"/>
      <c r="H27" s="77"/>
      <c r="I27" s="77"/>
      <c r="J27" s="77"/>
      <c r="K27" s="77"/>
      <c r="L27" s="77"/>
      <c r="M27" s="101"/>
      <c r="N27" s="3"/>
      <c r="O27" s="3"/>
      <c r="P27" s="3"/>
      <c r="Q27" s="3"/>
      <c r="R27" s="3"/>
      <c r="V27" s="3"/>
      <c r="W27" s="3"/>
      <c r="X27" s="3"/>
      <c r="Y27" s="3"/>
    </row>
    <row r="28" spans="1:27" x14ac:dyDescent="0.25">
      <c r="A28" s="444"/>
      <c r="B28" s="77"/>
      <c r="C28" s="77"/>
      <c r="D28" s="77"/>
      <c r="E28" s="77"/>
      <c r="F28" s="77"/>
      <c r="G28" s="77"/>
      <c r="H28" s="77"/>
      <c r="I28" s="77"/>
      <c r="J28" s="77"/>
      <c r="K28" s="77"/>
      <c r="L28" s="77"/>
      <c r="M28" s="101"/>
      <c r="N28" s="3"/>
      <c r="O28" s="3"/>
      <c r="P28" s="3"/>
      <c r="Q28" s="3"/>
      <c r="R28" s="3"/>
      <c r="V28" s="3"/>
      <c r="W28" s="3"/>
      <c r="X28" s="3"/>
      <c r="Y28" s="3"/>
    </row>
    <row r="29" spans="1:27" x14ac:dyDescent="0.25">
      <c r="A29" s="445"/>
      <c r="B29" s="78"/>
      <c r="C29" s="102"/>
      <c r="D29" s="102"/>
      <c r="E29" s="102"/>
      <c r="F29" s="78"/>
      <c r="G29" s="78"/>
      <c r="H29" s="102"/>
      <c r="I29" s="102"/>
      <c r="J29" s="102"/>
      <c r="K29" s="102"/>
      <c r="L29" s="77"/>
      <c r="M29" s="49"/>
      <c r="N29" s="102"/>
    </row>
    <row r="30" spans="1:27" x14ac:dyDescent="0.25">
      <c r="A30" s="77"/>
      <c r="B30" s="442"/>
      <c r="C30" s="114"/>
      <c r="D30" s="114"/>
      <c r="E30" s="114"/>
      <c r="F30" s="226"/>
      <c r="G30" s="446"/>
      <c r="H30" s="54"/>
      <c r="I30" s="54"/>
      <c r="J30" s="54"/>
      <c r="K30" s="54"/>
      <c r="L30" s="77"/>
      <c r="M30" s="46"/>
      <c r="N30" s="64"/>
    </row>
    <row r="31" spans="1:27" x14ac:dyDescent="0.25">
      <c r="A31" s="77"/>
      <c r="B31" s="442"/>
      <c r="C31" s="114"/>
      <c r="D31" s="114"/>
      <c r="E31" s="114"/>
      <c r="F31" s="226"/>
      <c r="G31" s="446"/>
      <c r="H31" s="54"/>
      <c r="I31" s="54"/>
      <c r="J31" s="54"/>
      <c r="K31" s="54"/>
      <c r="L31" s="77"/>
      <c r="M31" s="46"/>
      <c r="N31" s="64"/>
    </row>
    <row r="32" spans="1:27" x14ac:dyDescent="0.25">
      <c r="A32" s="77"/>
      <c r="B32" s="442"/>
      <c r="C32" s="114"/>
      <c r="D32" s="114"/>
      <c r="E32" s="114"/>
      <c r="F32" s="226"/>
      <c r="G32" s="446"/>
      <c r="H32" s="54"/>
      <c r="I32" s="54"/>
      <c r="J32" s="54"/>
      <c r="K32" s="54"/>
      <c r="L32" s="77"/>
      <c r="M32" s="46"/>
      <c r="N32" s="64"/>
    </row>
    <row r="33" spans="1:14" x14ac:dyDescent="0.25">
      <c r="A33" s="77"/>
      <c r="B33" s="442"/>
      <c r="C33" s="114"/>
      <c r="D33" s="114"/>
      <c r="E33" s="114"/>
      <c r="F33" s="226"/>
      <c r="G33" s="446"/>
      <c r="H33" s="54"/>
      <c r="I33" s="54"/>
      <c r="J33" s="54"/>
      <c r="K33" s="54"/>
      <c r="L33" s="77"/>
      <c r="M33" s="46"/>
      <c r="N33" s="64"/>
    </row>
    <row r="34" spans="1:14" x14ac:dyDescent="0.25">
      <c r="A34" s="77"/>
      <c r="B34" s="442"/>
      <c r="C34" s="114"/>
      <c r="D34" s="114"/>
      <c r="E34" s="114"/>
      <c r="F34" s="226"/>
      <c r="G34" s="446"/>
      <c r="H34" s="54"/>
      <c r="I34" s="54"/>
      <c r="J34" s="54"/>
      <c r="K34" s="54"/>
      <c r="L34" s="77"/>
      <c r="M34" s="46"/>
      <c r="N34" s="64"/>
    </row>
    <row r="35" spans="1:14" x14ac:dyDescent="0.25">
      <c r="A35" s="77"/>
      <c r="B35" s="77"/>
      <c r="C35" s="77"/>
      <c r="D35" s="77"/>
      <c r="E35" s="77"/>
      <c r="F35" s="77"/>
      <c r="G35" s="145"/>
      <c r="H35" s="54"/>
      <c r="I35" s="54"/>
      <c r="J35" s="54"/>
      <c r="K35" s="54"/>
      <c r="L35" s="77"/>
    </row>
    <row r="36" spans="1:14" x14ac:dyDescent="0.25">
      <c r="A36" s="77"/>
      <c r="B36" s="77"/>
      <c r="C36" s="77"/>
      <c r="D36" s="77"/>
      <c r="E36" s="77"/>
      <c r="F36" s="77"/>
      <c r="G36" s="77"/>
      <c r="H36" s="77"/>
      <c r="I36" s="77"/>
      <c r="J36" s="77"/>
      <c r="K36" s="447"/>
      <c r="L36" s="77"/>
    </row>
    <row r="37" spans="1:14" x14ac:dyDescent="0.25">
      <c r="A37" s="77"/>
      <c r="B37" s="77"/>
      <c r="C37" s="77"/>
      <c r="D37" s="77"/>
      <c r="E37" s="77"/>
      <c r="F37" s="77"/>
      <c r="G37" s="77"/>
      <c r="H37" s="77"/>
      <c r="I37" s="77"/>
      <c r="J37" s="79"/>
      <c r="K37" s="80"/>
      <c r="L37" s="77"/>
    </row>
    <row r="38" spans="1:14" x14ac:dyDescent="0.25">
      <c r="A38" s="77"/>
      <c r="B38" s="77"/>
      <c r="C38" s="77"/>
      <c r="D38" s="77"/>
      <c r="E38" s="77"/>
      <c r="F38" s="77"/>
      <c r="G38" s="145"/>
      <c r="H38" s="54"/>
      <c r="I38" s="54"/>
      <c r="J38" s="54"/>
      <c r="K38" s="54"/>
      <c r="L38" s="77"/>
    </row>
    <row r="39" spans="1:14" x14ac:dyDescent="0.25">
      <c r="F39" s="3"/>
      <c r="G39" s="18"/>
      <c r="H39" s="54"/>
      <c r="I39" s="19"/>
      <c r="J39" s="19"/>
      <c r="K39" s="18"/>
    </row>
    <row r="40" spans="1:14" x14ac:dyDescent="0.25">
      <c r="F40" s="3"/>
      <c r="G40" s="18"/>
      <c r="H40" s="54"/>
      <c r="I40" s="19"/>
      <c r="J40" s="19"/>
      <c r="K40" s="18"/>
    </row>
    <row r="41" spans="1:14" x14ac:dyDescent="0.25">
      <c r="F41" s="3"/>
      <c r="G41" s="18"/>
      <c r="H41" s="18"/>
      <c r="I41" s="18"/>
      <c r="J41" s="18"/>
      <c r="K41" s="18"/>
    </row>
    <row r="42" spans="1:14" x14ac:dyDescent="0.25">
      <c r="F42" s="3"/>
      <c r="G42" s="3"/>
      <c r="H42" s="18"/>
      <c r="I42" s="18"/>
      <c r="J42" s="18"/>
      <c r="K42" s="18"/>
    </row>
    <row r="43" spans="1:14" x14ac:dyDescent="0.25">
      <c r="F43" s="3"/>
      <c r="G43" s="3"/>
      <c r="H43" s="3"/>
      <c r="I43" s="3"/>
      <c r="J43" s="3"/>
      <c r="K43" s="3"/>
    </row>
  </sheetData>
  <pageMargins left="0.2" right="0.2" top="0.75" bottom="0.75" header="0.3" footer="0.3"/>
  <pageSetup scale="74" orientation="landscape" r:id="rId1"/>
  <headerFooter>
    <oddFooter>&amp;L&amp;P&amp;C&amp;A&amp;R&amp;F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9"/>
  <sheetViews>
    <sheetView workbookViewId="0">
      <selection activeCell="O53" sqref="O53"/>
    </sheetView>
  </sheetViews>
  <sheetFormatPr defaultColWidth="9.140625" defaultRowHeight="15" x14ac:dyDescent="0.25"/>
  <cols>
    <col min="1" max="1" width="9.140625" style="265"/>
    <col min="2" max="2" width="3.7109375" style="265" customWidth="1"/>
    <col min="3" max="3" width="49.5703125" style="265" bestFit="1" customWidth="1"/>
    <col min="4" max="4" width="5.42578125" style="265" bestFit="1" customWidth="1"/>
    <col min="5" max="5" width="14.28515625" style="265" bestFit="1" customWidth="1"/>
    <col min="6" max="6" width="14" style="265" customWidth="1"/>
    <col min="7" max="7" width="12" style="265" bestFit="1" customWidth="1"/>
    <col min="8" max="8" width="7" style="265" bestFit="1" customWidth="1"/>
    <col min="9" max="9" width="14.28515625" style="265" customWidth="1"/>
    <col min="10" max="10" width="1.5703125" style="265" customWidth="1"/>
    <col min="11" max="11" width="1.7109375" style="265" customWidth="1"/>
    <col min="12" max="12" width="4.85546875" style="265" customWidth="1"/>
    <col min="13" max="13" width="12.85546875" style="265" customWidth="1"/>
    <col min="14" max="14" width="12.5703125" style="265" customWidth="1"/>
    <col min="15" max="15" width="12.7109375" style="265" customWidth="1"/>
    <col min="16" max="16" width="14.140625" style="265" bestFit="1" customWidth="1"/>
    <col min="17" max="17" width="14.42578125" style="265" bestFit="1" customWidth="1"/>
    <col min="18" max="20" width="14.28515625" style="265" bestFit="1" customWidth="1"/>
    <col min="21" max="21" width="15.28515625" style="265" bestFit="1" customWidth="1"/>
    <col min="22" max="22" width="14" style="265" bestFit="1" customWidth="1"/>
    <col min="23" max="23" width="15" style="265" bestFit="1" customWidth="1"/>
    <col min="24" max="24" width="13.28515625" style="265" bestFit="1" customWidth="1"/>
    <col min="25" max="25" width="12.28515625" style="265" bestFit="1" customWidth="1"/>
    <col min="26" max="26" width="13.140625" style="265" customWidth="1"/>
    <col min="27" max="27" width="11.42578125" style="265" customWidth="1"/>
    <col min="28" max="28" width="13.42578125" style="265" customWidth="1"/>
    <col min="29" max="29" width="12.5703125" style="265" bestFit="1" customWidth="1"/>
    <col min="30" max="30" width="20.140625" style="265" customWidth="1"/>
    <col min="31" max="31" width="15.28515625" style="265" bestFit="1" customWidth="1"/>
    <col min="32" max="33" width="14.28515625" style="265" bestFit="1" customWidth="1"/>
    <col min="34" max="35" width="14.140625" style="265" customWidth="1"/>
    <col min="36" max="37" width="14.28515625" style="265" bestFit="1" customWidth="1"/>
    <col min="38" max="38" width="14.140625" style="265" customWidth="1"/>
    <col min="39" max="40" width="14.28515625" style="265" bestFit="1" customWidth="1"/>
    <col min="41" max="41" width="14.42578125" style="265" bestFit="1" customWidth="1"/>
    <col min="42" max="42" width="14.28515625" style="265" customWidth="1"/>
    <col min="43" max="43" width="14.28515625" style="265" bestFit="1" customWidth="1"/>
    <col min="44" max="44" width="15.28515625" style="265" bestFit="1" customWidth="1"/>
    <col min="45" max="45" width="14.28515625" style="265" bestFit="1" customWidth="1"/>
    <col min="46" max="46" width="9.140625" style="265"/>
    <col min="47" max="47" width="15.28515625" style="265" bestFit="1" customWidth="1"/>
    <col min="48" max="16384" width="9.140625" style="265"/>
  </cols>
  <sheetData>
    <row r="1" spans="2:47" ht="21" x14ac:dyDescent="0.35">
      <c r="B1" s="264" t="s">
        <v>194</v>
      </c>
      <c r="L1" s="266"/>
      <c r="M1" s="267"/>
      <c r="N1" s="267"/>
      <c r="O1" s="267"/>
      <c r="P1" s="267"/>
      <c r="Q1" s="267"/>
      <c r="R1" s="267"/>
      <c r="S1" s="267"/>
      <c r="T1" s="267"/>
      <c r="U1" s="267"/>
      <c r="V1" s="267"/>
      <c r="W1" s="267"/>
      <c r="X1" s="267"/>
      <c r="Y1" s="267"/>
      <c r="Z1" s="267"/>
      <c r="AA1" s="267"/>
      <c r="AB1" s="267"/>
    </row>
    <row r="2" spans="2:47" ht="33.75" customHeight="1" x14ac:dyDescent="0.25">
      <c r="B2" s="268" t="s">
        <v>187</v>
      </c>
      <c r="C2" s="269"/>
      <c r="D2" s="269"/>
      <c r="E2" s="270">
        <v>2019</v>
      </c>
      <c r="F2" s="269"/>
      <c r="G2" s="269"/>
      <c r="H2" s="269"/>
      <c r="M2" s="267"/>
      <c r="N2" s="267"/>
      <c r="O2" s="267"/>
      <c r="P2" s="267"/>
      <c r="Q2" s="267"/>
      <c r="R2" s="267"/>
      <c r="S2" s="267"/>
      <c r="T2" s="267"/>
      <c r="U2" s="267"/>
      <c r="V2" s="267"/>
      <c r="W2" s="267"/>
      <c r="X2" s="267"/>
      <c r="Y2" s="267"/>
      <c r="Z2" s="267"/>
      <c r="AA2" s="267"/>
      <c r="AB2" s="267"/>
    </row>
    <row r="3" spans="2:47" x14ac:dyDescent="0.25">
      <c r="B3" s="269"/>
      <c r="C3" s="269"/>
      <c r="D3" s="269"/>
      <c r="E3" s="269"/>
      <c r="F3" s="269"/>
      <c r="G3" s="269"/>
      <c r="H3" s="269"/>
      <c r="M3" s="267"/>
      <c r="N3" s="267"/>
      <c r="O3" s="267"/>
      <c r="P3" s="267"/>
      <c r="Q3" s="267"/>
      <c r="R3" s="267"/>
      <c r="S3" s="267"/>
      <c r="T3" s="267"/>
      <c r="U3" s="267"/>
      <c r="V3" s="267"/>
      <c r="W3" s="267"/>
      <c r="X3" s="267"/>
      <c r="Y3" s="267"/>
      <c r="Z3" s="267"/>
      <c r="AA3" s="267"/>
      <c r="AB3" s="267"/>
    </row>
    <row r="4" spans="2:47" ht="18" x14ac:dyDescent="0.35">
      <c r="B4" s="271" t="s">
        <v>122</v>
      </c>
      <c r="C4" s="272"/>
      <c r="D4" s="273"/>
      <c r="E4" s="274">
        <v>0</v>
      </c>
      <c r="F4" s="273"/>
      <c r="M4" s="275"/>
      <c r="N4" s="267"/>
      <c r="O4" s="275"/>
      <c r="P4" s="267"/>
      <c r="Q4" s="275"/>
      <c r="R4" s="267"/>
      <c r="S4" s="275"/>
      <c r="T4" s="276"/>
      <c r="U4" s="275"/>
      <c r="V4" s="275"/>
      <c r="W4" s="267"/>
      <c r="X4" s="267"/>
      <c r="Y4" s="267"/>
      <c r="Z4" s="267"/>
      <c r="AA4" s="267"/>
      <c r="AB4" s="267"/>
    </row>
    <row r="5" spans="2:47" ht="16.5" x14ac:dyDescent="0.3">
      <c r="B5" s="277"/>
      <c r="C5" s="277"/>
      <c r="D5" s="277"/>
      <c r="E5" s="278"/>
      <c r="F5" s="279"/>
      <c r="M5" s="267"/>
      <c r="N5" s="267"/>
      <c r="O5" s="267"/>
      <c r="P5" s="267"/>
      <c r="Q5" s="267"/>
      <c r="R5" s="267"/>
      <c r="S5" s="267"/>
      <c r="T5" s="267"/>
      <c r="U5" s="267"/>
      <c r="V5" s="267"/>
      <c r="W5" s="267"/>
      <c r="X5" s="267"/>
      <c r="Y5" s="267"/>
      <c r="Z5" s="267"/>
      <c r="AA5" s="267"/>
      <c r="AB5" s="267"/>
      <c r="AE5" s="280"/>
      <c r="AF5" s="280"/>
      <c r="AG5" s="280"/>
      <c r="AH5" s="280"/>
      <c r="AI5" s="280"/>
      <c r="AJ5" s="280"/>
      <c r="AK5" s="280"/>
      <c r="AL5" s="280"/>
      <c r="AM5" s="280"/>
      <c r="AN5" s="280"/>
      <c r="AO5" s="280"/>
      <c r="AP5" s="280"/>
      <c r="AQ5" s="280"/>
      <c r="AR5" s="280"/>
      <c r="AS5" s="280"/>
    </row>
    <row r="6" spans="2:47" ht="16.5" x14ac:dyDescent="0.3">
      <c r="B6" s="277"/>
      <c r="C6" s="277"/>
      <c r="D6" s="281"/>
      <c r="E6" s="281"/>
      <c r="F6" s="281"/>
      <c r="M6" s="282"/>
      <c r="N6" s="282"/>
      <c r="O6" s="282"/>
      <c r="P6" s="282"/>
      <c r="Q6" s="282"/>
      <c r="R6" s="282"/>
      <c r="S6" s="282"/>
      <c r="T6" s="282"/>
      <c r="U6" s="282"/>
      <c r="V6" s="282"/>
      <c r="W6" s="267"/>
      <c r="X6" s="267"/>
      <c r="Y6" s="267"/>
      <c r="Z6" s="267"/>
      <c r="AA6" s="267"/>
      <c r="AB6" s="267"/>
      <c r="AE6" s="283"/>
      <c r="AF6" s="283"/>
      <c r="AG6" s="283"/>
      <c r="AH6" s="283"/>
      <c r="AI6" s="283"/>
      <c r="AP6" s="283"/>
      <c r="AQ6" s="283"/>
      <c r="AR6" s="283"/>
      <c r="AS6" s="283"/>
    </row>
    <row r="7" spans="2:47" ht="16.5" x14ac:dyDescent="0.3">
      <c r="B7" s="277"/>
      <c r="C7" s="284" t="s">
        <v>182</v>
      </c>
      <c r="D7" s="281"/>
      <c r="E7" s="281">
        <f>'[2]WH Settlement Comparison'!E7+'[3]WH Settlement Comparison'!E7+'[4]WH Settlement Comparison'!E7</f>
        <v>-34948190.649999999</v>
      </c>
      <c r="F7" s="285"/>
      <c r="G7" s="283"/>
      <c r="M7" s="282"/>
      <c r="N7" s="282"/>
      <c r="O7" s="282"/>
      <c r="P7" s="282"/>
      <c r="Q7" s="282"/>
      <c r="R7" s="282"/>
      <c r="S7" s="282"/>
      <c r="T7" s="282"/>
      <c r="U7" s="282"/>
      <c r="V7" s="282"/>
      <c r="W7" s="267"/>
      <c r="X7" s="267"/>
      <c r="Y7" s="267"/>
      <c r="Z7" s="267"/>
      <c r="AA7" s="267"/>
      <c r="AB7" s="267"/>
      <c r="AE7" s="283"/>
      <c r="AF7" s="283"/>
      <c r="AG7" s="283"/>
      <c r="AH7" s="283"/>
      <c r="AI7" s="283"/>
      <c r="AJ7" s="283"/>
      <c r="AK7" s="283"/>
      <c r="AL7" s="283"/>
      <c r="AM7" s="283"/>
      <c r="AN7" s="283"/>
      <c r="AO7" s="283"/>
      <c r="AP7" s="283"/>
      <c r="AQ7" s="283"/>
      <c r="AR7" s="283"/>
      <c r="AS7" s="283"/>
    </row>
    <row r="8" spans="2:47" ht="16.5" x14ac:dyDescent="0.3">
      <c r="B8" s="277"/>
      <c r="C8" s="284"/>
      <c r="D8" s="281"/>
      <c r="E8" s="281"/>
      <c r="F8" s="285"/>
      <c r="M8" s="282"/>
      <c r="N8" s="282"/>
      <c r="O8" s="282"/>
      <c r="P8" s="282"/>
      <c r="Q8" s="282"/>
      <c r="R8" s="282"/>
      <c r="S8" s="282"/>
      <c r="T8" s="282"/>
      <c r="U8" s="282"/>
      <c r="V8" s="282"/>
      <c r="W8" s="267"/>
      <c r="X8" s="267"/>
      <c r="Y8" s="267"/>
      <c r="Z8" s="267"/>
      <c r="AA8" s="267"/>
      <c r="AB8" s="267"/>
      <c r="AI8" s="283"/>
      <c r="AP8" s="283"/>
      <c r="AQ8" s="283"/>
      <c r="AR8" s="283"/>
      <c r="AS8" s="283"/>
    </row>
    <row r="9" spans="2:47" ht="16.5" x14ac:dyDescent="0.3">
      <c r="B9" s="277"/>
      <c r="C9" s="284"/>
      <c r="D9" s="281"/>
      <c r="E9" s="281"/>
      <c r="F9" s="285"/>
      <c r="M9" s="267"/>
      <c r="N9" s="267"/>
      <c r="O9" s="267"/>
      <c r="P9" s="267"/>
      <c r="Q9" s="267"/>
      <c r="R9" s="267"/>
      <c r="S9" s="267"/>
      <c r="T9" s="267"/>
      <c r="U9" s="267"/>
      <c r="V9" s="267"/>
      <c r="W9" s="267"/>
      <c r="X9" s="267"/>
      <c r="Y9" s="267"/>
      <c r="Z9" s="267"/>
      <c r="AA9" s="267"/>
      <c r="AB9" s="267"/>
    </row>
    <row r="10" spans="2:47" ht="16.5" x14ac:dyDescent="0.3">
      <c r="B10" s="277"/>
      <c r="C10" s="284" t="s">
        <v>81</v>
      </c>
      <c r="D10" s="281"/>
      <c r="E10" s="281"/>
      <c r="F10" s="285"/>
      <c r="M10" s="286"/>
      <c r="N10" s="286"/>
      <c r="O10" s="286"/>
      <c r="P10" s="286"/>
      <c r="Q10" s="286"/>
      <c r="R10" s="286"/>
      <c r="S10" s="286"/>
      <c r="T10" s="286"/>
      <c r="U10" s="286"/>
      <c r="V10" s="286"/>
      <c r="W10" s="286"/>
      <c r="X10" s="286"/>
      <c r="Y10" s="267"/>
      <c r="Z10" s="267"/>
      <c r="AA10" s="267"/>
      <c r="AB10" s="267"/>
      <c r="AI10" s="287"/>
      <c r="AP10" s="287"/>
      <c r="AQ10" s="287"/>
      <c r="AR10" s="287"/>
      <c r="AS10" s="287"/>
      <c r="AU10" s="288"/>
    </row>
    <row r="11" spans="2:47" ht="16.5" x14ac:dyDescent="0.3">
      <c r="B11" s="277"/>
      <c r="C11" s="284" t="s">
        <v>82</v>
      </c>
      <c r="D11" s="289">
        <v>1142</v>
      </c>
      <c r="E11" s="281">
        <f>'[2]WH Settlement Comparison'!E11+'[3]WH Settlement Comparison'!E11+'[4]WH Settlement Comparison'!E11</f>
        <v>-16517266.220000001</v>
      </c>
      <c r="F11" s="391" t="s">
        <v>201</v>
      </c>
      <c r="G11" s="392"/>
      <c r="H11" s="393"/>
      <c r="I11" s="394"/>
      <c r="M11" s="290"/>
      <c r="N11" s="290"/>
      <c r="O11" s="290"/>
      <c r="P11" s="290"/>
      <c r="Q11" s="290"/>
      <c r="R11" s="290"/>
      <c r="S11" s="290"/>
      <c r="T11" s="290"/>
      <c r="U11" s="290"/>
      <c r="V11" s="290"/>
      <c r="W11" s="290"/>
      <c r="X11" s="290"/>
      <c r="Y11" s="282"/>
      <c r="Z11" s="267"/>
      <c r="AA11" s="267"/>
      <c r="AB11" s="267"/>
      <c r="AI11" s="287"/>
      <c r="AP11" s="287"/>
      <c r="AQ11" s="287"/>
      <c r="AR11" s="287"/>
      <c r="AS11" s="287"/>
    </row>
    <row r="12" spans="2:47" ht="16.5" x14ac:dyDescent="0.3">
      <c r="B12" s="277"/>
      <c r="C12" s="284" t="s">
        <v>178</v>
      </c>
      <c r="D12" s="289">
        <v>148</v>
      </c>
      <c r="E12" s="281">
        <f>'[2]WH Settlement Comparison'!E12+'[3]WH Settlement Comparison'!E12+'[4]WH Settlement Comparison'!E12</f>
        <v>50723497.921546392</v>
      </c>
      <c r="F12" s="392"/>
      <c r="G12" s="392"/>
      <c r="H12" s="393"/>
      <c r="I12" s="394"/>
      <c r="M12" s="290"/>
      <c r="N12" s="290"/>
      <c r="O12" s="290"/>
      <c r="P12" s="290"/>
      <c r="Q12" s="290"/>
      <c r="R12" s="290"/>
      <c r="S12" s="290"/>
      <c r="T12" s="290"/>
      <c r="U12" s="290"/>
      <c r="V12" s="290"/>
      <c r="W12" s="290"/>
      <c r="X12" s="290"/>
      <c r="Y12" s="282"/>
      <c r="Z12" s="267"/>
      <c r="AA12" s="267"/>
      <c r="AB12" s="267"/>
    </row>
    <row r="13" spans="2:47" ht="16.5" x14ac:dyDescent="0.3">
      <c r="B13" s="277"/>
      <c r="C13" s="284" t="s">
        <v>184</v>
      </c>
      <c r="D13" s="289">
        <v>148</v>
      </c>
      <c r="E13" s="281">
        <f>'[2]WH Settlement Comparison'!E13+'[3]WH Settlement Comparison'!E13+'[4]WH Settlement Comparison'!E13</f>
        <v>1423190.6</v>
      </c>
      <c r="F13" s="285"/>
      <c r="G13" s="283"/>
      <c r="M13" s="267"/>
      <c r="N13" s="267"/>
      <c r="O13" s="267"/>
      <c r="P13" s="267"/>
      <c r="Q13" s="267"/>
      <c r="R13" s="267"/>
      <c r="S13" s="267"/>
      <c r="T13" s="267"/>
      <c r="U13" s="267"/>
      <c r="V13" s="267"/>
      <c r="W13" s="267"/>
      <c r="X13" s="267"/>
      <c r="Y13" s="267"/>
      <c r="Z13" s="267"/>
      <c r="AA13" s="267"/>
      <c r="AB13" s="267"/>
      <c r="AD13" s="281"/>
      <c r="AE13" s="281"/>
      <c r="AF13" s="281"/>
      <c r="AG13" s="281"/>
      <c r="AH13" s="281"/>
      <c r="AI13" s="281"/>
      <c r="AJ13" s="281"/>
      <c r="AK13" s="281"/>
      <c r="AL13" s="281"/>
      <c r="AM13" s="281"/>
      <c r="AN13" s="281"/>
      <c r="AO13" s="281"/>
      <c r="AP13" s="281"/>
      <c r="AQ13" s="281"/>
      <c r="AR13" s="281"/>
      <c r="AS13" s="283"/>
    </row>
    <row r="14" spans="2:47" x14ac:dyDescent="0.25">
      <c r="B14" s="269"/>
      <c r="C14" s="284" t="s">
        <v>115</v>
      </c>
      <c r="D14" s="289">
        <v>1142</v>
      </c>
      <c r="E14" s="281">
        <v>-1120019</v>
      </c>
      <c r="F14" s="291" t="s">
        <v>200</v>
      </c>
      <c r="M14" s="267"/>
      <c r="N14" s="267"/>
      <c r="O14" s="267"/>
      <c r="P14" s="267"/>
      <c r="Q14" s="267"/>
      <c r="R14" s="267"/>
      <c r="S14" s="267"/>
      <c r="T14" s="267"/>
      <c r="U14" s="267"/>
      <c r="V14" s="267"/>
      <c r="W14" s="267"/>
      <c r="X14" s="267"/>
      <c r="Y14" s="267"/>
      <c r="Z14" s="267"/>
      <c r="AA14" s="267"/>
      <c r="AB14" s="267"/>
    </row>
    <row r="15" spans="2:47" ht="16.5" x14ac:dyDescent="0.3">
      <c r="B15" s="277"/>
      <c r="C15" s="292" t="s">
        <v>192</v>
      </c>
      <c r="D15" s="281"/>
      <c r="E15" s="281">
        <f>'[2]WH Settlement Comparison'!E15+'[3]WH Settlement Comparison'!E15+'[4]WH Settlement Comparison'!E15+65394</f>
        <v>438787.44569773361</v>
      </c>
      <c r="F15" s="281"/>
      <c r="M15" s="267"/>
      <c r="N15" s="267"/>
      <c r="O15" s="267"/>
      <c r="P15" s="267"/>
      <c r="Q15" s="267"/>
      <c r="R15" s="267"/>
      <c r="S15" s="267"/>
      <c r="T15" s="267"/>
      <c r="U15" s="267"/>
      <c r="V15" s="267"/>
      <c r="W15" s="267"/>
      <c r="X15" s="267"/>
      <c r="Y15" s="267"/>
      <c r="Z15" s="267"/>
      <c r="AA15" s="267"/>
      <c r="AB15" s="267"/>
    </row>
    <row r="16" spans="2:47" ht="18.75" thickBot="1" x14ac:dyDescent="0.4">
      <c r="B16" s="271" t="s">
        <v>83</v>
      </c>
      <c r="C16" s="272"/>
      <c r="D16" s="281"/>
      <c r="E16" s="293">
        <f>SUM(E4:E15)</f>
        <v>9.7244128526654094E-2</v>
      </c>
      <c r="F16" s="281"/>
      <c r="M16" s="275"/>
      <c r="N16" s="294"/>
      <c r="O16" s="294"/>
      <c r="P16" s="294"/>
      <c r="Q16" s="294"/>
      <c r="R16" s="294"/>
      <c r="S16" s="294"/>
      <c r="T16" s="294"/>
      <c r="U16" s="294"/>
      <c r="V16" s="295"/>
      <c r="W16" s="295"/>
      <c r="X16" s="267"/>
      <c r="Y16" s="267"/>
      <c r="Z16" s="267"/>
      <c r="AA16" s="267"/>
      <c r="AB16" s="267"/>
    </row>
    <row r="17" spans="2:45" ht="15.75" thickBot="1" x14ac:dyDescent="0.3">
      <c r="B17" s="269"/>
      <c r="C17" s="269"/>
      <c r="D17" s="281"/>
      <c r="E17" s="281"/>
      <c r="F17" s="281"/>
      <c r="M17" s="275"/>
      <c r="N17" s="294"/>
      <c r="O17" s="294"/>
      <c r="P17" s="294"/>
      <c r="Q17" s="294"/>
      <c r="R17" s="294"/>
      <c r="S17" s="294"/>
      <c r="T17" s="294"/>
      <c r="U17" s="294"/>
      <c r="V17" s="295"/>
      <c r="W17" s="295"/>
      <c r="X17" s="267"/>
      <c r="Y17" s="267"/>
      <c r="Z17" s="267"/>
      <c r="AA17" s="267"/>
      <c r="AB17" s="267"/>
    </row>
    <row r="18" spans="2:45" ht="15.75" thickBot="1" x14ac:dyDescent="0.3">
      <c r="B18" s="296" t="s">
        <v>84</v>
      </c>
      <c r="C18" s="297"/>
      <c r="D18" s="298"/>
      <c r="E18" s="299">
        <f>E11+E14</f>
        <v>-17637285.219999999</v>
      </c>
      <c r="F18" s="281"/>
      <c r="M18" s="281"/>
      <c r="N18" s="301"/>
      <c r="O18" s="301"/>
      <c r="P18" s="301"/>
      <c r="Q18" s="301"/>
      <c r="R18" s="301"/>
      <c r="S18" s="301"/>
      <c r="T18" s="301"/>
      <c r="U18" s="301"/>
      <c r="V18" s="288"/>
      <c r="W18" s="288"/>
      <c r="AE18" s="283"/>
      <c r="AF18" s="283"/>
      <c r="AG18" s="283"/>
      <c r="AH18" s="283"/>
      <c r="AI18" s="283"/>
      <c r="AJ18" s="283"/>
      <c r="AK18" s="283"/>
      <c r="AL18" s="283"/>
      <c r="AM18" s="283"/>
      <c r="AN18" s="283"/>
      <c r="AO18" s="283"/>
      <c r="AP18" s="283"/>
      <c r="AQ18" s="283"/>
      <c r="AR18" s="283"/>
      <c r="AS18" s="283"/>
    </row>
    <row r="19" spans="2:45" x14ac:dyDescent="0.25">
      <c r="B19" s="269"/>
      <c r="C19" s="269"/>
      <c r="D19" s="269"/>
      <c r="E19" s="290"/>
      <c r="F19" s="290"/>
      <c r="G19" s="281"/>
      <c r="H19" s="281"/>
      <c r="M19" s="281"/>
      <c r="N19" s="301"/>
      <c r="O19" s="301"/>
      <c r="P19" s="301"/>
      <c r="Q19" s="301"/>
      <c r="R19" s="301"/>
      <c r="S19" s="301"/>
      <c r="T19" s="301"/>
      <c r="U19" s="301"/>
      <c r="V19" s="288"/>
      <c r="W19" s="288"/>
      <c r="AE19" s="283"/>
      <c r="AF19" s="283"/>
      <c r="AG19" s="283"/>
      <c r="AH19" s="283"/>
      <c r="AI19" s="283"/>
      <c r="AJ19" s="283"/>
      <c r="AK19" s="283"/>
      <c r="AL19" s="283"/>
      <c r="AM19" s="283"/>
      <c r="AN19" s="283"/>
      <c r="AO19" s="283"/>
      <c r="AP19" s="283"/>
      <c r="AQ19" s="283"/>
      <c r="AR19" s="283"/>
      <c r="AS19" s="283"/>
    </row>
    <row r="20" spans="2:45" x14ac:dyDescent="0.25">
      <c r="B20" s="266" t="s">
        <v>85</v>
      </c>
      <c r="C20" s="269"/>
      <c r="D20" s="269"/>
      <c r="E20" s="302" t="s">
        <v>167</v>
      </c>
      <c r="F20" s="303" t="s">
        <v>86</v>
      </c>
      <c r="G20" s="302" t="s">
        <v>95</v>
      </c>
      <c r="H20" s="281"/>
      <c r="M20" s="281"/>
      <c r="N20" s="301"/>
      <c r="O20" s="301"/>
      <c r="P20" s="301"/>
      <c r="Q20" s="301"/>
      <c r="R20" s="301"/>
      <c r="S20" s="301"/>
      <c r="T20" s="301"/>
      <c r="U20" s="301"/>
      <c r="V20" s="288"/>
      <c r="W20" s="288"/>
      <c r="AE20" s="283"/>
      <c r="AF20" s="283"/>
      <c r="AG20" s="283"/>
      <c r="AH20" s="283"/>
      <c r="AI20" s="283"/>
      <c r="AJ20" s="283"/>
      <c r="AK20" s="283"/>
      <c r="AL20" s="283"/>
      <c r="AM20" s="283"/>
      <c r="AN20" s="283"/>
      <c r="AO20" s="283"/>
      <c r="AP20" s="283"/>
      <c r="AQ20" s="283"/>
      <c r="AR20" s="283"/>
      <c r="AS20" s="283"/>
    </row>
    <row r="21" spans="2:45" x14ac:dyDescent="0.25">
      <c r="B21" s="304" t="s">
        <v>116</v>
      </c>
      <c r="C21" s="269" t="s">
        <v>87</v>
      </c>
      <c r="D21" s="269"/>
      <c r="E21" s="281">
        <f>'Whitby - 2019'!E72</f>
        <v>44020088.447029993</v>
      </c>
      <c r="F21" s="281">
        <f>'Whitby 2019 RPP 2nd TU'!H24</f>
        <v>43479413.111640982</v>
      </c>
      <c r="G21" s="281">
        <f>E21-F21</f>
        <v>540675.33538901061</v>
      </c>
      <c r="H21" s="305">
        <f>G21/F21</f>
        <v>1.2435203161568265E-2</v>
      </c>
      <c r="I21" s="306" t="s">
        <v>107</v>
      </c>
      <c r="M21" s="300"/>
      <c r="N21" s="301"/>
      <c r="O21" s="301"/>
      <c r="P21" s="301"/>
      <c r="Q21" s="301"/>
      <c r="R21" s="301"/>
      <c r="S21" s="301"/>
      <c r="T21" s="301"/>
      <c r="U21" s="301"/>
      <c r="V21" s="288"/>
      <c r="W21" s="288"/>
      <c r="AI21" s="288"/>
    </row>
    <row r="22" spans="2:45" x14ac:dyDescent="0.25">
      <c r="B22" s="304" t="s">
        <v>117</v>
      </c>
      <c r="C22" s="269" t="s">
        <v>97</v>
      </c>
      <c r="D22" s="269"/>
      <c r="E22" s="281">
        <f>'Whitby - 2019'!E84</f>
        <v>9071925.1099999994</v>
      </c>
      <c r="F22" s="281">
        <f>'Whitby 2019 RPP 2nd TU'!I24</f>
        <v>8970008.8772734515</v>
      </c>
      <c r="G22" s="281">
        <f>E22-F22</f>
        <v>101916.23272654787</v>
      </c>
      <c r="H22" s="305">
        <f>G22/F22</f>
        <v>1.1361887610252466E-2</v>
      </c>
      <c r="I22" s="306" t="s">
        <v>110</v>
      </c>
      <c r="M22" s="300"/>
      <c r="N22" s="301"/>
      <c r="O22" s="301"/>
      <c r="P22" s="301"/>
      <c r="Q22" s="301"/>
      <c r="R22" s="301"/>
      <c r="S22" s="301"/>
      <c r="T22" s="301"/>
      <c r="U22" s="301"/>
      <c r="V22" s="288"/>
      <c r="W22" s="288"/>
      <c r="AE22" s="307"/>
      <c r="AF22" s="307"/>
      <c r="AG22" s="307"/>
      <c r="AH22" s="307"/>
      <c r="AI22" s="283"/>
      <c r="AJ22" s="307"/>
      <c r="AK22" s="307"/>
      <c r="AL22" s="307"/>
      <c r="AM22" s="307"/>
      <c r="AN22" s="307"/>
      <c r="AO22" s="307"/>
      <c r="AQ22" s="307"/>
      <c r="AR22" s="307"/>
    </row>
    <row r="23" spans="2:45" x14ac:dyDescent="0.25">
      <c r="B23" s="308" t="s">
        <v>118</v>
      </c>
      <c r="C23" s="269" t="s">
        <v>88</v>
      </c>
      <c r="D23" s="269"/>
      <c r="E23" s="281">
        <f>E12+E13</f>
        <v>52146688.521546394</v>
      </c>
      <c r="F23" s="281">
        <f>'Whitby 2019 RPP 2nd TU'!J24</f>
        <v>52146700.411845766</v>
      </c>
      <c r="G23" s="281">
        <f>E23-F23</f>
        <v>-11.890299372375011</v>
      </c>
      <c r="H23" s="305">
        <f>G23/F23</f>
        <v>-2.2801633235597746E-7</v>
      </c>
      <c r="I23" s="306" t="s">
        <v>113</v>
      </c>
      <c r="M23" s="300"/>
      <c r="N23" s="301"/>
      <c r="O23" s="301"/>
      <c r="P23" s="301"/>
      <c r="Q23" s="301"/>
      <c r="R23" s="301"/>
      <c r="S23" s="301"/>
      <c r="T23" s="301"/>
      <c r="U23" s="301"/>
      <c r="V23" s="288"/>
      <c r="W23" s="288"/>
    </row>
    <row r="24" spans="2:45" x14ac:dyDescent="0.25">
      <c r="B24" s="308"/>
      <c r="C24" s="269" t="str">
        <f>C35</f>
        <v xml:space="preserve">  Adjustment for OEB Accounting Guidance (UFE)</v>
      </c>
      <c r="D24" s="269"/>
      <c r="E24" s="281">
        <f>E15</f>
        <v>438787.44569773361</v>
      </c>
      <c r="F24" s="281"/>
      <c r="G24" s="281">
        <f>E24-F24</f>
        <v>438787.44569773361</v>
      </c>
      <c r="H24" s="305"/>
      <c r="I24" s="306"/>
      <c r="M24" s="300"/>
      <c r="N24" s="301"/>
      <c r="O24" s="301"/>
      <c r="P24" s="301"/>
      <c r="Q24" s="301"/>
      <c r="R24" s="301"/>
      <c r="S24" s="301"/>
      <c r="T24" s="301"/>
      <c r="U24" s="301"/>
      <c r="V24" s="288"/>
      <c r="W24" s="288"/>
    </row>
    <row r="25" spans="2:45" ht="15.75" thickBot="1" x14ac:dyDescent="0.3">
      <c r="B25" s="269"/>
      <c r="C25" s="269" t="s">
        <v>181</v>
      </c>
      <c r="D25" s="269"/>
      <c r="E25" s="293">
        <f>E21-E22-E23-E24</f>
        <v>-17637312.630214132</v>
      </c>
      <c r="F25" s="293">
        <f>F21-F22-F23-F24</f>
        <v>-17637296.177478231</v>
      </c>
      <c r="G25" s="293">
        <f>G21-G22-G23-G24</f>
        <v>-16.452735898492392</v>
      </c>
      <c r="H25" s="305">
        <f>G25/F25</f>
        <v>9.328377622586816E-7</v>
      </c>
      <c r="M25" s="300"/>
      <c r="N25" s="301"/>
      <c r="O25" s="301"/>
      <c r="P25" s="301"/>
      <c r="Q25" s="301"/>
      <c r="R25" s="301"/>
      <c r="S25" s="301"/>
      <c r="T25" s="301"/>
      <c r="U25" s="301"/>
      <c r="V25" s="288"/>
      <c r="W25" s="288"/>
      <c r="AE25" s="283"/>
      <c r="AF25" s="283"/>
      <c r="AG25" s="283"/>
      <c r="AH25" s="283"/>
      <c r="AI25" s="283"/>
      <c r="AJ25" s="283"/>
      <c r="AK25" s="283"/>
      <c r="AL25" s="283"/>
      <c r="AM25" s="283"/>
      <c r="AN25" s="283"/>
      <c r="AO25" s="283"/>
      <c r="AP25" s="283"/>
      <c r="AQ25" s="283"/>
      <c r="AR25" s="283"/>
      <c r="AS25" s="283"/>
    </row>
    <row r="26" spans="2:45" x14ac:dyDescent="0.25">
      <c r="B26" s="269"/>
      <c r="C26" s="269"/>
      <c r="D26" s="269"/>
      <c r="F26" s="283"/>
      <c r="G26" s="283"/>
      <c r="M26" s="300"/>
      <c r="N26" s="301"/>
      <c r="O26" s="301"/>
      <c r="P26" s="301"/>
      <c r="Q26" s="301"/>
      <c r="R26" s="301"/>
      <c r="S26" s="301"/>
      <c r="T26" s="301"/>
      <c r="U26" s="301"/>
      <c r="V26" s="288"/>
      <c r="W26" s="288"/>
      <c r="AE26" s="283"/>
      <c r="AF26" s="283"/>
      <c r="AG26" s="283"/>
      <c r="AH26" s="283"/>
      <c r="AI26" s="283"/>
      <c r="AJ26" s="283"/>
      <c r="AK26" s="283"/>
      <c r="AL26" s="283"/>
      <c r="AM26" s="283"/>
      <c r="AN26" s="283"/>
      <c r="AO26" s="283"/>
      <c r="AP26" s="283"/>
      <c r="AQ26" s="283"/>
      <c r="AR26" s="283"/>
      <c r="AS26" s="283"/>
    </row>
    <row r="27" spans="2:45" x14ac:dyDescent="0.25">
      <c r="C27" s="266" t="s">
        <v>176</v>
      </c>
      <c r="E27" s="280"/>
      <c r="M27" s="300"/>
      <c r="N27" s="301"/>
      <c r="O27" s="301"/>
      <c r="P27" s="301"/>
      <c r="Q27" s="301"/>
      <c r="R27" s="301"/>
      <c r="S27" s="301"/>
      <c r="T27" s="301"/>
      <c r="U27" s="301"/>
      <c r="V27" s="288"/>
      <c r="W27" s="288"/>
      <c r="AE27" s="283"/>
      <c r="AF27" s="283"/>
      <c r="AG27" s="283"/>
      <c r="AH27" s="283"/>
      <c r="AI27" s="283"/>
      <c r="AJ27" s="283"/>
      <c r="AK27" s="283"/>
      <c r="AL27" s="283"/>
      <c r="AM27" s="283"/>
      <c r="AN27" s="283"/>
      <c r="AO27" s="283"/>
      <c r="AP27" s="283"/>
      <c r="AQ27" s="283"/>
      <c r="AR27" s="283"/>
      <c r="AS27" s="283"/>
    </row>
    <row r="28" spans="2:45" x14ac:dyDescent="0.25">
      <c r="B28" s="306" t="s">
        <v>107</v>
      </c>
      <c r="E28" s="309" t="s">
        <v>111</v>
      </c>
      <c r="F28" s="309" t="s">
        <v>112</v>
      </c>
      <c r="G28" s="309" t="s">
        <v>175</v>
      </c>
      <c r="H28" s="309" t="s">
        <v>108</v>
      </c>
      <c r="I28" s="309" t="s">
        <v>109</v>
      </c>
      <c r="M28" s="300"/>
      <c r="N28" s="301"/>
      <c r="O28" s="301"/>
      <c r="P28" s="301"/>
      <c r="Q28" s="301"/>
      <c r="R28" s="301"/>
      <c r="S28" s="301"/>
      <c r="T28" s="301"/>
      <c r="U28" s="301"/>
      <c r="V28" s="288"/>
      <c r="W28" s="288"/>
      <c r="AE28" s="283"/>
      <c r="AF28" s="283"/>
      <c r="AG28" s="283"/>
      <c r="AH28" s="283"/>
    </row>
    <row r="29" spans="2:45" x14ac:dyDescent="0.25">
      <c r="C29" s="265" t="s">
        <v>13</v>
      </c>
      <c r="E29" s="281">
        <f>'Whitby - 2019'!D33</f>
        <v>32266635.609999999</v>
      </c>
      <c r="F29" s="281">
        <f>'Whitby - 2019'!D16</f>
        <v>31897372.24222371</v>
      </c>
      <c r="G29" s="281">
        <f>E29-F29</f>
        <v>369263.36777628958</v>
      </c>
      <c r="H29" s="289">
        <v>9.1985837112816965E-2</v>
      </c>
      <c r="I29" s="281">
        <f>G29*H29</f>
        <v>33967</v>
      </c>
      <c r="N29" s="301"/>
      <c r="O29" s="301"/>
      <c r="P29" s="301"/>
      <c r="Q29" s="301"/>
      <c r="R29" s="301"/>
      <c r="S29" s="301"/>
      <c r="T29" s="301"/>
      <c r="U29" s="301"/>
      <c r="V29" s="288"/>
      <c r="W29" s="288"/>
      <c r="AI29" s="283"/>
      <c r="AP29" s="283"/>
      <c r="AQ29" s="283"/>
      <c r="AR29" s="283"/>
    </row>
    <row r="30" spans="2:45" x14ac:dyDescent="0.25">
      <c r="C30" s="265" t="s">
        <v>14</v>
      </c>
      <c r="E30" s="281">
        <f>'Whitby - 2019'!D34</f>
        <v>16330193.690000001</v>
      </c>
      <c r="F30" s="281">
        <f>'Whitby - 2019'!D17</f>
        <v>16143308.934139689</v>
      </c>
      <c r="G30" s="281">
        <f t="shared" ref="G30:G38" si="0">E30-F30</f>
        <v>186884.75586031191</v>
      </c>
      <c r="H30" s="289">
        <v>0.10278526951849341</v>
      </c>
      <c r="I30" s="281">
        <f t="shared" ref="I30:I33" si="1">G30*H30</f>
        <v>19209</v>
      </c>
      <c r="N30" s="301"/>
      <c r="O30" s="301"/>
      <c r="P30" s="301"/>
      <c r="Q30" s="301"/>
      <c r="R30" s="301"/>
      <c r="S30" s="301"/>
      <c r="T30" s="301"/>
      <c r="U30" s="301"/>
      <c r="V30" s="288"/>
      <c r="W30" s="288"/>
      <c r="AI30" s="283"/>
      <c r="AP30" s="283"/>
      <c r="AQ30" s="283"/>
      <c r="AR30" s="283"/>
    </row>
    <row r="31" spans="2:45" x14ac:dyDescent="0.25">
      <c r="C31" s="265" t="s">
        <v>15</v>
      </c>
      <c r="E31" s="281">
        <f>'Whitby - 2019'!D35</f>
        <v>281728905.40999997</v>
      </c>
      <c r="F31" s="281">
        <f>'Whitby - 2019'!D18</f>
        <v>278504764.97995824</v>
      </c>
      <c r="G31" s="281">
        <f t="shared" si="0"/>
        <v>3224140.4300417304</v>
      </c>
      <c r="H31" s="289">
        <v>7.6612978050960054E-2</v>
      </c>
      <c r="I31" s="281">
        <f t="shared" si="1"/>
        <v>247011</v>
      </c>
      <c r="N31" s="301"/>
      <c r="O31" s="301"/>
      <c r="P31" s="301"/>
      <c r="Q31" s="301"/>
      <c r="R31" s="301"/>
      <c r="S31" s="301"/>
      <c r="T31" s="301"/>
      <c r="U31" s="301"/>
      <c r="V31" s="288"/>
      <c r="W31" s="288"/>
    </row>
    <row r="32" spans="2:45" x14ac:dyDescent="0.25">
      <c r="C32" s="265" t="s">
        <v>16</v>
      </c>
      <c r="E32" s="281">
        <f>'Whitby - 2019'!D36</f>
        <v>76358028.439999998</v>
      </c>
      <c r="F32" s="281">
        <f>'Whitby - 2019'!D19</f>
        <v>75484177.720659003</v>
      </c>
      <c r="G32" s="281">
        <f t="shared" si="0"/>
        <v>873850.71934099495</v>
      </c>
      <c r="H32" s="289">
        <v>0.10882179060482333</v>
      </c>
      <c r="I32" s="281">
        <f t="shared" si="1"/>
        <v>95094</v>
      </c>
      <c r="N32" s="301"/>
      <c r="O32" s="301"/>
      <c r="P32" s="301"/>
      <c r="Q32" s="301"/>
      <c r="R32" s="301"/>
      <c r="S32" s="301"/>
      <c r="T32" s="301"/>
      <c r="U32" s="301"/>
      <c r="V32" s="288"/>
      <c r="W32" s="288"/>
    </row>
    <row r="33" spans="2:23" x14ac:dyDescent="0.25">
      <c r="C33" s="265" t="s">
        <v>17</v>
      </c>
      <c r="E33" s="281">
        <f>'Whitby - 2019'!D37</f>
        <v>81611594.519999996</v>
      </c>
      <c r="F33" s="281">
        <f>'Whitby - 2019'!D20</f>
        <v>80677621.340822041</v>
      </c>
      <c r="G33" s="281">
        <f t="shared" si="0"/>
        <v>933973.17917795479</v>
      </c>
      <c r="H33" s="289">
        <v>0.15570361466696014</v>
      </c>
      <c r="I33" s="281">
        <f t="shared" si="1"/>
        <v>145423</v>
      </c>
      <c r="N33" s="301"/>
      <c r="O33" s="301"/>
      <c r="P33" s="301"/>
      <c r="Q33" s="301"/>
      <c r="R33" s="301"/>
      <c r="S33" s="301"/>
      <c r="T33" s="301"/>
      <c r="U33" s="301"/>
      <c r="V33" s="288"/>
      <c r="W33" s="288"/>
    </row>
    <row r="34" spans="2:23" ht="15.75" thickBot="1" x14ac:dyDescent="0.3">
      <c r="C34" s="265" t="str">
        <f>C21</f>
        <v>RPP Revenue</v>
      </c>
      <c r="E34" s="293">
        <f>SUM(E29:E33)</f>
        <v>488295357.66999996</v>
      </c>
      <c r="F34" s="293">
        <f>'Whitby - 2019'!D21</f>
        <v>482707245.2178027</v>
      </c>
      <c r="G34" s="293">
        <f>SUM(G29:G33)</f>
        <v>5588112.4521972816</v>
      </c>
      <c r="H34" s="310"/>
      <c r="I34" s="293">
        <f>SUM(I29:I33)</f>
        <v>540704</v>
      </c>
      <c r="M34" s="281"/>
      <c r="N34" s="301"/>
      <c r="O34" s="301"/>
      <c r="P34" s="301"/>
      <c r="Q34" s="301"/>
      <c r="R34" s="301"/>
      <c r="S34" s="301"/>
      <c r="T34" s="301"/>
      <c r="U34" s="301"/>
      <c r="V34" s="288"/>
      <c r="W34" s="288"/>
    </row>
    <row r="35" spans="2:23" x14ac:dyDescent="0.25">
      <c r="C35" s="265" t="str">
        <f>C39</f>
        <v xml:space="preserve">  Adjustment for OEB Accounting Guidance (UFE)</v>
      </c>
      <c r="E35" s="290"/>
      <c r="F35" s="290"/>
      <c r="G35" s="290"/>
      <c r="H35" s="311"/>
      <c r="I35" s="290">
        <f>-I34</f>
        <v>-540704</v>
      </c>
      <c r="K35" s="283"/>
      <c r="L35" s="283"/>
      <c r="M35" s="281"/>
      <c r="N35" s="301"/>
      <c r="O35" s="301"/>
      <c r="P35" s="301"/>
      <c r="Q35" s="301"/>
      <c r="R35" s="301"/>
      <c r="S35" s="301"/>
      <c r="T35" s="301"/>
      <c r="U35" s="301"/>
      <c r="V35" s="288"/>
      <c r="W35" s="288"/>
    </row>
    <row r="36" spans="2:23" ht="15.75" thickBot="1" x14ac:dyDescent="0.3">
      <c r="E36" s="290"/>
      <c r="F36" s="290"/>
      <c r="G36" s="290"/>
      <c r="H36" s="311"/>
      <c r="I36" s="293">
        <f>SUM(I34:I35)</f>
        <v>0</v>
      </c>
      <c r="M36" s="300"/>
      <c r="N36" s="301"/>
      <c r="O36" s="301"/>
      <c r="P36" s="301"/>
      <c r="Q36" s="301"/>
      <c r="R36" s="301"/>
      <c r="S36" s="301"/>
      <c r="T36" s="301"/>
      <c r="U36" s="301"/>
      <c r="V36" s="288"/>
      <c r="W36" s="288"/>
    </row>
    <row r="37" spans="2:23" x14ac:dyDescent="0.25">
      <c r="M37" s="300"/>
      <c r="N37" s="301"/>
      <c r="O37" s="301"/>
      <c r="P37" s="301"/>
      <c r="Q37" s="301"/>
      <c r="R37" s="301"/>
      <c r="S37" s="301"/>
      <c r="T37" s="301"/>
      <c r="U37" s="301"/>
      <c r="V37" s="288"/>
      <c r="W37" s="288"/>
    </row>
    <row r="38" spans="2:23" x14ac:dyDescent="0.25">
      <c r="B38" s="306" t="s">
        <v>110</v>
      </c>
      <c r="C38" s="265" t="str">
        <f>C22</f>
        <v>Energy Revenue - RPP</v>
      </c>
      <c r="E38" s="281">
        <f>E34</f>
        <v>488295357.66999996</v>
      </c>
      <c r="F38" s="281">
        <f>F34</f>
        <v>482707245.2178027</v>
      </c>
      <c r="G38" s="281">
        <f t="shared" si="0"/>
        <v>5588112.4521972537</v>
      </c>
      <c r="H38" s="265">
        <v>1.8238000912083736E-2</v>
      </c>
      <c r="I38" s="281">
        <f t="shared" ref="I38" si="2">G38*H38</f>
        <v>101916</v>
      </c>
      <c r="N38" s="301"/>
      <c r="O38" s="301"/>
      <c r="P38" s="301"/>
      <c r="Q38" s="301"/>
      <c r="R38" s="301"/>
      <c r="S38" s="301"/>
      <c r="T38" s="301"/>
      <c r="U38" s="301"/>
      <c r="V38" s="288"/>
      <c r="W38" s="288"/>
    </row>
    <row r="39" spans="2:23" x14ac:dyDescent="0.25">
      <c r="B39" s="306"/>
      <c r="C39" s="265" t="s">
        <v>192</v>
      </c>
      <c r="E39" s="281"/>
      <c r="F39" s="281"/>
      <c r="G39" s="281"/>
      <c r="H39" s="312"/>
      <c r="I39" s="281">
        <f>-I38</f>
        <v>-101916</v>
      </c>
      <c r="M39" s="300"/>
      <c r="N39" s="301"/>
      <c r="O39" s="301"/>
      <c r="P39" s="301"/>
      <c r="Q39" s="301"/>
      <c r="R39" s="301"/>
      <c r="S39" s="301"/>
      <c r="T39" s="301"/>
      <c r="U39" s="301"/>
      <c r="V39" s="288"/>
      <c r="W39" s="288"/>
    </row>
    <row r="40" spans="2:23" ht="15.75" thickBot="1" x14ac:dyDescent="0.3">
      <c r="B40" s="306"/>
      <c r="E40" s="281"/>
      <c r="F40" s="281"/>
      <c r="G40" s="281"/>
      <c r="H40" s="312"/>
      <c r="I40" s="313">
        <f>SUM(I38:I39)</f>
        <v>0</v>
      </c>
      <c r="M40" s="300"/>
      <c r="N40" s="301"/>
      <c r="O40" s="301"/>
      <c r="P40" s="301"/>
      <c r="Q40" s="301"/>
      <c r="R40" s="301"/>
      <c r="S40" s="301"/>
      <c r="T40" s="301"/>
      <c r="U40" s="301"/>
      <c r="V40" s="288"/>
      <c r="W40" s="288"/>
    </row>
    <row r="41" spans="2:23" ht="15.75" thickBot="1" x14ac:dyDescent="0.3">
      <c r="B41" s="314"/>
      <c r="C41" s="315"/>
      <c r="D41" s="315"/>
      <c r="E41" s="316"/>
      <c r="F41" s="316"/>
      <c r="G41" s="316"/>
      <c r="H41" s="317"/>
      <c r="I41" s="316"/>
      <c r="M41" s="300"/>
      <c r="N41" s="301"/>
      <c r="O41" s="301"/>
      <c r="P41" s="301"/>
      <c r="Q41" s="301"/>
      <c r="R41" s="301"/>
      <c r="S41" s="301"/>
      <c r="T41" s="301"/>
      <c r="U41" s="301"/>
      <c r="V41" s="288"/>
      <c r="W41" s="288"/>
    </row>
    <row r="42" spans="2:23" ht="15" hidden="1" customHeight="1" x14ac:dyDescent="0.25">
      <c r="B42" s="267"/>
      <c r="C42" s="318"/>
      <c r="D42" s="267"/>
      <c r="E42" s="267"/>
      <c r="F42" s="267"/>
      <c r="G42" s="267"/>
      <c r="H42" s="267"/>
      <c r="I42" s="267"/>
      <c r="M42" s="300"/>
      <c r="N42" s="301"/>
      <c r="O42" s="301"/>
      <c r="P42" s="301"/>
      <c r="Q42" s="301"/>
      <c r="R42" s="301"/>
      <c r="S42" s="301"/>
      <c r="T42" s="301"/>
      <c r="U42" s="301"/>
      <c r="V42" s="288"/>
      <c r="W42" s="288"/>
    </row>
    <row r="43" spans="2:23" hidden="1" x14ac:dyDescent="0.25">
      <c r="B43" s="319"/>
      <c r="C43" s="267"/>
      <c r="D43" s="267"/>
      <c r="E43" s="282"/>
      <c r="F43" s="282"/>
      <c r="G43" s="290"/>
      <c r="H43" s="320"/>
      <c r="I43" s="290"/>
      <c r="M43" s="300"/>
      <c r="N43" s="301"/>
      <c r="O43" s="301"/>
      <c r="P43" s="301"/>
      <c r="Q43" s="301"/>
      <c r="R43" s="301"/>
      <c r="S43" s="301"/>
      <c r="T43" s="301"/>
      <c r="U43" s="301"/>
      <c r="V43" s="288"/>
      <c r="W43" s="288"/>
    </row>
    <row r="44" spans="2:23" hidden="1" x14ac:dyDescent="0.25">
      <c r="B44" s="267"/>
      <c r="C44" s="267"/>
      <c r="D44" s="267"/>
      <c r="E44" s="267"/>
      <c r="F44" s="282"/>
      <c r="G44" s="290"/>
      <c r="H44" s="320"/>
      <c r="I44" s="290"/>
      <c r="M44" s="300"/>
      <c r="N44" s="301"/>
      <c r="O44" s="301"/>
      <c r="P44" s="301"/>
      <c r="Q44" s="301"/>
      <c r="R44" s="301"/>
      <c r="S44" s="301"/>
      <c r="T44" s="301"/>
      <c r="U44" s="301"/>
      <c r="V44" s="288"/>
      <c r="W44" s="288"/>
    </row>
    <row r="45" spans="2:23" hidden="1" x14ac:dyDescent="0.25">
      <c r="B45" s="267"/>
      <c r="C45" s="267"/>
      <c r="D45" s="267"/>
      <c r="E45" s="267"/>
      <c r="F45" s="267"/>
      <c r="G45" s="267"/>
      <c r="H45" s="267"/>
      <c r="I45" s="282"/>
      <c r="M45" s="300"/>
      <c r="N45" s="301"/>
      <c r="O45" s="301"/>
      <c r="P45" s="301"/>
      <c r="Q45" s="301"/>
      <c r="R45" s="301"/>
      <c r="S45" s="301"/>
      <c r="T45" s="301"/>
      <c r="U45" s="301"/>
      <c r="V45" s="288"/>
      <c r="W45" s="288"/>
    </row>
    <row r="46" spans="2:23" hidden="1" x14ac:dyDescent="0.25">
      <c r="B46" s="267"/>
      <c r="C46" s="267"/>
      <c r="D46" s="267"/>
      <c r="E46" s="267"/>
      <c r="F46" s="267"/>
      <c r="G46" s="267"/>
      <c r="H46" s="267"/>
      <c r="I46" s="282"/>
      <c r="M46" s="300"/>
      <c r="N46" s="301"/>
      <c r="O46" s="301"/>
      <c r="P46" s="301"/>
      <c r="Q46" s="301"/>
      <c r="R46" s="301"/>
      <c r="S46" s="301"/>
      <c r="T46" s="301"/>
      <c r="U46" s="301"/>
      <c r="V46" s="288"/>
      <c r="W46" s="288"/>
    </row>
    <row r="47" spans="2:23" x14ac:dyDescent="0.25">
      <c r="I47" s="288"/>
      <c r="N47" s="301"/>
      <c r="O47" s="301"/>
      <c r="P47" s="301"/>
      <c r="Q47" s="301"/>
      <c r="R47" s="301"/>
      <c r="S47" s="301"/>
      <c r="T47" s="301"/>
      <c r="U47" s="301"/>
      <c r="V47" s="288"/>
      <c r="W47" s="288"/>
    </row>
    <row r="48" spans="2:23" x14ac:dyDescent="0.25">
      <c r="B48" s="266" t="s">
        <v>169</v>
      </c>
      <c r="E48" s="321" t="s">
        <v>167</v>
      </c>
      <c r="F48" s="321" t="s">
        <v>86</v>
      </c>
      <c r="G48" s="309" t="s">
        <v>65</v>
      </c>
      <c r="N48" s="301"/>
      <c r="O48" s="301"/>
      <c r="P48" s="301"/>
      <c r="Q48" s="301"/>
      <c r="R48" s="301"/>
      <c r="S48" s="301"/>
      <c r="T48" s="301"/>
      <c r="U48" s="301"/>
      <c r="V48" s="288"/>
      <c r="W48" s="288"/>
    </row>
    <row r="49" spans="1:29" x14ac:dyDescent="0.25">
      <c r="C49" s="265" t="s">
        <v>98</v>
      </c>
      <c r="E49" s="283">
        <f>'Whitby - 2019'!E84</f>
        <v>9071925.1099999994</v>
      </c>
      <c r="L49" s="267"/>
      <c r="M49" s="267"/>
      <c r="N49" s="267"/>
      <c r="O49" s="267"/>
      <c r="P49" s="267"/>
    </row>
    <row r="50" spans="1:29" x14ac:dyDescent="0.25">
      <c r="C50" s="265" t="s">
        <v>185</v>
      </c>
      <c r="E50" s="283">
        <f>-E7</f>
        <v>34948190.649999999</v>
      </c>
      <c r="L50" s="322"/>
      <c r="M50" s="267"/>
      <c r="N50" s="267"/>
      <c r="O50" s="267"/>
      <c r="P50" s="267"/>
    </row>
    <row r="51" spans="1:29" x14ac:dyDescent="0.25">
      <c r="C51" s="265" t="s">
        <v>87</v>
      </c>
      <c r="E51" s="323">
        <f>SUM(E49:E50)</f>
        <v>44020115.759999998</v>
      </c>
      <c r="F51" s="323">
        <f>'Whitby - 2019'!E72</f>
        <v>44020088.447029993</v>
      </c>
      <c r="G51" s="323">
        <f>E51-F51</f>
        <v>27.312970004975796</v>
      </c>
      <c r="L51" s="322"/>
      <c r="M51" s="324"/>
      <c r="N51" s="324"/>
      <c r="O51" s="322"/>
      <c r="P51" s="267"/>
    </row>
    <row r="52" spans="1:29" x14ac:dyDescent="0.25">
      <c r="L52" s="325"/>
      <c r="M52" s="326"/>
      <c r="N52" s="327"/>
      <c r="O52" s="327"/>
      <c r="P52" s="267"/>
    </row>
    <row r="53" spans="1:29" x14ac:dyDescent="0.25">
      <c r="C53" s="265" t="s">
        <v>96</v>
      </c>
      <c r="E53" s="283">
        <f>'Whitby - 2019'!E76</f>
        <v>7131285.2149481503</v>
      </c>
      <c r="F53" s="283">
        <f>'Whitby - 2019'!E76</f>
        <v>7131285.2149481503</v>
      </c>
      <c r="G53" s="283">
        <f>E53-F53</f>
        <v>0</v>
      </c>
      <c r="L53" s="328"/>
      <c r="M53" s="328"/>
      <c r="N53" s="328"/>
      <c r="O53" s="328"/>
      <c r="P53" s="267"/>
      <c r="Q53" s="281"/>
      <c r="R53" s="281"/>
      <c r="S53" s="281"/>
      <c r="T53" s="281"/>
      <c r="U53" s="281"/>
      <c r="V53" s="281"/>
      <c r="W53" s="281"/>
      <c r="X53" s="281"/>
      <c r="Y53" s="281"/>
      <c r="Z53" s="281"/>
      <c r="AA53" s="281"/>
      <c r="AB53" s="281"/>
      <c r="AC53" s="281"/>
    </row>
    <row r="54" spans="1:29" ht="15.75" thickBot="1" x14ac:dyDescent="0.3">
      <c r="E54" s="313">
        <f>SUM(E51:E53)</f>
        <v>51151400.974948145</v>
      </c>
      <c r="F54" s="313">
        <f>SUM(F51:F53)</f>
        <v>51151373.66197814</v>
      </c>
      <c r="G54" s="313">
        <f>E54-F54</f>
        <v>27.312970004975796</v>
      </c>
      <c r="I54" s="283"/>
      <c r="L54" s="322"/>
      <c r="M54" s="329"/>
      <c r="N54" s="329"/>
      <c r="O54" s="329"/>
      <c r="P54" s="267"/>
      <c r="Q54" s="330"/>
      <c r="R54" s="330"/>
      <c r="S54" s="330"/>
      <c r="T54" s="330"/>
      <c r="U54" s="330"/>
      <c r="V54" s="330"/>
      <c r="W54" s="330"/>
      <c r="X54" s="330"/>
      <c r="Y54" s="330"/>
      <c r="Z54" s="330"/>
      <c r="AA54" s="330"/>
      <c r="AB54" s="330"/>
      <c r="AC54" s="330"/>
    </row>
    <row r="55" spans="1:29" x14ac:dyDescent="0.25">
      <c r="L55" s="331"/>
      <c r="M55" s="332"/>
      <c r="N55" s="333"/>
      <c r="O55" s="328"/>
      <c r="P55" s="267"/>
      <c r="Q55" s="281"/>
      <c r="R55" s="281"/>
      <c r="S55" s="281"/>
      <c r="T55" s="281"/>
      <c r="U55" s="281"/>
      <c r="V55" s="281"/>
      <c r="W55" s="281"/>
      <c r="X55" s="281"/>
      <c r="Y55" s="281"/>
      <c r="Z55" s="281"/>
      <c r="AA55" s="281"/>
      <c r="AB55" s="281"/>
      <c r="AC55" s="281"/>
    </row>
    <row r="56" spans="1:29" x14ac:dyDescent="0.25">
      <c r="B56" s="266" t="s">
        <v>119</v>
      </c>
      <c r="L56" s="322"/>
      <c r="M56" s="322"/>
      <c r="N56" s="322"/>
      <c r="O56" s="322"/>
      <c r="P56" s="267"/>
    </row>
    <row r="57" spans="1:29" x14ac:dyDescent="0.25">
      <c r="C57" s="265" t="s">
        <v>168</v>
      </c>
      <c r="E57" s="283">
        <f>'Whitby - 2019'!E55</f>
        <v>15946032.9</v>
      </c>
      <c r="F57" s="283">
        <f>'Whitby - 2019'!E55</f>
        <v>15946032.9</v>
      </c>
      <c r="L57" s="389" t="s">
        <v>191</v>
      </c>
      <c r="M57" s="390"/>
      <c r="N57" s="390"/>
      <c r="O57" s="390"/>
      <c r="P57" s="267"/>
      <c r="Q57" s="281"/>
      <c r="R57" s="281"/>
      <c r="S57" s="281"/>
      <c r="T57" s="281"/>
      <c r="U57" s="281"/>
      <c r="V57" s="281"/>
      <c r="W57" s="281"/>
      <c r="X57" s="281"/>
      <c r="Y57" s="281"/>
      <c r="Z57" s="281"/>
      <c r="AA57" s="281"/>
      <c r="AB57" s="281"/>
      <c r="AC57" s="281"/>
    </row>
    <row r="58" spans="1:29" ht="15" customHeight="1" x14ac:dyDescent="0.25">
      <c r="A58" s="283"/>
      <c r="C58" s="265" t="s">
        <v>183</v>
      </c>
      <c r="E58" s="283">
        <f>'Whitby - 2019'!E54+'Whitby - 2019'!E60</f>
        <v>104508.23000000045</v>
      </c>
      <c r="F58" s="283">
        <f>'Whitby - 2019'!E54+'Whitby - 2019'!E60</f>
        <v>104508.23000000045</v>
      </c>
      <c r="L58" s="390"/>
      <c r="M58" s="390"/>
      <c r="N58" s="390"/>
      <c r="O58" s="390"/>
      <c r="Q58" s="330"/>
      <c r="R58" s="330"/>
      <c r="S58" s="330"/>
      <c r="T58" s="330"/>
      <c r="U58" s="330"/>
      <c r="V58" s="330"/>
      <c r="W58" s="330"/>
      <c r="X58" s="330"/>
      <c r="Y58" s="330"/>
      <c r="Z58" s="330"/>
      <c r="AA58" s="330"/>
      <c r="AB58" s="330"/>
      <c r="AC58" s="330"/>
    </row>
    <row r="59" spans="1:29" x14ac:dyDescent="0.25">
      <c r="C59" s="265" t="s">
        <v>202</v>
      </c>
      <c r="E59" s="283">
        <f>E50</f>
        <v>34948190.649999999</v>
      </c>
      <c r="F59" s="283"/>
      <c r="L59" s="334"/>
      <c r="M59" s="335" t="s">
        <v>186</v>
      </c>
      <c r="N59" s="335" t="s">
        <v>186</v>
      </c>
      <c r="O59" s="335" t="s">
        <v>186</v>
      </c>
      <c r="Q59" s="281"/>
      <c r="R59" s="281"/>
      <c r="S59" s="281"/>
      <c r="T59" s="281"/>
      <c r="U59" s="281"/>
      <c r="V59" s="281"/>
      <c r="W59" s="281"/>
      <c r="X59" s="281"/>
      <c r="Y59" s="281"/>
      <c r="Z59" s="281"/>
      <c r="AA59" s="281"/>
      <c r="AB59" s="281"/>
      <c r="AC59" s="281"/>
    </row>
    <row r="60" spans="1:29" x14ac:dyDescent="0.25">
      <c r="C60" s="265" t="s">
        <v>99</v>
      </c>
      <c r="E60" s="283"/>
      <c r="F60" s="283">
        <f>'Whitby - 2019'!E57</f>
        <v>52146700.411845773</v>
      </c>
      <c r="L60" s="336" t="s">
        <v>205</v>
      </c>
      <c r="M60" s="337" t="s">
        <v>89</v>
      </c>
      <c r="N60" s="338" t="s">
        <v>90</v>
      </c>
      <c r="O60" s="338" t="s">
        <v>91</v>
      </c>
    </row>
    <row r="61" spans="1:29" ht="15.75" thickBot="1" x14ac:dyDescent="0.3">
      <c r="C61" s="265" t="s">
        <v>100</v>
      </c>
      <c r="E61" s="283"/>
      <c r="F61" s="283">
        <f>'Whitby 2019 RPP 2nd TU'!K24</f>
        <v>-17637296.177478239</v>
      </c>
      <c r="L61" s="339" t="s">
        <v>92</v>
      </c>
      <c r="M61" s="339">
        <f>'Whitby - 2019'!D8</f>
        <v>723749314</v>
      </c>
      <c r="N61" s="340">
        <f>86691116+116690893+37660062</f>
        <v>241042071</v>
      </c>
      <c r="O61" s="340">
        <f>156060011.31+246204147+80443086</f>
        <v>482707244.31</v>
      </c>
    </row>
    <row r="62" spans="1:29" ht="15" customHeight="1" x14ac:dyDescent="0.25">
      <c r="C62" s="265" t="str">
        <f>C15</f>
        <v xml:space="preserve">  Adjustment for OEB Accounting Guidance (UFE)</v>
      </c>
      <c r="E62" s="283">
        <f>-E15</f>
        <v>-438787.44569773361</v>
      </c>
      <c r="F62" s="283"/>
      <c r="I62" s="387" t="s">
        <v>193</v>
      </c>
      <c r="L62" s="341" t="s">
        <v>93</v>
      </c>
      <c r="M62" s="342">
        <f>M63/M61</f>
        <v>0.10798406166088607</v>
      </c>
      <c r="N62" s="342">
        <f>N63/N61</f>
        <v>0.10789274478976742</v>
      </c>
      <c r="O62" s="342">
        <f>O63/O61</f>
        <v>0.10802966082379904</v>
      </c>
      <c r="Q62" s="343"/>
    </row>
    <row r="63" spans="1:29" ht="15.75" thickBot="1" x14ac:dyDescent="0.3">
      <c r="E63" s="313">
        <f>SUM(E57:E62)</f>
        <v>50559944.334302269</v>
      </c>
      <c r="F63" s="313">
        <f>SUM(F57:F62)</f>
        <v>50559945.36436753</v>
      </c>
      <c r="G63" s="313">
        <f>E63-F63</f>
        <v>-1.0300652608275414</v>
      </c>
      <c r="H63" s="306"/>
      <c r="I63" s="388"/>
      <c r="L63" s="344" t="s">
        <v>94</v>
      </c>
      <c r="M63" s="345">
        <f>22317262.55+44471577+11364551</f>
        <v>78153390.549999997</v>
      </c>
      <c r="N63" s="346">
        <f>7978317.65+14405678+3622695</f>
        <v>26006690.649999999</v>
      </c>
      <c r="O63" s="346">
        <f>14338944.88+30065899+7741856</f>
        <v>52146699.880000003</v>
      </c>
      <c r="Q63" s="283"/>
    </row>
    <row r="64" spans="1:29" x14ac:dyDescent="0.25">
      <c r="I64" s="347">
        <v>5.0000000000000001E-3</v>
      </c>
      <c r="L64" s="348"/>
      <c r="M64" s="267"/>
      <c r="N64" s="290"/>
      <c r="O64" s="267"/>
      <c r="P64" s="267"/>
      <c r="Q64" s="267"/>
      <c r="R64" s="267"/>
    </row>
    <row r="65" spans="2:18" ht="15.75" thickBot="1" x14ac:dyDescent="0.3">
      <c r="B65" s="349" t="s">
        <v>177</v>
      </c>
      <c r="C65" s="349"/>
      <c r="D65" s="349"/>
      <c r="E65" s="350">
        <f>E63-E54</f>
        <v>-591456.64064587653</v>
      </c>
      <c r="F65" s="350">
        <f>F63-F54</f>
        <v>-591428.29761061072</v>
      </c>
      <c r="G65" s="350">
        <f>ROUND(E65-F65,0)</f>
        <v>-28</v>
      </c>
      <c r="I65" s="351">
        <f>I64*F63</f>
        <v>252799.72682183766</v>
      </c>
      <c r="J65" s="282"/>
      <c r="L65" s="282"/>
      <c r="M65" s="267"/>
      <c r="N65" s="352"/>
      <c r="O65" s="353"/>
      <c r="P65" s="267"/>
      <c r="Q65" s="267"/>
      <c r="R65" s="267"/>
    </row>
    <row r="66" spans="2:18" ht="16.5" thickTop="1" thickBot="1" x14ac:dyDescent="0.3">
      <c r="B66" s="362" t="s">
        <v>203</v>
      </c>
      <c r="I66" s="354" t="str">
        <f>IF(G65&lt;&gt;0,"Not Applicable","Review")</f>
        <v>Not Applicable</v>
      </c>
      <c r="J66" s="282"/>
      <c r="L66" s="282"/>
      <c r="M66" s="267"/>
      <c r="N66" s="282"/>
      <c r="O66" s="267"/>
      <c r="P66" s="267"/>
      <c r="Q66" s="267"/>
      <c r="R66" s="267"/>
    </row>
    <row r="67" spans="2:18" x14ac:dyDescent="0.25">
      <c r="B67" s="318"/>
      <c r="C67" s="267"/>
      <c r="D67" s="267"/>
      <c r="E67" s="267"/>
      <c r="F67" s="267"/>
      <c r="G67" s="282"/>
      <c r="L67" s="290"/>
      <c r="M67" s="267"/>
      <c r="N67" s="290"/>
      <c r="O67" s="267"/>
      <c r="P67" s="282"/>
      <c r="Q67" s="267"/>
      <c r="R67" s="282"/>
    </row>
    <row r="68" spans="2:18" hidden="1" x14ac:dyDescent="0.25">
      <c r="B68" s="319"/>
      <c r="C68" s="267"/>
      <c r="D68" s="267"/>
      <c r="E68" s="267"/>
      <c r="F68" s="267"/>
      <c r="G68" s="282"/>
      <c r="L68" s="282"/>
      <c r="M68" s="267"/>
      <c r="N68" s="290"/>
      <c r="O68" s="267"/>
      <c r="P68" s="267"/>
      <c r="Q68" s="267"/>
      <c r="R68" s="267"/>
    </row>
    <row r="69" spans="2:18" hidden="1" x14ac:dyDescent="0.25">
      <c r="B69" s="267"/>
      <c r="C69" s="267"/>
      <c r="D69" s="267"/>
      <c r="E69" s="267"/>
      <c r="F69" s="267"/>
      <c r="G69" s="282"/>
      <c r="L69" s="267"/>
      <c r="M69" s="267"/>
      <c r="N69" s="282"/>
      <c r="O69" s="267"/>
      <c r="P69" s="267"/>
      <c r="Q69" s="267"/>
      <c r="R69" s="282"/>
    </row>
    <row r="70" spans="2:18" hidden="1" x14ac:dyDescent="0.25">
      <c r="B70" s="267"/>
      <c r="C70" s="267"/>
      <c r="D70" s="267"/>
      <c r="E70" s="267"/>
      <c r="F70" s="267"/>
      <c r="G70" s="282"/>
    </row>
    <row r="71" spans="2:18" hidden="1" x14ac:dyDescent="0.25"/>
    <row r="72" spans="2:18" hidden="1" x14ac:dyDescent="0.25">
      <c r="F72" s="283"/>
    </row>
    <row r="73" spans="2:18" hidden="1" x14ac:dyDescent="0.25">
      <c r="C73" s="266"/>
    </row>
    <row r="74" spans="2:18" ht="18" customHeight="1" x14ac:dyDescent="0.25">
      <c r="B74" s="266" t="s">
        <v>74</v>
      </c>
      <c r="E74" s="321" t="str">
        <f>E48</f>
        <v>EW Method</v>
      </c>
      <c r="F74" s="321" t="s">
        <v>86</v>
      </c>
      <c r="G74" s="309" t="s">
        <v>65</v>
      </c>
    </row>
    <row r="75" spans="2:18" x14ac:dyDescent="0.25">
      <c r="C75" s="265" t="s">
        <v>114</v>
      </c>
      <c r="E75" s="283">
        <f>'Whitby - 2019'!E78</f>
        <v>25770848.389428388</v>
      </c>
      <c r="F75" s="283">
        <f>'Whitby - 2019'!E78</f>
        <v>25770848.389428388</v>
      </c>
      <c r="G75" s="267"/>
      <c r="H75" s="267"/>
    </row>
    <row r="76" spans="2:18" x14ac:dyDescent="0.25">
      <c r="C76" s="265" t="s">
        <v>104</v>
      </c>
      <c r="E76" s="283">
        <f>'Whitby - 2019'!E77</f>
        <v>11358101.689999999</v>
      </c>
      <c r="F76" s="283">
        <f>'Whitby - 2019'!E77</f>
        <v>11358101.689999999</v>
      </c>
      <c r="G76" s="267"/>
      <c r="H76" s="355"/>
    </row>
    <row r="77" spans="2:18" ht="15.75" thickBot="1" x14ac:dyDescent="0.3">
      <c r="C77" s="265" t="s">
        <v>101</v>
      </c>
      <c r="E77" s="313">
        <f>SUM(E75:E76)</f>
        <v>37128950.07942839</v>
      </c>
      <c r="F77" s="313">
        <f>SUM(F75:F76)</f>
        <v>37128950.07942839</v>
      </c>
      <c r="G77" s="313">
        <f>E77-F77</f>
        <v>0</v>
      </c>
      <c r="H77" s="355"/>
      <c r="I77" s="283"/>
    </row>
    <row r="78" spans="2:18" x14ac:dyDescent="0.25">
      <c r="E78" s="282"/>
      <c r="F78" s="282"/>
      <c r="G78" s="283"/>
      <c r="H78" s="355"/>
      <c r="I78" s="283"/>
    </row>
    <row r="79" spans="2:18" x14ac:dyDescent="0.25">
      <c r="B79" s="265" t="s">
        <v>120</v>
      </c>
      <c r="E79" s="290"/>
      <c r="F79" s="286"/>
      <c r="G79" s="267"/>
      <c r="H79" s="355"/>
    </row>
    <row r="80" spans="2:18" ht="15.75" thickBot="1" x14ac:dyDescent="0.3">
      <c r="C80" s="265" t="s">
        <v>102</v>
      </c>
      <c r="E80" s="290">
        <f>'Whitby - 2019'!E56</f>
        <v>11358101.689999999</v>
      </c>
      <c r="F80" s="283">
        <f>'Whitby - 2019'!E56</f>
        <v>11358101.689999999</v>
      </c>
      <c r="G80" s="267"/>
      <c r="H80" s="355"/>
    </row>
    <row r="81" spans="1:10" x14ac:dyDescent="0.25">
      <c r="C81" s="265" t="s">
        <v>103</v>
      </c>
      <c r="E81" s="290">
        <f>N63</f>
        <v>26006690.649999999</v>
      </c>
      <c r="F81" s="283">
        <f>'Whitby - 2019'!E58</f>
        <v>26006690.466167159</v>
      </c>
      <c r="G81" s="267"/>
      <c r="H81" s="355"/>
      <c r="I81" s="387" t="s">
        <v>193</v>
      </c>
    </row>
    <row r="82" spans="1:10" ht="15.75" thickBot="1" x14ac:dyDescent="0.3">
      <c r="C82" s="265" t="s">
        <v>105</v>
      </c>
      <c r="E82" s="313">
        <f>SUM(E80:E81)</f>
        <v>37364792.339999996</v>
      </c>
      <c r="F82" s="313">
        <f>SUM(F80:F81)</f>
        <v>37364792.156167157</v>
      </c>
      <c r="G82" s="313">
        <f>E82-F82</f>
        <v>0.18383283913135529</v>
      </c>
      <c r="H82" s="356"/>
      <c r="I82" s="388"/>
    </row>
    <row r="83" spans="1:10" x14ac:dyDescent="0.25">
      <c r="G83" s="267"/>
      <c r="H83" s="355"/>
      <c r="I83" s="347">
        <v>5.0000000000000001E-3</v>
      </c>
    </row>
    <row r="84" spans="1:10" ht="15.75" thickBot="1" x14ac:dyDescent="0.3">
      <c r="B84" s="349" t="s">
        <v>165</v>
      </c>
      <c r="C84" s="349"/>
      <c r="D84" s="349"/>
      <c r="E84" s="350">
        <f>E82-E77</f>
        <v>235842.26057160646</v>
      </c>
      <c r="F84" s="350">
        <f>F82-F77</f>
        <v>235842.07673876733</v>
      </c>
      <c r="G84" s="350">
        <f>E84-F84</f>
        <v>0.18383283913135529</v>
      </c>
      <c r="H84" s="355"/>
      <c r="I84" s="351">
        <f>I83*F82</f>
        <v>186823.9607808358</v>
      </c>
      <c r="J84" s="282"/>
    </row>
    <row r="85" spans="1:10" ht="16.5" thickTop="1" thickBot="1" x14ac:dyDescent="0.3">
      <c r="E85" s="357"/>
      <c r="F85" s="357"/>
      <c r="G85" s="267"/>
      <c r="H85" s="355"/>
      <c r="I85" s="354" t="str">
        <f>IF(G84&lt;&gt;0,"Not Applicable","Review")</f>
        <v>Not Applicable</v>
      </c>
      <c r="J85" s="282"/>
    </row>
    <row r="86" spans="1:10" x14ac:dyDescent="0.25">
      <c r="A86" s="267"/>
      <c r="B86" s="319"/>
      <c r="C86" s="304"/>
      <c r="D86" s="267"/>
      <c r="E86" s="290"/>
      <c r="F86" s="286"/>
      <c r="G86" s="267"/>
      <c r="H86" s="355"/>
      <c r="I86" s="267"/>
    </row>
    <row r="87" spans="1:10" x14ac:dyDescent="0.25">
      <c r="A87" s="267"/>
      <c r="B87" s="267"/>
      <c r="C87" s="267"/>
      <c r="D87" s="267"/>
      <c r="E87" s="286"/>
      <c r="F87" s="286"/>
      <c r="G87" s="286"/>
      <c r="H87" s="286"/>
      <c r="I87" s="286"/>
    </row>
    <row r="88" spans="1:10" x14ac:dyDescent="0.25">
      <c r="A88" s="267"/>
      <c r="B88" s="267"/>
      <c r="C88" s="267"/>
      <c r="D88" s="267"/>
      <c r="E88" s="290"/>
      <c r="F88" s="290"/>
      <c r="G88" s="290"/>
      <c r="H88" s="358"/>
      <c r="I88" s="290"/>
    </row>
    <row r="90" spans="1:10" x14ac:dyDescent="0.25">
      <c r="E90" s="283"/>
      <c r="F90" s="283"/>
    </row>
    <row r="93" spans="1:10" x14ac:dyDescent="0.25">
      <c r="E93" s="283"/>
      <c r="F93" s="283"/>
      <c r="G93" s="283"/>
    </row>
    <row r="95" spans="1:10" x14ac:dyDescent="0.25">
      <c r="F95" s="281"/>
    </row>
    <row r="97" spans="5:7" x14ac:dyDescent="0.25">
      <c r="E97" s="281"/>
      <c r="F97" s="283"/>
    </row>
    <row r="99" spans="5:7" x14ac:dyDescent="0.25">
      <c r="E99" s="283"/>
      <c r="F99" s="283"/>
    </row>
    <row r="102" spans="5:7" x14ac:dyDescent="0.25">
      <c r="E102" s="283"/>
      <c r="F102" s="359"/>
      <c r="G102" s="283"/>
    </row>
    <row r="103" spans="5:7" x14ac:dyDescent="0.25">
      <c r="E103" s="283"/>
      <c r="F103" s="360"/>
      <c r="G103" s="283"/>
    </row>
    <row r="104" spans="5:7" x14ac:dyDescent="0.25">
      <c r="F104" s="361"/>
    </row>
    <row r="107" spans="5:7" x14ac:dyDescent="0.25">
      <c r="E107" s="283"/>
      <c r="F107" s="360"/>
      <c r="G107" s="283"/>
    </row>
    <row r="108" spans="5:7" x14ac:dyDescent="0.25">
      <c r="E108" s="283"/>
      <c r="F108" s="359"/>
      <c r="G108" s="283"/>
    </row>
    <row r="109" spans="5:7" x14ac:dyDescent="0.25">
      <c r="G109" s="283"/>
    </row>
  </sheetData>
  <mergeCells count="4">
    <mergeCell ref="I62:I63"/>
    <mergeCell ref="I81:I82"/>
    <mergeCell ref="L57:O58"/>
    <mergeCell ref="F11:I12"/>
  </mergeCells>
  <pageMargins left="0.2" right="0.2" top="0.25" bottom="0.25" header="0.3" footer="0.3"/>
  <pageSetup scale="75" orientation="landscape" r:id="rId1"/>
  <headerFooter>
    <oddFooter>&amp;L&amp;P&amp;C&amp;A&amp;R&amp;F</oddFooter>
  </headerFooter>
  <rowBreaks count="1" manualBreakCount="1">
    <brk id="4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zoomScaleNormal="100" workbookViewId="0">
      <selection activeCell="E30" sqref="E30"/>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1" customWidth="1"/>
    <col min="12" max="12" width="18" style="121" bestFit="1" customWidth="1"/>
    <col min="13" max="14" width="12.7109375" style="121" customWidth="1"/>
  </cols>
  <sheetData>
    <row r="1" spans="1:14" ht="26.25" x14ac:dyDescent="0.4">
      <c r="A1" s="401" t="s">
        <v>207</v>
      </c>
      <c r="B1" s="401"/>
      <c r="C1" s="401"/>
      <c r="D1" s="401"/>
      <c r="E1" s="401"/>
      <c r="F1" s="401"/>
      <c r="G1" s="401"/>
      <c r="H1" s="401"/>
      <c r="I1" s="401"/>
      <c r="J1" s="120"/>
    </row>
    <row r="2" spans="1:14" ht="26.25" x14ac:dyDescent="0.4">
      <c r="A2" s="122"/>
      <c r="B2" s="122"/>
      <c r="C2" s="122"/>
      <c r="D2" s="122"/>
      <c r="E2" s="122"/>
      <c r="F2" s="122"/>
      <c r="G2" s="122"/>
      <c r="H2" s="122"/>
      <c r="I2" s="122"/>
      <c r="J2" s="120"/>
    </row>
    <row r="3" spans="1:14" x14ac:dyDescent="0.25">
      <c r="A3" s="2" t="s">
        <v>123</v>
      </c>
      <c r="I3" s="3"/>
    </row>
    <row r="4" spans="1:14" ht="29.45" customHeight="1" thickBot="1" x14ac:dyDescent="0.3">
      <c r="A4" s="402" t="s">
        <v>124</v>
      </c>
      <c r="B4" s="403"/>
      <c r="C4" s="404"/>
      <c r="D4" s="405" t="s">
        <v>125</v>
      </c>
      <c r="E4" s="406"/>
      <c r="F4" s="407" t="s">
        <v>126</v>
      </c>
      <c r="G4" s="408"/>
      <c r="I4" s="13"/>
    </row>
    <row r="5" spans="1:14" ht="30.75" thickBot="1" x14ac:dyDescent="0.3">
      <c r="A5" s="123" t="s">
        <v>127</v>
      </c>
      <c r="B5" s="124" t="s">
        <v>128</v>
      </c>
      <c r="C5" s="124" t="s">
        <v>129</v>
      </c>
      <c r="D5" s="125" t="s">
        <v>108</v>
      </c>
      <c r="E5" s="126" t="s">
        <v>38</v>
      </c>
      <c r="F5" s="127" t="s">
        <v>130</v>
      </c>
      <c r="G5" s="126" t="s">
        <v>38</v>
      </c>
      <c r="I5" s="13"/>
      <c r="K5" s="128"/>
      <c r="L5" s="129"/>
      <c r="M5" s="130"/>
    </row>
    <row r="6" spans="1:14" x14ac:dyDescent="0.25">
      <c r="A6" s="131" t="s">
        <v>131</v>
      </c>
      <c r="B6" s="132">
        <f>'Whitby - 2019'!D27</f>
        <v>488295357.66999996</v>
      </c>
      <c r="C6" s="132">
        <f>'Whitby - 2019'!E27</f>
        <v>488295357.66999996</v>
      </c>
      <c r="D6" s="370">
        <f>'EW Settlement Comparison'!F51/'Final RSVA Balances'!C6</f>
        <v>9.0150536464407002E-2</v>
      </c>
      <c r="E6" s="364">
        <f>C6*D6</f>
        <v>44020088.447029993</v>
      </c>
      <c r="F6" s="133"/>
      <c r="G6" s="133"/>
      <c r="H6" s="21"/>
      <c r="I6" s="145"/>
      <c r="J6" s="371"/>
      <c r="K6" s="128"/>
      <c r="L6" s="129"/>
      <c r="M6" s="130"/>
    </row>
    <row r="7" spans="1:14" s="121" customFormat="1" x14ac:dyDescent="0.25">
      <c r="A7" s="131" t="s">
        <v>132</v>
      </c>
      <c r="B7" s="134">
        <v>0</v>
      </c>
      <c r="C7" s="134">
        <f>-'Whitby - 2019'!D7</f>
        <v>155069422</v>
      </c>
      <c r="D7" s="135">
        <f>'Whitby - 2019'!C85</f>
        <v>1.787990608083834E-2</v>
      </c>
      <c r="E7" s="134">
        <f>+C7*D7</f>
        <v>2772626.7013698868</v>
      </c>
      <c r="F7" s="136"/>
      <c r="G7" s="134">
        <f>'Whitby - 2019'!E77</f>
        <v>11358101.689999999</v>
      </c>
      <c r="I7"/>
      <c r="K7" s="128"/>
      <c r="L7" s="128"/>
      <c r="N7" s="128"/>
    </row>
    <row r="8" spans="1:14" s="121" customFormat="1" ht="15.75" thickBot="1" x14ac:dyDescent="0.3">
      <c r="A8" s="131" t="s">
        <v>133</v>
      </c>
      <c r="B8" s="137">
        <f>'Whitby - 2019'!D28</f>
        <v>243774128</v>
      </c>
      <c r="C8" s="137">
        <f>'Whitby - 2019'!D28</f>
        <v>243774128</v>
      </c>
      <c r="D8" s="138">
        <f>'Whitby - 2019'!C85</f>
        <v>1.787990608083834E-2</v>
      </c>
      <c r="E8" s="137">
        <f>+D8*C8</f>
        <v>4358658.513578264</v>
      </c>
      <c r="F8" s="138">
        <f>'Whitby - 2019'!C45</f>
        <v>0.1057160930114306</v>
      </c>
      <c r="G8" s="137">
        <f>B8*F8</f>
        <v>25770848.389428388</v>
      </c>
      <c r="I8"/>
      <c r="J8"/>
      <c r="N8" s="139"/>
    </row>
    <row r="9" spans="1:14" s="121" customFormat="1" ht="15.75" thickBot="1" x14ac:dyDescent="0.3">
      <c r="A9" s="136"/>
      <c r="B9" s="140">
        <f>SUM(B6:B8)</f>
        <v>732069485.66999996</v>
      </c>
      <c r="C9" s="140">
        <f>SUM(C6:C8)</f>
        <v>887138907.66999996</v>
      </c>
      <c r="D9" s="141"/>
      <c r="E9" s="142">
        <f>SUM(E6:E8)</f>
        <v>51151373.661978148</v>
      </c>
      <c r="F9" s="141"/>
      <c r="G9" s="142">
        <f>SUM(G6:G8)</f>
        <v>37128950.07942839</v>
      </c>
      <c r="I9"/>
      <c r="J9"/>
      <c r="K9" s="128"/>
      <c r="L9" s="143"/>
      <c r="M9" s="144"/>
    </row>
    <row r="10" spans="1:14" s="121" customFormat="1" ht="15.75" thickTop="1" x14ac:dyDescent="0.25">
      <c r="A10" s="3"/>
      <c r="B10" s="18"/>
      <c r="C10" s="18"/>
      <c r="D10" s="3"/>
      <c r="E10" s="145"/>
      <c r="F10" s="77"/>
      <c r="G10" s="145"/>
      <c r="I10"/>
      <c r="J10"/>
      <c r="K10" s="128"/>
      <c r="L10" s="143"/>
      <c r="M10" s="144"/>
    </row>
    <row r="11" spans="1:14" ht="15.75" thickBot="1" x14ac:dyDescent="0.3">
      <c r="A11" s="2" t="s">
        <v>134</v>
      </c>
      <c r="K11" s="128"/>
      <c r="L11" s="129"/>
      <c r="M11" s="144"/>
    </row>
    <row r="12" spans="1:14" s="121" customFormat="1" ht="16.5" thickBot="1" x14ac:dyDescent="0.3">
      <c r="A12" s="146"/>
      <c r="B12" s="147"/>
      <c r="C12" s="148"/>
      <c r="D12" s="409" t="s">
        <v>135</v>
      </c>
      <c r="E12" s="410"/>
      <c r="F12" s="410"/>
      <c r="G12" s="410"/>
      <c r="H12" s="410"/>
      <c r="I12" s="411"/>
      <c r="N12" s="139"/>
    </row>
    <row r="13" spans="1:14" s="121" customFormat="1" ht="29.45" customHeight="1" thickBot="1" x14ac:dyDescent="0.3">
      <c r="A13" s="395" t="s">
        <v>124</v>
      </c>
      <c r="B13" s="396"/>
      <c r="C13" s="397"/>
      <c r="D13" s="398" t="s">
        <v>136</v>
      </c>
      <c r="E13" s="399"/>
      <c r="F13" s="398" t="s">
        <v>137</v>
      </c>
      <c r="G13" s="400"/>
      <c r="H13" s="149" t="s">
        <v>138</v>
      </c>
      <c r="I13" s="150" t="s">
        <v>139</v>
      </c>
    </row>
    <row r="14" spans="1:14" s="121" customFormat="1" ht="48" customHeight="1" thickBot="1" x14ac:dyDescent="0.3">
      <c r="A14" s="123" t="s">
        <v>127</v>
      </c>
      <c r="B14" s="124" t="s">
        <v>140</v>
      </c>
      <c r="C14" s="124" t="s">
        <v>141</v>
      </c>
      <c r="D14" s="127" t="s">
        <v>142</v>
      </c>
      <c r="E14" s="126" t="s">
        <v>38</v>
      </c>
      <c r="F14" s="127" t="s">
        <v>143</v>
      </c>
      <c r="G14" s="126" t="s">
        <v>38</v>
      </c>
      <c r="H14" s="149" t="s">
        <v>38</v>
      </c>
      <c r="I14" s="151" t="s">
        <v>38</v>
      </c>
    </row>
    <row r="15" spans="1:14" s="121" customFormat="1" x14ac:dyDescent="0.25">
      <c r="A15" s="152" t="s">
        <v>144</v>
      </c>
      <c r="B15" s="153">
        <f>'Whitby - 2019'!D10</f>
        <v>482707245.2178027</v>
      </c>
      <c r="C15" s="154">
        <f>'Whitby - 2019'!E10</f>
        <v>482707245.2178027</v>
      </c>
      <c r="D15" s="155">
        <f>'Whitby - 2019'!C43</f>
        <v>1.8578765838136418E-2</v>
      </c>
      <c r="E15" s="154">
        <f>C15*D15</f>
        <v>8968104.8772734515</v>
      </c>
      <c r="F15" s="261">
        <f>'Whitby - 2019'!C49</f>
        <v>0.10802966172243099</v>
      </c>
      <c r="G15" s="154">
        <f>B15*F15</f>
        <v>52146700.411845773</v>
      </c>
      <c r="H15" s="156">
        <f>'Whitby 2019 RPP 2nd TU'!K24</f>
        <v>-17637296.177478239</v>
      </c>
      <c r="I15" s="157">
        <f>+E15+G15+H15</f>
        <v>43477509.11164099</v>
      </c>
      <c r="J15" s="128"/>
      <c r="K15" s="6"/>
    </row>
    <row r="16" spans="1:14" s="121" customFormat="1" x14ac:dyDescent="0.25">
      <c r="A16" s="131" t="s">
        <v>132</v>
      </c>
      <c r="B16" s="158">
        <v>0</v>
      </c>
      <c r="C16" s="159">
        <f>-'Whitby - 2019'!D7</f>
        <v>155069422</v>
      </c>
      <c r="D16" s="160">
        <f>'Whitby - 2019'!C44</f>
        <v>1.787990608083834E-2</v>
      </c>
      <c r="E16" s="159">
        <f>C16*D16</f>
        <v>2772626.7013698868</v>
      </c>
      <c r="F16" s="160"/>
      <c r="G16" s="159"/>
      <c r="H16" s="161"/>
      <c r="I16" s="162">
        <f>+E16+G16+H16</f>
        <v>2772626.7013698868</v>
      </c>
      <c r="J16" s="128"/>
      <c r="K16" s="163"/>
    </row>
    <row r="17" spans="1:12" s="121" customFormat="1" thickBot="1" x14ac:dyDescent="0.35">
      <c r="A17" s="131" t="s">
        <v>133</v>
      </c>
      <c r="B17" s="164">
        <f>'Whitby - 2019'!D11</f>
        <v>241042068.78219736</v>
      </c>
      <c r="C17" s="159">
        <f>'Whitby - 2019'!D11</f>
        <v>241042068.78219736</v>
      </c>
      <c r="D17" s="165">
        <f>'Whitby - 2019'!C44</f>
        <v>1.787990608083834E-2</v>
      </c>
      <c r="E17" s="166">
        <f>C17*D17</f>
        <v>4309809.5513566639</v>
      </c>
      <c r="F17" s="138"/>
      <c r="G17" s="167"/>
      <c r="H17" s="161"/>
      <c r="I17" s="162">
        <f>+E17+G17+H17</f>
        <v>4309809.5513566639</v>
      </c>
      <c r="J17" s="128"/>
    </row>
    <row r="18" spans="1:12" s="121" customFormat="1" thickBot="1" x14ac:dyDescent="0.35">
      <c r="A18" s="136"/>
      <c r="B18" s="140">
        <f>SUM(B15:B17)</f>
        <v>723749314</v>
      </c>
      <c r="C18" s="140">
        <f>SUM(C15:C17)</f>
        <v>878818736.00000012</v>
      </c>
      <c r="D18" s="140"/>
      <c r="E18" s="140">
        <f>SUM(E15:E17)</f>
        <v>16050541.130000003</v>
      </c>
      <c r="F18" s="141"/>
      <c r="G18" s="140">
        <f>SUM(G15:G17)</f>
        <v>52146700.411845773</v>
      </c>
      <c r="H18" s="140">
        <f>SUM(H15:H17)</f>
        <v>-17637296.177478239</v>
      </c>
      <c r="I18" s="142">
        <f>SUM(I15:I17)</f>
        <v>50559945.364367545</v>
      </c>
      <c r="J18" s="128"/>
      <c r="K18" s="128"/>
      <c r="L18" s="128"/>
    </row>
    <row r="19" spans="1:12" s="121" customFormat="1" thickTop="1" x14ac:dyDescent="0.3">
      <c r="A19"/>
      <c r="B19"/>
      <c r="C19"/>
      <c r="D19"/>
      <c r="E19" s="168"/>
      <c r="F19" s="169"/>
      <c r="G19" s="3"/>
      <c r="H19" s="3"/>
      <c r="I19" s="106"/>
      <c r="J19" s="7" t="s">
        <v>145</v>
      </c>
      <c r="K19" s="128"/>
    </row>
    <row r="20" spans="1:12" s="121" customFormat="1" ht="14.45" x14ac:dyDescent="0.3">
      <c r="A20" s="2" t="s">
        <v>146</v>
      </c>
      <c r="B20"/>
      <c r="C20"/>
      <c r="D20"/>
      <c r="E20"/>
      <c r="F20"/>
      <c r="G20"/>
      <c r="H20"/>
      <c r="I20"/>
      <c r="J20"/>
      <c r="K20" s="129"/>
    </row>
    <row r="21" spans="1:12" s="121" customFormat="1" ht="16.149999999999999" customHeight="1" thickBot="1" x14ac:dyDescent="0.35">
      <c r="A21" s="402" t="s">
        <v>124</v>
      </c>
      <c r="B21" s="403"/>
      <c r="C21" s="404"/>
      <c r="D21" s="415" t="s">
        <v>147</v>
      </c>
      <c r="E21" s="416"/>
      <c r="F21" s="170"/>
      <c r="G21" s="171"/>
      <c r="H21" s="171"/>
      <c r="I21" s="171"/>
      <c r="J21" s="171"/>
      <c r="K21" s="139"/>
    </row>
    <row r="22" spans="1:12" s="121" customFormat="1" ht="45" customHeight="1" thickBot="1" x14ac:dyDescent="0.35">
      <c r="A22" s="123" t="s">
        <v>127</v>
      </c>
      <c r="B22" s="124" t="s">
        <v>140</v>
      </c>
      <c r="C22" s="124" t="s">
        <v>141</v>
      </c>
      <c r="D22" s="127" t="s">
        <v>143</v>
      </c>
      <c r="E22" s="172" t="s">
        <v>38</v>
      </c>
      <c r="F22" s="3"/>
      <c r="G22" s="173"/>
      <c r="H22" s="173"/>
      <c r="I22" s="3"/>
      <c r="J22" s="3"/>
    </row>
    <row r="23" spans="1:12" s="121" customFormat="1" ht="14.45" x14ac:dyDescent="0.3">
      <c r="A23" s="131" t="s">
        <v>132</v>
      </c>
      <c r="B23" s="174"/>
      <c r="C23" s="159"/>
      <c r="D23" s="160"/>
      <c r="E23" s="159">
        <f>'Whitby - 2019'!E77</f>
        <v>11358101.689999999</v>
      </c>
      <c r="F23" s="94"/>
      <c r="G23" s="173"/>
      <c r="H23" s="173"/>
      <c r="I23" s="3"/>
      <c r="J23" s="3"/>
    </row>
    <row r="24" spans="1:12" s="121" customFormat="1" thickBot="1" x14ac:dyDescent="0.35">
      <c r="A24" s="131" t="s">
        <v>133</v>
      </c>
      <c r="B24" s="174">
        <f>B17</f>
        <v>241042068.78219736</v>
      </c>
      <c r="C24" s="159"/>
      <c r="D24" s="260">
        <f>'Whitby - 2019'!C50</f>
        <v>0.10789274501981845</v>
      </c>
      <c r="E24" s="166">
        <f>+D24*B24</f>
        <v>26006690.466167159</v>
      </c>
      <c r="F24" s="94"/>
      <c r="G24" s="173"/>
      <c r="H24" s="173"/>
      <c r="I24" s="3"/>
      <c r="J24" s="3"/>
    </row>
    <row r="25" spans="1:12" s="121" customFormat="1" thickBot="1" x14ac:dyDescent="0.35">
      <c r="A25" s="136"/>
      <c r="B25" s="137">
        <f>+B23+B24</f>
        <v>241042068.78219736</v>
      </c>
      <c r="C25" s="137">
        <f>+C23+C24</f>
        <v>0</v>
      </c>
      <c r="D25" s="175"/>
      <c r="E25" s="176">
        <f>+E23+E24</f>
        <v>37364792.156167157</v>
      </c>
      <c r="F25" s="94"/>
      <c r="G25" s="173"/>
      <c r="H25" s="177"/>
      <c r="I25" s="3"/>
      <c r="J25" s="3"/>
      <c r="K25" s="139"/>
    </row>
    <row r="26" spans="1:12" s="121" customFormat="1" ht="14.45" x14ac:dyDescent="0.3">
      <c r="A26" s="3"/>
      <c r="B26" s="18"/>
      <c r="C26" s="18"/>
      <c r="D26" s="17"/>
      <c r="E26" s="145"/>
      <c r="F26" s="3"/>
      <c r="G26" s="173"/>
      <c r="H26" s="177"/>
      <c r="I26" s="3"/>
      <c r="J26" s="3"/>
      <c r="K26" s="139"/>
    </row>
    <row r="27" spans="1:12" s="121" customFormat="1" thickBot="1" x14ac:dyDescent="0.35">
      <c r="A27" s="2" t="s">
        <v>148</v>
      </c>
      <c r="B27" s="17"/>
      <c r="C27" s="18"/>
      <c r="D27" s="3"/>
      <c r="E27"/>
      <c r="F27"/>
      <c r="G27"/>
      <c r="H27" s="7" t="s">
        <v>145</v>
      </c>
      <c r="I27"/>
      <c r="J27"/>
    </row>
    <row r="28" spans="1:12" s="121" customFormat="1" ht="15" customHeight="1" thickBot="1" x14ac:dyDescent="0.3">
      <c r="A28" s="178"/>
      <c r="B28" s="179"/>
      <c r="C28" s="417" t="s">
        <v>149</v>
      </c>
      <c r="D28" s="410"/>
      <c r="E28" s="410"/>
      <c r="F28" s="410"/>
      <c r="G28" s="410"/>
      <c r="H28" s="410"/>
      <c r="I28" s="411"/>
    </row>
    <row r="29" spans="1:12" s="121" customFormat="1" ht="15.75" thickBot="1" x14ac:dyDescent="0.3">
      <c r="A29" s="418"/>
      <c r="B29" s="419"/>
      <c r="C29" s="180"/>
      <c r="D29" s="13"/>
      <c r="E29" s="173"/>
      <c r="F29" s="424"/>
      <c r="G29" s="425"/>
      <c r="H29" s="425"/>
      <c r="I29" s="426"/>
    </row>
    <row r="30" spans="1:12" s="121" customFormat="1" ht="15" customHeight="1" thickBot="1" x14ac:dyDescent="0.3">
      <c r="A30" s="420"/>
      <c r="B30" s="421"/>
      <c r="C30" s="427" t="s">
        <v>150</v>
      </c>
      <c r="D30" s="428"/>
      <c r="E30" s="181">
        <f>+I18-E9</f>
        <v>-591428.29761060327</v>
      </c>
      <c r="F30" s="412" t="s">
        <v>151</v>
      </c>
      <c r="G30" s="413"/>
      <c r="H30" s="413"/>
      <c r="I30" s="414"/>
      <c r="J30" s="128"/>
    </row>
    <row r="31" spans="1:12" s="121" customFormat="1" ht="16.5" thickTop="1" thickBot="1" x14ac:dyDescent="0.3">
      <c r="A31" s="422"/>
      <c r="B31" s="423"/>
      <c r="C31" s="182"/>
      <c r="E31" s="183"/>
      <c r="F31" s="429"/>
      <c r="G31" s="430"/>
      <c r="H31" s="430"/>
      <c r="I31" s="431"/>
    </row>
    <row r="32" spans="1:12" s="121" customFormat="1" ht="16.5" thickBot="1" x14ac:dyDescent="0.3">
      <c r="A32" s="123" t="s">
        <v>127</v>
      </c>
      <c r="B32" s="184" t="s">
        <v>152</v>
      </c>
      <c r="C32" s="185" t="s">
        <v>153</v>
      </c>
      <c r="D32" s="186" t="s">
        <v>154</v>
      </c>
      <c r="E32" s="187" t="s">
        <v>80</v>
      </c>
      <c r="F32" s="432" t="s">
        <v>155</v>
      </c>
      <c r="G32" s="433"/>
      <c r="H32" s="433"/>
      <c r="I32" s="434"/>
    </row>
    <row r="33" spans="1:10" s="121" customFormat="1" x14ac:dyDescent="0.25">
      <c r="A33" s="188" t="s">
        <v>131</v>
      </c>
      <c r="B33" s="189" t="s">
        <v>156</v>
      </c>
      <c r="C33" s="190">
        <f>+C15</f>
        <v>482707245.2178027</v>
      </c>
      <c r="D33" s="191">
        <f>((+I15)/C15)-D6</f>
        <v>-8.0396555851305895E-5</v>
      </c>
      <c r="E33" s="192">
        <f>+C33*D33</f>
        <v>-38807.999999983083</v>
      </c>
      <c r="F33" s="413" t="s">
        <v>157</v>
      </c>
      <c r="G33" s="413"/>
      <c r="H33" s="413"/>
      <c r="I33" s="414"/>
    </row>
    <row r="34" spans="1:10" s="121" customFormat="1" x14ac:dyDescent="0.25">
      <c r="A34" s="188" t="s">
        <v>131</v>
      </c>
      <c r="B34" s="189" t="s">
        <v>158</v>
      </c>
      <c r="C34" s="193">
        <f>+C15-C6</f>
        <v>-5588112.4521972537</v>
      </c>
      <c r="D34" s="194">
        <f>D6</f>
        <v>9.0150536464407002E-2</v>
      </c>
      <c r="E34" s="195">
        <f>+C34*D34</f>
        <v>-503771.33538901532</v>
      </c>
      <c r="F34" s="413" t="s">
        <v>159</v>
      </c>
      <c r="G34" s="413"/>
      <c r="H34" s="413"/>
      <c r="I34" s="414"/>
    </row>
    <row r="35" spans="1:10" s="121" customFormat="1" x14ac:dyDescent="0.25">
      <c r="A35" s="196" t="s">
        <v>133</v>
      </c>
      <c r="B35" s="189" t="s">
        <v>160</v>
      </c>
      <c r="C35" s="193">
        <f>+C16+C17</f>
        <v>396111490.78219736</v>
      </c>
      <c r="D35" s="197">
        <f>+D16-D7</f>
        <v>0</v>
      </c>
      <c r="E35" s="195">
        <f>+C35*D35</f>
        <v>0</v>
      </c>
      <c r="F35" s="413" t="s">
        <v>157</v>
      </c>
      <c r="G35" s="413"/>
      <c r="H35" s="413"/>
      <c r="I35" s="414"/>
      <c r="J35" s="198"/>
    </row>
    <row r="36" spans="1:10" s="121" customFormat="1" ht="15.75" thickBot="1" x14ac:dyDescent="0.3">
      <c r="A36" s="188" t="s">
        <v>133</v>
      </c>
      <c r="B36" s="189" t="s">
        <v>158</v>
      </c>
      <c r="C36" s="199">
        <f>(+C17+C16)-(C8+C7)</f>
        <v>-2732059.2178026438</v>
      </c>
      <c r="D36" s="200">
        <f>+D7</f>
        <v>1.787990608083834E-2</v>
      </c>
      <c r="E36" s="201">
        <f>+C36*D36</f>
        <v>-48848.962221599933</v>
      </c>
      <c r="F36" s="413" t="s">
        <v>159</v>
      </c>
      <c r="G36" s="413"/>
      <c r="H36" s="413"/>
      <c r="I36" s="414"/>
      <c r="J36" s="198"/>
    </row>
    <row r="37" spans="1:10" s="121" customFormat="1" ht="15.75" thickBot="1" x14ac:dyDescent="0.3">
      <c r="A37" s="202"/>
      <c r="B37" s="136"/>
      <c r="C37" s="203" t="s">
        <v>161</v>
      </c>
      <c r="D37" s="204"/>
      <c r="E37" s="205">
        <f>SUM(E33:E36)</f>
        <v>-591428.29761059827</v>
      </c>
      <c r="F37" s="412"/>
      <c r="G37" s="413"/>
      <c r="H37" s="413"/>
      <c r="I37" s="414"/>
    </row>
    <row r="38" spans="1:10" s="121" customFormat="1" ht="15.75" thickTop="1" x14ac:dyDescent="0.25">
      <c r="A38" s="173"/>
      <c r="B38" s="3"/>
      <c r="C38" s="107"/>
      <c r="D38" s="3"/>
      <c r="E38" s="145"/>
      <c r="F38" s="107"/>
      <c r="G38" s="107"/>
      <c r="H38" s="107"/>
      <c r="I38" s="107"/>
    </row>
    <row r="39" spans="1:10" s="121" customFormat="1" ht="15.75" thickBot="1" x14ac:dyDescent="0.3">
      <c r="A39" s="2" t="s">
        <v>162</v>
      </c>
      <c r="B39" s="18"/>
      <c r="C39" s="18"/>
      <c r="D39"/>
      <c r="E39"/>
      <c r="F39"/>
      <c r="G39" s="198"/>
      <c r="H39" s="198"/>
      <c r="I39" s="173"/>
      <c r="J39"/>
    </row>
    <row r="40" spans="1:10" s="121" customFormat="1" ht="16.5" thickBot="1" x14ac:dyDescent="0.3">
      <c r="A40" s="178"/>
      <c r="B40" s="206"/>
      <c r="C40" s="417" t="s">
        <v>163</v>
      </c>
      <c r="D40" s="410"/>
      <c r="E40" s="410"/>
      <c r="F40" s="410" t="s">
        <v>155</v>
      </c>
      <c r="G40" s="410"/>
      <c r="H40" s="410"/>
      <c r="I40" s="411"/>
    </row>
    <row r="41" spans="1:10" s="121" customFormat="1" ht="15.75" thickBot="1" x14ac:dyDescent="0.3">
      <c r="A41" s="418"/>
      <c r="B41" s="419"/>
      <c r="C41" s="207"/>
      <c r="D41" s="13"/>
      <c r="E41" s="3"/>
      <c r="F41" s="429"/>
      <c r="G41" s="430"/>
      <c r="H41" s="430"/>
      <c r="I41" s="431"/>
    </row>
    <row r="42" spans="1:10" s="121" customFormat="1" ht="15" customHeight="1" thickBot="1" x14ac:dyDescent="0.3">
      <c r="A42" s="420"/>
      <c r="B42" s="421"/>
      <c r="C42" s="427" t="s">
        <v>150</v>
      </c>
      <c r="D42" s="428"/>
      <c r="E42" s="181">
        <f>+E25-G9</f>
        <v>235842.07673876733</v>
      </c>
      <c r="F42" s="412" t="s">
        <v>151</v>
      </c>
      <c r="G42" s="413"/>
      <c r="H42" s="413"/>
      <c r="I42" s="414"/>
    </row>
    <row r="43" spans="1:10" s="121" customFormat="1" ht="16.5" thickTop="1" thickBot="1" x14ac:dyDescent="0.3">
      <c r="A43" s="422"/>
      <c r="B43" s="423"/>
      <c r="C43" s="182"/>
      <c r="E43" s="183"/>
      <c r="F43" s="429"/>
      <c r="G43" s="430"/>
      <c r="H43" s="430"/>
      <c r="I43" s="431"/>
    </row>
    <row r="44" spans="1:10" s="121" customFormat="1" ht="16.5" thickBot="1" x14ac:dyDescent="0.3">
      <c r="A44" s="123" t="s">
        <v>127</v>
      </c>
      <c r="B44" s="184" t="s">
        <v>152</v>
      </c>
      <c r="C44" s="185" t="s">
        <v>153</v>
      </c>
      <c r="D44" s="186" t="s">
        <v>154</v>
      </c>
      <c r="E44" s="187" t="s">
        <v>80</v>
      </c>
      <c r="F44" s="432" t="s">
        <v>155</v>
      </c>
      <c r="G44" s="433"/>
      <c r="H44" s="433"/>
      <c r="I44" s="434"/>
    </row>
    <row r="45" spans="1:10" s="121" customFormat="1" x14ac:dyDescent="0.25">
      <c r="A45" s="208" t="s">
        <v>133</v>
      </c>
      <c r="B45" s="209" t="s">
        <v>156</v>
      </c>
      <c r="C45" s="210">
        <f>+B24</f>
        <v>241042068.78219736</v>
      </c>
      <c r="D45" s="211">
        <f>+D24-F8</f>
        <v>2.1766520083878471E-3</v>
      </c>
      <c r="E45" s="212">
        <f>+D45*C45</f>
        <v>524664.70312073152</v>
      </c>
      <c r="F45" s="435" t="s">
        <v>164</v>
      </c>
      <c r="G45" s="435"/>
      <c r="H45" s="435"/>
      <c r="I45" s="436"/>
      <c r="J45" s="213"/>
    </row>
    <row r="46" spans="1:10" s="121" customFormat="1" ht="15.75" thickBot="1" x14ac:dyDescent="0.3">
      <c r="A46" s="188" t="s">
        <v>133</v>
      </c>
      <c r="B46" s="189" t="s">
        <v>158</v>
      </c>
      <c r="C46" s="214">
        <f>+B8-B24</f>
        <v>2732059.2178026438</v>
      </c>
      <c r="D46" s="215">
        <f>-F8</f>
        <v>-0.1057160930114306</v>
      </c>
      <c r="E46" s="216">
        <f>+C46*D46</f>
        <v>-288822.62638196064</v>
      </c>
      <c r="F46" s="437" t="s">
        <v>159</v>
      </c>
      <c r="G46" s="437"/>
      <c r="H46" s="437"/>
      <c r="I46" s="438"/>
      <c r="J46" s="217"/>
    </row>
    <row r="47" spans="1:10" s="121" customFormat="1" ht="15.75" thickBot="1" x14ac:dyDescent="0.3">
      <c r="A47" s="202"/>
      <c r="B47" s="136"/>
      <c r="C47" s="203" t="s">
        <v>161</v>
      </c>
      <c r="D47" s="203"/>
      <c r="E47" s="205">
        <f>SUM(E45:E46)</f>
        <v>235842.07673877088</v>
      </c>
      <c r="F47" s="439"/>
      <c r="G47" s="440"/>
      <c r="H47" s="440"/>
      <c r="I47" s="441"/>
    </row>
    <row r="48" spans="1:10" s="121" customFormat="1" ht="15.75" thickTop="1" x14ac:dyDescent="0.25">
      <c r="A48"/>
      <c r="B48" s="77"/>
      <c r="C48"/>
    </row>
    <row r="49" spans="1:11" x14ac:dyDescent="0.25">
      <c r="A49" s="263" t="s">
        <v>208</v>
      </c>
    </row>
    <row r="58" spans="1:11" x14ac:dyDescent="0.25">
      <c r="I58" s="218"/>
      <c r="J58" s="118"/>
      <c r="K58" s="139"/>
    </row>
    <row r="59" spans="1:11" x14ac:dyDescent="0.25">
      <c r="I59" s="218"/>
      <c r="J59" s="118"/>
      <c r="K59" s="139"/>
    </row>
    <row r="60" spans="1:11" x14ac:dyDescent="0.25">
      <c r="I60" s="35"/>
      <c r="J60" s="31"/>
      <c r="K60" s="139"/>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25" bottom="0.5" header="0.3" footer="0.3"/>
  <pageSetup paperSize="17" scale="65" orientation="landscape" r:id="rId1"/>
  <headerFooter>
    <oddFooter>&amp;L&amp;P&amp;C&amp;A&amp;R&amp;F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- 2019</vt:lpstr>
      <vt:lpstr>Whitby 2019 RPP 2nd TU</vt:lpstr>
      <vt:lpstr>EW Settlement Comparison</vt:lpstr>
      <vt:lpstr>Final RSVA Balances</vt:lpstr>
      <vt:lpstr>'EW Settlement Comparison'!Print_Area</vt:lpstr>
      <vt:lpstr>'Whitby - 2019'!Print_Area</vt:lpstr>
      <vt:lpstr>'Whitby 2019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2020-08-11T18:21:53Z</cp:lastPrinted>
  <dcterms:created xsi:type="dcterms:W3CDTF">2019-07-16T19:41:05Z</dcterms:created>
  <dcterms:modified xsi:type="dcterms:W3CDTF">2020-08-11T20:11:00Z</dcterms:modified>
</cp:coreProperties>
</file>