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BoardSec\8- Janet's Active Cases\EB-2020 CASES\EB-2020-0003 API Algoma 2021 IRM\"/>
    </mc:Choice>
  </mc:AlternateContent>
  <bookViews>
    <workbookView xWindow="0" yWindow="0" windowWidth="28800" windowHeight="14028" tabRatio="847" activeTab="5"/>
  </bookViews>
  <sheets>
    <sheet name="Cover Sheet" sheetId="2" r:id="rId1"/>
    <sheet name="Rate Summary" sheetId="3" r:id="rId2"/>
    <sheet name="2020 COS Cost Allocation" sheetId="17" r:id="rId3"/>
    <sheet name="2020 COS Eq Rates and Revenue" sheetId="6" r:id="rId4"/>
    <sheet name="2021 IRM Adjustment Factor" sheetId="4" r:id="rId5"/>
    <sheet name="2021 Indexed Revenue" sheetId="7" r:id="rId6"/>
    <sheet name="2021 RRRP Rate Design" sheetId="10" r:id="rId7"/>
    <sheet name="2021 Non-RRRP Rate Design" sheetId="13" r:id="rId8"/>
    <sheet name="2021 R1(i) Decoupling" sheetId="15" r:id="rId9"/>
    <sheet name="2021 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9">#REF!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9">#REF!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9">#REF!</definedName>
    <definedName name="LIMIT">#REF!</definedName>
    <definedName name="LossFactors">[5]lists!$L$2:$L$15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[5]lists!$AA$1:$AA$71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'[3]0.1 LDC Info'!$E$25</definedName>
    <definedName name="TestYear">'[4]LDC Info'!$E$24</definedName>
    <definedName name="TestYr">'[13]P0.Admin'!$C$13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7" l="1"/>
  <c r="M17" i="10"/>
  <c r="I8" i="13" l="1"/>
  <c r="H8" i="13"/>
  <c r="H7" i="13"/>
  <c r="I7" i="13"/>
  <c r="G8" i="13"/>
  <c r="G7" i="13"/>
  <c r="F8" i="13"/>
  <c r="F7" i="13"/>
  <c r="F7" i="17"/>
  <c r="F8" i="17"/>
  <c r="F9" i="17"/>
  <c r="F6" i="17"/>
  <c r="E10" i="17"/>
  <c r="D10" i="17"/>
  <c r="C10" i="17"/>
  <c r="E8" i="15" l="1"/>
  <c r="E22" i="15" s="1"/>
  <c r="E29" i="15" s="1"/>
  <c r="D8" i="15"/>
  <c r="D22" i="15" l="1"/>
  <c r="D29" i="15" s="1"/>
  <c r="J26" i="3" l="1"/>
  <c r="G8" i="16"/>
  <c r="J25" i="3"/>
  <c r="F8" i="16"/>
  <c r="F12" i="16" s="1"/>
  <c r="D8" i="13"/>
  <c r="J8" i="13" s="1"/>
  <c r="E8" i="13"/>
  <c r="E7" i="13"/>
  <c r="E8" i="16" s="1"/>
  <c r="D7" i="13"/>
  <c r="D8" i="16" s="1"/>
  <c r="M6" i="10"/>
  <c r="K7" i="13" l="1"/>
  <c r="D22" i="16"/>
  <c r="D29" i="16" s="1"/>
  <c r="H8" i="16"/>
  <c r="D9" i="13"/>
  <c r="K8" i="13"/>
  <c r="E22" i="16"/>
  <c r="E29" i="16" s="1"/>
  <c r="I8" i="16"/>
  <c r="E9" i="13"/>
  <c r="J7" i="13"/>
  <c r="J8" i="16" l="1"/>
  <c r="F13" i="16" s="1"/>
  <c r="K8" i="16"/>
  <c r="L7" i="13"/>
  <c r="K9" i="13"/>
  <c r="L8" i="13"/>
  <c r="L8" i="16"/>
  <c r="J9" i="13"/>
  <c r="L9" i="13" l="1"/>
  <c r="F14" i="16"/>
  <c r="F15" i="16" s="1"/>
  <c r="F22" i="16" l="1"/>
  <c r="G12" i="16"/>
  <c r="G14" i="16" s="1"/>
  <c r="G15" i="16" s="1"/>
  <c r="H12" i="16" s="1"/>
  <c r="H14" i="16" s="1"/>
  <c r="H15" i="16" s="1"/>
  <c r="I12" i="16" s="1"/>
  <c r="I14" i="10"/>
  <c r="I15" i="10"/>
  <c r="I16" i="10"/>
  <c r="J17" i="3" s="1"/>
  <c r="J14" i="10"/>
  <c r="J15" i="10"/>
  <c r="J16" i="10"/>
  <c r="J18" i="3" s="1"/>
  <c r="F16" i="10"/>
  <c r="D16" i="10"/>
  <c r="D7" i="7"/>
  <c r="D8" i="7"/>
  <c r="D5" i="7"/>
  <c r="G16" i="7"/>
  <c r="H8" i="6"/>
  <c r="H9" i="6"/>
  <c r="H10" i="6"/>
  <c r="H7" i="6"/>
  <c r="M11" i="6"/>
  <c r="I14" i="16" l="1"/>
  <c r="I15" i="16"/>
  <c r="J12" i="16" s="1"/>
  <c r="J14" i="16" s="1"/>
  <c r="J15" i="16" s="1"/>
  <c r="K12" i="16" s="1"/>
  <c r="K14" i="16" s="1"/>
  <c r="K15" i="16" s="1"/>
  <c r="F29" i="16"/>
  <c r="H22" i="16"/>
  <c r="L14" i="10"/>
  <c r="G8" i="15"/>
  <c r="I8" i="15" s="1"/>
  <c r="L15" i="10"/>
  <c r="J14" i="3"/>
  <c r="K15" i="10"/>
  <c r="M15" i="10" s="1"/>
  <c r="H15" i="10" s="1"/>
  <c r="J13" i="3"/>
  <c r="K14" i="10"/>
  <c r="M14" i="10" s="1"/>
  <c r="F8" i="15"/>
  <c r="K16" i="10"/>
  <c r="L16" i="10"/>
  <c r="L8" i="6"/>
  <c r="L9" i="6"/>
  <c r="L10" i="6"/>
  <c r="L7" i="6"/>
  <c r="K8" i="6"/>
  <c r="N8" i="6" s="1"/>
  <c r="K9" i="6"/>
  <c r="K10" i="6"/>
  <c r="K7" i="6"/>
  <c r="D11" i="6"/>
  <c r="K22" i="16" l="1"/>
  <c r="L22" i="16" s="1"/>
  <c r="I22" i="16" s="1"/>
  <c r="G22" i="16" s="1"/>
  <c r="G29" i="16" s="1"/>
  <c r="H29" i="16"/>
  <c r="J21" i="3"/>
  <c r="M16" i="10"/>
  <c r="G16" i="10" s="1"/>
  <c r="G14" i="10"/>
  <c r="F12" i="15"/>
  <c r="H8" i="15"/>
  <c r="J8" i="15" s="1"/>
  <c r="F13" i="15" s="1"/>
  <c r="F14" i="15" s="1"/>
  <c r="F15" i="15" s="1"/>
  <c r="G15" i="10"/>
  <c r="H14" i="10"/>
  <c r="N7" i="6"/>
  <c r="N10" i="6"/>
  <c r="N9" i="6"/>
  <c r="N11" i="6"/>
  <c r="N15" i="6" s="1"/>
  <c r="N16" i="6" s="1"/>
  <c r="L11" i="6"/>
  <c r="K11" i="6"/>
  <c r="J22" i="16" l="1"/>
  <c r="H31" i="16"/>
  <c r="H32" i="16" s="1"/>
  <c r="I29" i="16"/>
  <c r="I31" i="16" s="1"/>
  <c r="I32" i="16" s="1"/>
  <c r="J22" i="3"/>
  <c r="H16" i="10"/>
  <c r="L8" i="15"/>
  <c r="K8" i="15"/>
  <c r="G12" i="15"/>
  <c r="F22" i="15"/>
  <c r="D7" i="4"/>
  <c r="J29" i="16" l="1"/>
  <c r="J31" i="16" s="1"/>
  <c r="J32" i="16" s="1"/>
  <c r="G14" i="15"/>
  <c r="G15" i="15" s="1"/>
  <c r="H12" i="15" s="1"/>
  <c r="H14" i="15" s="1"/>
  <c r="H15" i="15" s="1"/>
  <c r="H22" i="15"/>
  <c r="F29" i="15"/>
  <c r="C7" i="7"/>
  <c r="E7" i="7" s="1"/>
  <c r="G17" i="7"/>
  <c r="G18" i="7" s="1"/>
  <c r="D9" i="7"/>
  <c r="C8" i="7"/>
  <c r="E8" i="7" s="1"/>
  <c r="C6" i="7"/>
  <c r="E6" i="7" s="1"/>
  <c r="L5" i="10" s="1"/>
  <c r="C5" i="7"/>
  <c r="M26" i="3"/>
  <c r="M25" i="3"/>
  <c r="M22" i="3"/>
  <c r="M21" i="3"/>
  <c r="M18" i="3"/>
  <c r="M17" i="3"/>
  <c r="M14" i="3"/>
  <c r="M13" i="3"/>
  <c r="L7" i="10" l="1"/>
  <c r="K22" i="15"/>
  <c r="L22" i="15" s="1"/>
  <c r="I22" i="15" s="1"/>
  <c r="G22" i="15" s="1"/>
  <c r="G29" i="15" s="1"/>
  <c r="H29" i="15"/>
  <c r="J9" i="3"/>
  <c r="M9" i="3" s="1"/>
  <c r="C9" i="7"/>
  <c r="E5" i="7"/>
  <c r="E9" i="7" l="1"/>
  <c r="B20" i="7" s="1"/>
  <c r="K5" i="10"/>
  <c r="J22" i="15"/>
  <c r="J10" i="3"/>
  <c r="M10" i="3" s="1"/>
  <c r="I29" i="15"/>
  <c r="I31" i="15" s="1"/>
  <c r="I32" i="15" s="1"/>
  <c r="H31" i="15"/>
  <c r="H32" i="15" s="1"/>
  <c r="K7" i="10" l="1"/>
  <c r="M5" i="10"/>
  <c r="M7" i="10" s="1"/>
  <c r="M19" i="10" s="1"/>
  <c r="J28" i="3" s="1"/>
  <c r="M28" i="3" s="1"/>
  <c r="J29" i="15"/>
  <c r="J31" i="15" s="1"/>
  <c r="J32" i="15" s="1"/>
</calcChain>
</file>

<file path=xl/sharedStrings.xml><?xml version="1.0" encoding="utf-8"?>
<sst xmlns="http://schemas.openxmlformats.org/spreadsheetml/2006/main" count="319" uniqueCount="122">
  <si>
    <t>Algoma Power Inc.</t>
  </si>
  <si>
    <t xml:space="preserve">Incentive Rate-setting Mechanism </t>
  </si>
  <si>
    <t>Rate Design Model</t>
  </si>
  <si>
    <t>EB-2020-0003</t>
  </si>
  <si>
    <t>2021 IRM Electricity Distribution Rate Application</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</si>
  <si>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</si>
  <si>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</si>
  <si>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</si>
  <si>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</si>
  <si>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</si>
  <si>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</si>
  <si>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</si>
  <si>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</si>
  <si>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</si>
  <si>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</si>
  <si>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</si>
  <si>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</si>
  <si>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</si>
  <si>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</si>
  <si>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</si>
  <si>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Proposed Distribution Charges and RRRP Funding for 2021 Rate Year</t>
  </si>
  <si>
    <t>Approved 2020 COS</t>
  </si>
  <si>
    <t>Proposed 2021 IRM</t>
  </si>
  <si>
    <t>Effective January 1, 2020</t>
  </si>
  <si>
    <t>Effective January 1, 2021</t>
  </si>
  <si>
    <t>EB-2019-0019</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</si>
  <si>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</si>
  <si>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</si>
  <si>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</si>
  <si>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</si>
  <si>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</si>
  <si>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</si>
  <si>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</si>
  <si>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</si>
  <si>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</si>
  <si>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</si>
  <si>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</si>
  <si>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</si>
  <si>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</si>
  <si>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</si>
  <si>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</si>
  <si>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</si>
  <si>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</si>
  <si>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</si>
  <si>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</si>
  <si>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</si>
  <si>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</si>
  <si>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</si>
  <si>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</si>
  <si>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</si>
  <si>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</si>
  <si>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</si>
  <si>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</si>
  <si>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</si>
  <si>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</si>
  <si>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</si>
  <si>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</si>
  <si>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</si>
  <si>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The 2020 Approved Class Revenues are indexed using the 2021 Price Cap index. This step is necessary to determine the overall 2021 revenue requirement for the R1 and R2 rate classes before the RRRP Adjustment Factor is applied.</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</si>
  <si>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</si>
  <si>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</si>
  <si>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</si>
  <si>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</si>
  <si>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</si>
  <si>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</si>
  <si>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</si>
  <si>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</si>
  <si>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</si>
  <si>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Determination of Residential R1 &amp; R2 2021 Electricity Distribution Rates and RRRP Funding</t>
  </si>
  <si>
    <t>Simple Average Increase in Delivery Charge for 2021 using the 2020 Board Calculated RRRP Adjustment Factor</t>
  </si>
  <si>
    <t>R1 customer count and kWh splits can be confirmed in EB-2019-0019: Sheet 4 of API Rate Design Model or Table 14 of Settlement Agreement</t>
  </si>
  <si>
    <t>Revenue</t>
  </si>
  <si>
    <t>Transformer Ownership Allowance (not indexed) - Attributable to the Residential - R2 class</t>
  </si>
  <si>
    <t>The Rural and Remote Rate Protection Amount Required for 2021</t>
  </si>
  <si>
    <t>2021 Application of Rate Indexing Methodology</t>
  </si>
  <si>
    <t>ACM Rate Rider Revenue Allocated to Residential Rate Classes for 2021</t>
  </si>
  <si>
    <t>R1</t>
  </si>
  <si>
    <t>R2</t>
  </si>
  <si>
    <t>Total R1+R2</t>
  </si>
  <si>
    <t>Revenue Component</t>
  </si>
  <si>
    <t>Determination of Seasonal and Street Lighting Distribution Rates</t>
  </si>
  <si>
    <t>2021 Distribution Base Rate Determination for Non-RRRP Rate Classes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</si>
  <si>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</si>
  <si>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</si>
  <si>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</si>
  <si>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</si>
  <si>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</si>
  <si>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</si>
  <si>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</si>
  <si>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</si>
  <si>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</si>
  <si>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</si>
  <si>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</si>
  <si>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</si>
  <si>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</si>
  <si>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Revenue Decoupling for the Residential Rate Class - 6th Increment</t>
  </si>
  <si>
    <t>R1(i)</t>
  </si>
  <si>
    <t>Initial Monthly Service Charge (post IRM adjustment for 2021)</t>
  </si>
  <si>
    <t>%</t>
  </si>
  <si>
    <t>Difference due to Rounding of Volumetric Rate:</t>
  </si>
  <si>
    <t>Revenue Reconciliation - Volumetric Rate Rounded to 4th Decimal Place</t>
  </si>
  <si>
    <t>Revenue Decoupling - R1 (i)</t>
  </si>
  <si>
    <t>2021 Proposed R1(i) Rates - Calculate Volumetric Rate Based on Change in F/V Split</t>
  </si>
  <si>
    <t>Revenue Decoupling for the Seasonal Rate Class - 6th Increment</t>
  </si>
  <si>
    <t>Revenue Decoupling - Seasonal</t>
  </si>
  <si>
    <t>2021 Proposed Seasonal Rates - Calculate Volumetric Rate Based on Change in F/V Split</t>
  </si>
  <si>
    <t>**Placeholder values to be replaced once 2021 IRM factors are finalized</t>
  </si>
  <si>
    <t>See "2021 R1(i) Decoupling" tab for details of transition toward a fully fixed rate for traditional residential customers</t>
  </si>
  <si>
    <t>See ACM section of Manager's summary for explanation of ACM cost recovery for RRRP-funded rate classes, as well as $Nil values for 2021</t>
  </si>
  <si>
    <t>Notes</t>
  </si>
  <si>
    <t>3, 4</t>
  </si>
  <si>
    <t>Placeholder RRRP Adjustment Factor requires updating for 2021 rates - see Manager's Summary</t>
  </si>
  <si>
    <t>Misc. Revenue</t>
  </si>
  <si>
    <t>EB-2019-0019 Approved Revenue to Cost Ratios</t>
  </si>
  <si>
    <t>Approved Revenue to Cost Ratio</t>
  </si>
  <si>
    <t>LF X Proposed Rates</t>
  </si>
  <si>
    <t>Price Cap Index</t>
  </si>
  <si>
    <t>2020 Approved Rates</t>
  </si>
  <si>
    <t>2021 Indexed Rates</t>
  </si>
  <si>
    <t xml:space="preserve">Allocation of Service Revenue Requirement </t>
  </si>
  <si>
    <t>Indexed Revenue Attributable to Residential Rate Classes for 2021</t>
  </si>
  <si>
    <t>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</si>
</sst>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3" formatCode="_(* #,##0.00_);_(* \(#,##0.00\);_(* &quot;-&quot;??_);_(@_)"/>
    <numFmt numFmtId="164" formatCode="_-* #,##0.00_-;\-* #,##0.00_-;_-* &quot;-&quot;??_-;_-@_-"/>
    <numFmt numFmtId="165" formatCode="_(* #,##0.0000_);_(* \(#,##0.0000\);_(* &quot;-&quot;??_);_(@_)"/>
    <numFmt numFmtId="166" formatCode="_(* #,##0_);_(* \(#,##0\);_(* &quot;-&quot;??_);_(@_)"/>
    <numFmt numFmtId="167" formatCode="0.0%"/>
    <numFmt numFmtId="168" formatCode="0.000%"/>
    <numFmt numFmtId="169" formatCode="_-&quot;$&quot;* #,##0.00_-;\-&quot;$&quot;* #,##0.00_-;_-&quot;$&quot;* &quot;-&quot;??_-;_-@_-"/>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s>
  <fonts count="19">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xf numFmtId="0" fontId="1" fillId="0" borderId="0"/>
    <xf numFmtId="164" fontId="14" fillId="0" borderId="0" applyFont="0" applyFill="0" applyBorder="0" applyAlignment="0" applyProtection="0"/>
    <xf numFmtId="169"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cellStyleXfs>
  <cellXfs count="277">
    <xf numFmtId="0" fontId="0" fillId="0" borderId="0" xfId="0"/>
    <xf numFmtId="0" fontId="2" fillId="0" borderId="0" xfId="0" applyFont="1"/>
    <xf numFmtId="164" fontId="0" fillId="2" borderId="17" xfId="2" applyFont="1" applyFill="1" applyBorder="1"/>
    <xf numFmtId="164" fontId="0" fillId="0" borderId="10" xfId="2" applyFont="1" applyBorder="1" applyAlignment="1">
      <alignment horizontal="center"/>
    </xf>
    <xf numFmtId="164" fontId="0" fillId="0" borderId="20" xfId="2" applyFont="1" applyFill="1" applyBorder="1"/>
    <xf numFmtId="10" fontId="0" fillId="0" borderId="9" xfId="1" applyNumberFormat="1" applyFont="1" applyBorder="1" applyAlignment="1">
      <alignment horizontal="center"/>
    </xf>
    <xf numFmtId="165" fontId="0" fillId="2" borderId="17" xfId="2" applyNumberFormat="1" applyFont="1" applyFill="1" applyBorder="1"/>
    <xf numFmtId="165" fontId="0" fillId="0" borderId="11" xfId="2" applyNumberFormat="1" applyFont="1" applyBorder="1"/>
    <xf numFmtId="165" fontId="0" fillId="0" borderId="11" xfId="2" applyNumberFormat="1" applyFont="1" applyFill="1" applyBorder="1"/>
    <xf numFmtId="164" fontId="0" fillId="0" borderId="11" xfId="2" applyFont="1" applyFill="1" applyBorder="1"/>
    <xf numFmtId="166" fontId="0" fillId="0" borderId="25" xfId="2" applyNumberFormat="1" applyFont="1" applyBorder="1" applyAlignment="1">
      <alignment horizontal="center"/>
    </xf>
    <xf numFmtId="166" fontId="0" fillId="0" borderId="26" xfId="2" applyNumberFormat="1" applyFont="1" applyFill="1" applyBorder="1"/>
    <xf numFmtId="0" fontId="0" fillId="0" borderId="0" xfId="0" applyFont="1"/>
    <xf numFmtId="0" fontId="0" fillId="0" borderId="0" xfId="0" applyFont="1" applyAlignment="1">
      <alignment horizontal="center"/>
    </xf>
    <xf numFmtId="0" fontId="0" fillId="0" borderId="6" xfId="0" applyFont="1" applyBorder="1"/>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1" xfId="0" applyFont="1" applyFill="1" applyBorder="1"/>
    <xf numFmtId="0" fontId="0" fillId="0" borderId="18" xfId="0" applyFont="1" applyBorder="1"/>
    <xf numFmtId="0" fontId="0" fillId="0" borderId="11" xfId="0" applyFont="1" applyBorder="1"/>
    <xf numFmtId="0" fontId="0" fillId="0" borderId="16" xfId="0" applyFont="1" applyBorder="1"/>
    <xf numFmtId="0" fontId="0" fillId="0" borderId="19" xfId="0" applyFont="1" applyBorder="1"/>
    <xf numFmtId="0" fontId="0" fillId="0" borderId="21" xfId="0" applyFont="1" applyBorder="1"/>
    <xf numFmtId="10" fontId="0" fillId="0" borderId="9" xfId="0" applyNumberFormat="1" applyFont="1" applyBorder="1" applyAlignment="1">
      <alignment horizontal="center"/>
    </xf>
    <xf numFmtId="43" fontId="0" fillId="0" borderId="11" xfId="0" applyNumberFormat="1" applyFont="1" applyFill="1" applyBorder="1"/>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0" fillId="0" borderId="26" xfId="0" applyFont="1" applyBorder="1"/>
    <xf numFmtId="0" fontId="0" fillId="0" borderId="25"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164" fontId="0" fillId="3" borderId="11" xfId="2" applyFont="1" applyFill="1" applyBorder="1"/>
    <xf numFmtId="165" fontId="0" fillId="3" borderId="11" xfId="2" applyNumberFormat="1" applyFont="1" applyFill="1" applyBorder="1"/>
    <xf numFmtId="43" fontId="0" fillId="3" borderId="11" xfId="0" applyNumberFormat="1" applyFont="1" applyFill="1" applyBorder="1"/>
    <xf numFmtId="166" fontId="0" fillId="3" borderId="26" xfId="2" applyNumberFormat="1" applyFont="1" applyFill="1" applyBorder="1"/>
    <xf numFmtId="0" fontId="7" fillId="0" borderId="9" xfId="0" applyFont="1" applyBorder="1" applyAlignment="1">
      <alignment horizontal="center" vertical="center" wrapText="1"/>
    </xf>
    <xf numFmtId="166" fontId="0" fillId="0" borderId="9" xfId="2" applyNumberFormat="1" applyFont="1" applyBorder="1"/>
    <xf numFmtId="167" fontId="0" fillId="0" borderId="9" xfId="1" applyNumberFormat="1" applyFont="1" applyBorder="1" applyAlignment="1">
      <alignment horizontal="center"/>
    </xf>
    <xf numFmtId="164" fontId="0" fillId="0" borderId="9" xfId="2" applyFont="1" applyBorder="1"/>
    <xf numFmtId="165" fontId="0" fillId="0" borderId="9" xfId="2" applyNumberFormat="1" applyFont="1" applyBorder="1"/>
    <xf numFmtId="166"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6" fontId="0" fillId="4" borderId="9" xfId="2" applyNumberFormat="1" applyFont="1" applyFill="1" applyBorder="1"/>
    <xf numFmtId="166" fontId="0" fillId="3" borderId="9" xfId="2" applyNumberFormat="1" applyFont="1" applyFill="1" applyBorder="1"/>
    <xf numFmtId="164" fontId="0" fillId="3" borderId="9" xfId="2" applyFont="1" applyFill="1" applyBorder="1"/>
    <xf numFmtId="165"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6" fontId="0" fillId="0" borderId="0" xfId="0" applyNumberFormat="1" applyFont="1"/>
    <xf numFmtId="168"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6" fontId="11" fillId="0" borderId="23" xfId="0" applyNumberFormat="1" applyFont="1" applyBorder="1"/>
    <xf numFmtId="166"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6"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10"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xf numFmtId="10" fontId="7" fillId="3" borderId="31" xfId="1" applyNumberFormat="1" applyFont="1" applyFill="1" applyBorder="1" applyAlignment="1">
      <alignment horizontal="center"/>
    </xf>
    <xf numFmtId="1" fontId="0" fillId="3" borderId="9" xfId="0" applyNumberFormat="1" applyFont="1" applyFill="1" applyBorder="1" applyAlignment="1">
      <alignment horizontal="center"/>
    </xf>
    <xf numFmtId="164" fontId="0" fillId="0" borderId="9" xfId="2" applyNumberFormat="1" applyFont="1" applyBorder="1"/>
    <xf numFmtId="0" fontId="7" fillId="0" borderId="16" xfId="0" applyFont="1" applyFill="1" applyBorder="1"/>
    <xf numFmtId="0" fontId="0" fillId="0" borderId="9" xfId="0" applyFont="1" applyFill="1" applyBorder="1" applyAlignment="1">
      <alignment horizontal="center"/>
    </xf>
    <xf numFmtId="1" fontId="0" fillId="0" borderId="9" xfId="0" applyNumberFormat="1" applyFont="1" applyFill="1" applyBorder="1" applyAlignment="1">
      <alignment horizontal="center"/>
    </xf>
    <xf numFmtId="166" fontId="0" fillId="0" borderId="9" xfId="2" applyNumberFormat="1" applyFont="1" applyFill="1" applyBorder="1"/>
    <xf numFmtId="164" fontId="0" fillId="0" borderId="9" xfId="2" applyFont="1" applyFill="1" applyBorder="1"/>
    <xf numFmtId="165" fontId="0" fillId="0" borderId="9" xfId="2" applyNumberFormat="1" applyFont="1" applyFill="1" applyBorder="1"/>
    <xf numFmtId="0" fontId="0" fillId="0" borderId="9" xfId="0" applyFont="1" applyBorder="1"/>
    <xf numFmtId="0" fontId="0" fillId="0" borderId="31" xfId="0" applyFont="1" applyBorder="1"/>
    <xf numFmtId="170" fontId="7" fillId="0" borderId="32" xfId="3" applyNumberFormat="1" applyFont="1" applyBorder="1"/>
    <xf numFmtId="0" fontId="0" fillId="0" borderId="0" xfId="0" applyFont="1" applyFill="1"/>
    <xf numFmtId="170" fontId="0" fillId="0" borderId="0" xfId="0" applyNumberFormat="1" applyFont="1"/>
    <xf numFmtId="0" fontId="11" fillId="0" borderId="29" xfId="0" applyFont="1" applyBorder="1" applyAlignment="1">
      <alignment horizontal="center"/>
    </xf>
    <xf numFmtId="164" fontId="11" fillId="0" borderId="30" xfId="0" applyNumberFormat="1" applyFont="1" applyBorder="1" applyAlignment="1">
      <alignment horizontal="center"/>
    </xf>
    <xf numFmtId="166" fontId="2" fillId="0" borderId="23" xfId="2" applyNumberFormat="1" applyFont="1" applyBorder="1"/>
    <xf numFmtId="166" fontId="2" fillId="0" borderId="31" xfId="2" applyNumberFormat="1" applyFont="1" applyBorder="1"/>
    <xf numFmtId="0" fontId="7" fillId="0" borderId="38" xfId="0" applyFont="1" applyBorder="1" applyAlignment="1"/>
    <xf numFmtId="166" fontId="0" fillId="0" borderId="9" xfId="2" applyNumberFormat="1" applyFont="1" applyBorder="1" applyAlignment="1">
      <alignment horizontal="center"/>
    </xf>
    <xf numFmtId="166" fontId="0" fillId="0" borderId="31" xfId="2" applyNumberFormat="1" applyFont="1" applyBorder="1" applyAlignment="1">
      <alignment horizontal="center"/>
    </xf>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7" fontId="0" fillId="0" borderId="47" xfId="1" applyNumberFormat="1" applyFont="1" applyBorder="1"/>
    <xf numFmtId="167"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9"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9"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9"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5"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4" fontId="0" fillId="0" borderId="9" xfId="1" applyNumberFormat="1" applyFont="1" applyFill="1" applyBorder="1" applyAlignment="1">
      <alignment horizontal="center"/>
    </xf>
    <xf numFmtId="4" fontId="0" fillId="0" borderId="9" xfId="2" applyNumberFormat="1" applyFont="1" applyBorder="1" applyAlignment="1">
      <alignment horizontal="center"/>
    </xf>
    <xf numFmtId="175" fontId="0" fillId="0" borderId="9" xfId="1" applyNumberFormat="1" applyFont="1" applyBorder="1" applyAlignment="1">
      <alignment horizontal="center"/>
    </xf>
    <xf numFmtId="175" fontId="0" fillId="0" borderId="9" xfId="2" applyNumberFormat="1"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Font="1" applyAlignment="1">
      <alignment horizontal="right"/>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0" xfId="0" applyFont="1" applyAlignment="1">
      <alignment horizontal="left"/>
    </xf>
    <xf numFmtId="0" fontId="0" fillId="0" borderId="0" xfId="0" applyFont="1" applyAlignment="1">
      <alignment horizontal="left"/>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cellXfs>
  <cellStyles count="11">
    <cellStyle name="Comma 2" xfId="2"/>
    <cellStyle name="Comma 2 11" xfId="6"/>
    <cellStyle name="Comma 3" xfId="8"/>
    <cellStyle name="Currency 2" xfId="3"/>
    <cellStyle name="Currency 2 10" xfId="7"/>
    <cellStyle name="Normal" xfId="0" builtinId="0"/>
    <cellStyle name="Normal 2 2 3" xfId="4"/>
    <cellStyle name="Normal 76" xfId="5"/>
    <cellStyle name="Percent" xfId="1" builtinId="5"/>
    <cellStyle name="Percent 10 2 2" xfId="9"/>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4"/>
  <sheetViews>
    <sheetView showGridLines="0" topLeftCell="A7" workbookViewId="0">
      <selection activeCell="B25" sqref="B25:I25"/>
    </sheetView>
  </sheetViews>
  <sheetFormatPr defaultColWidth="9.109375" defaultRowHeight="14.4"/>
  <cols>
    <col min="1" max="1" width="5" style="12" customWidth="1"/>
    <col min="2" max="2" width="18.5546875" style="12" customWidth="1"/>
    <col min="3" max="8" width="9.109375" style="12"/>
    <col min="9" max="9" width="47" style="12" customWidth="1"/>
    <col min="10" max="16384" width="9.109375" style="12"/>
  </cols>
  <sheetData>
    <row r="20" spans="2:9" ht="33.6">
      <c r="B20" s="168" t="s">
        <v>0</v>
      </c>
      <c r="C20" s="168"/>
      <c r="D20" s="168"/>
      <c r="E20" s="168"/>
      <c r="F20" s="168"/>
      <c r="G20" s="168"/>
      <c r="H20" s="168"/>
      <c r="I20" s="168"/>
    </row>
    <row r="21" spans="2:9" ht="33.6">
      <c r="B21" s="168" t="s">
        <v>4</v>
      </c>
      <c r="C21" s="168"/>
      <c r="D21" s="168"/>
      <c r="E21" s="168"/>
      <c r="F21" s="168"/>
      <c r="G21" s="168"/>
      <c r="H21" s="168"/>
      <c r="I21" s="168"/>
    </row>
    <row r="22" spans="2:9" ht="33.6">
      <c r="B22" s="168" t="s">
        <v>1</v>
      </c>
      <c r="C22" s="168"/>
      <c r="D22" s="168"/>
      <c r="E22" s="168"/>
      <c r="F22" s="168"/>
      <c r="G22" s="168"/>
      <c r="H22" s="168"/>
      <c r="I22" s="168"/>
    </row>
    <row r="25" spans="2:9" ht="31.2">
      <c r="B25" s="172" t="s">
        <v>2</v>
      </c>
      <c r="C25" s="172"/>
      <c r="D25" s="172"/>
      <c r="E25" s="172"/>
      <c r="F25" s="172"/>
      <c r="G25" s="172"/>
      <c r="H25" s="172"/>
      <c r="I25" s="172"/>
    </row>
    <row r="26" spans="2:9" ht="33.6">
      <c r="B26" s="168" t="s">
        <v>3</v>
      </c>
      <c r="C26" s="168"/>
      <c r="D26" s="168"/>
      <c r="E26" s="168"/>
      <c r="F26" s="168"/>
      <c r="G26" s="168"/>
      <c r="H26" s="168"/>
      <c r="I26" s="168"/>
    </row>
    <row r="27" spans="2:9" ht="33.6">
      <c r="B27" s="168"/>
      <c r="C27" s="169"/>
      <c r="D27" s="169"/>
      <c r="E27" s="169"/>
      <c r="F27" s="169"/>
      <c r="G27" s="169"/>
      <c r="H27" s="169"/>
      <c r="I27" s="169"/>
    </row>
    <row r="28" spans="2:9" ht="33.6">
      <c r="B28" s="170"/>
      <c r="C28" s="171"/>
      <c r="D28" s="171"/>
      <c r="E28" s="171"/>
      <c r="F28" s="171"/>
      <c r="G28" s="171"/>
      <c r="H28" s="171"/>
      <c r="I28" s="171"/>
    </row>
    <row r="29" spans="2:9" ht="33.6">
      <c r="B29" s="171" t="s">
        <v>121</v>
      </c>
      <c r="C29" s="171"/>
      <c r="D29" s="171"/>
      <c r="E29" s="171"/>
      <c r="F29" s="171"/>
      <c r="G29" s="171"/>
      <c r="H29" s="171"/>
      <c r="I29" s="171"/>
    </row>
    <row r="32" spans="2:9">
      <c r="B32" s="1"/>
    </row>
    <row r="33" spans="2:2">
      <c r="B33" s="1"/>
    </row>
    <row r="34" spans="2:2">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28" sqref="J28"/>
    </sheetView>
  </sheetViews>
  <sheetFormatPr defaultColWidth="9.109375" defaultRowHeight="14.4"/>
  <cols>
    <col min="1" max="1" width="2.88671875" style="12" customWidth="1"/>
    <col min="2" max="2" width="39.5546875" style="12" customWidth="1"/>
    <col min="3" max="3" width="6.5546875" style="12" bestFit="1" customWidth="1"/>
    <col min="4" max="4" width="2.88671875" style="12" customWidth="1"/>
    <col min="5" max="5" width="5.5546875" style="12" customWidth="1"/>
    <col min="6" max="6" width="11.5546875" style="12" bestFit="1" customWidth="1"/>
    <col min="7" max="7" width="7" style="12" customWidth="1"/>
    <col min="8" max="8" width="1.88671875" style="12" customWidth="1"/>
    <col min="9" max="9" width="6.109375" style="12" customWidth="1"/>
    <col min="10" max="10" width="12.109375" style="12" bestFit="1" customWidth="1"/>
    <col min="11" max="11" width="8.88671875" style="12" customWidth="1"/>
    <col min="12" max="12" width="3" style="12" customWidth="1"/>
    <col min="13" max="13" width="9.109375" style="13"/>
    <col min="14" max="16384" width="9.109375" style="12"/>
  </cols>
  <sheetData>
    <row r="2" spans="2:13" ht="15.6">
      <c r="B2" s="187" t="s">
        <v>20</v>
      </c>
      <c r="C2" s="187"/>
      <c r="D2" s="187"/>
      <c r="E2" s="187"/>
      <c r="F2" s="187"/>
      <c r="G2" s="187"/>
      <c r="H2" s="187"/>
      <c r="I2" s="187"/>
      <c r="J2" s="187"/>
      <c r="K2" s="187"/>
    </row>
    <row r="3" spans="2:13" ht="15" thickBot="1">
      <c r="C3" s="13"/>
    </row>
    <row r="4" spans="2:13" ht="16.2" thickBot="1">
      <c r="B4" s="188"/>
      <c r="C4" s="189"/>
      <c r="D4" s="189"/>
      <c r="E4" s="190" t="s">
        <v>21</v>
      </c>
      <c r="F4" s="191"/>
      <c r="G4" s="192"/>
      <c r="H4" s="14"/>
      <c r="I4" s="193" t="s">
        <v>22</v>
      </c>
      <c r="J4" s="194"/>
      <c r="K4" s="195"/>
      <c r="M4" s="196" t="s">
        <v>5</v>
      </c>
    </row>
    <row r="5" spans="2:13" ht="16.2" thickBot="1">
      <c r="B5" s="173" t="s">
        <v>6</v>
      </c>
      <c r="C5" s="174"/>
      <c r="D5" s="174"/>
      <c r="E5" s="197" t="s">
        <v>25</v>
      </c>
      <c r="F5" s="198"/>
      <c r="G5" s="199"/>
      <c r="H5" s="15"/>
      <c r="I5" s="197" t="s">
        <v>3</v>
      </c>
      <c r="J5" s="198"/>
      <c r="K5" s="199"/>
      <c r="M5" s="196"/>
    </row>
    <row r="6" spans="2:13" ht="16.2" thickBot="1">
      <c r="B6" s="173"/>
      <c r="C6" s="174"/>
      <c r="D6" s="174"/>
      <c r="E6" s="175"/>
      <c r="F6" s="176"/>
      <c r="G6" s="177"/>
      <c r="H6" s="15"/>
      <c r="I6" s="178"/>
      <c r="J6" s="179"/>
      <c r="K6" s="180"/>
      <c r="M6" s="16"/>
    </row>
    <row r="7" spans="2:13" ht="43.5" customHeight="1">
      <c r="B7" s="17" t="s">
        <v>7</v>
      </c>
      <c r="C7" s="18" t="s">
        <v>8</v>
      </c>
      <c r="D7" s="19"/>
      <c r="E7" s="181" t="s">
        <v>23</v>
      </c>
      <c r="F7" s="182"/>
      <c r="G7" s="183"/>
      <c r="H7" s="15"/>
      <c r="I7" s="184" t="s">
        <v>24</v>
      </c>
      <c r="J7" s="185"/>
      <c r="K7" s="186"/>
      <c r="M7" s="16"/>
    </row>
    <row r="8" spans="2:13">
      <c r="B8" s="20" t="s">
        <v>9</v>
      </c>
      <c r="C8" s="16"/>
      <c r="D8" s="21"/>
      <c r="E8" s="22"/>
      <c r="F8" s="23"/>
      <c r="G8" s="24"/>
      <c r="H8" s="15"/>
      <c r="I8" s="22"/>
      <c r="J8" s="25"/>
      <c r="K8" s="24"/>
      <c r="M8" s="16"/>
    </row>
    <row r="9" spans="2:13">
      <c r="B9" s="26" t="s">
        <v>10</v>
      </c>
      <c r="C9" s="16" t="s">
        <v>11</v>
      </c>
      <c r="D9" s="2"/>
      <c r="E9" s="3"/>
      <c r="F9" s="44">
        <v>46.72</v>
      </c>
      <c r="G9" s="24"/>
      <c r="H9" s="15"/>
      <c r="I9" s="27"/>
      <c r="J9" s="4">
        <f>'2021 R1(i) Decoupling'!F29</f>
        <v>51.27</v>
      </c>
      <c r="K9" s="28"/>
      <c r="M9" s="5">
        <f>(J9-F9)/F9</f>
        <v>9.7388698630137077E-2</v>
      </c>
    </row>
    <row r="10" spans="2:13">
      <c r="B10" s="26" t="s">
        <v>12</v>
      </c>
      <c r="C10" s="16" t="s">
        <v>13</v>
      </c>
      <c r="D10" s="6"/>
      <c r="E10" s="3"/>
      <c r="F10" s="45">
        <v>1.2800000000000001E-2</v>
      </c>
      <c r="G10" s="24"/>
      <c r="H10" s="15"/>
      <c r="I10" s="22"/>
      <c r="J10" s="8">
        <f>'2021 R1(i) Decoupling'!G29</f>
        <v>8.3000000000000001E-3</v>
      </c>
      <c r="K10" s="24"/>
      <c r="M10" s="5">
        <f>(J10-F10)/F10</f>
        <v>-0.3515625</v>
      </c>
    </row>
    <row r="11" spans="2:13">
      <c r="B11" s="26"/>
      <c r="C11" s="16"/>
      <c r="D11" s="6"/>
      <c r="E11" s="3"/>
      <c r="F11" s="7"/>
      <c r="G11" s="24"/>
      <c r="H11" s="15"/>
      <c r="I11" s="22"/>
      <c r="J11" s="8"/>
      <c r="K11" s="24"/>
      <c r="M11" s="5"/>
    </row>
    <row r="12" spans="2:13">
      <c r="B12" s="20" t="s">
        <v>14</v>
      </c>
      <c r="C12" s="16"/>
      <c r="D12" s="6"/>
      <c r="E12" s="3"/>
      <c r="F12" s="7"/>
      <c r="G12" s="24"/>
      <c r="H12" s="15"/>
      <c r="I12" s="22"/>
      <c r="J12" s="4"/>
      <c r="K12" s="24"/>
      <c r="M12" s="5"/>
    </row>
    <row r="13" spans="2:13">
      <c r="B13" s="26" t="s">
        <v>10</v>
      </c>
      <c r="C13" s="16" t="s">
        <v>11</v>
      </c>
      <c r="D13" s="6"/>
      <c r="E13" s="3"/>
      <c r="F13" s="44">
        <v>25.94</v>
      </c>
      <c r="G13" s="24"/>
      <c r="H13" s="15"/>
      <c r="I13" s="22"/>
      <c r="J13" s="4">
        <f>'2021 RRRP Rate Design'!I15</f>
        <v>26.24</v>
      </c>
      <c r="K13" s="24"/>
      <c r="M13" s="5">
        <f>(J13-F13)/F13</f>
        <v>1.1565150346954401E-2</v>
      </c>
    </row>
    <row r="14" spans="2:13">
      <c r="B14" s="26" t="s">
        <v>12</v>
      </c>
      <c r="C14" s="16" t="s">
        <v>13</v>
      </c>
      <c r="D14" s="6"/>
      <c r="E14" s="3"/>
      <c r="F14" s="45">
        <v>3.6499999999999998E-2</v>
      </c>
      <c r="G14" s="24"/>
      <c r="H14" s="15"/>
      <c r="I14" s="22"/>
      <c r="J14" s="8">
        <f>'2021 RRRP Rate Design'!J15</f>
        <v>3.6900000000000002E-2</v>
      </c>
      <c r="K14" s="24"/>
      <c r="M14" s="5">
        <f>(J14-F14)/F14</f>
        <v>1.0958904109589166E-2</v>
      </c>
    </row>
    <row r="15" spans="2:13">
      <c r="B15" s="26"/>
      <c r="C15" s="16"/>
      <c r="D15" s="21"/>
      <c r="E15" s="22"/>
      <c r="F15" s="25"/>
      <c r="G15" s="24"/>
      <c r="H15" s="15"/>
      <c r="I15" s="22"/>
      <c r="J15" s="23"/>
      <c r="K15" s="24"/>
      <c r="M15" s="29"/>
    </row>
    <row r="16" spans="2:13">
      <c r="B16" s="20" t="s">
        <v>15</v>
      </c>
      <c r="C16" s="16"/>
      <c r="D16" s="21"/>
      <c r="E16" s="22"/>
      <c r="F16" s="25"/>
      <c r="G16" s="24"/>
      <c r="H16" s="15"/>
      <c r="I16" s="22"/>
      <c r="J16" s="23"/>
      <c r="K16" s="24"/>
      <c r="M16" s="29"/>
    </row>
    <row r="17" spans="2:13">
      <c r="B17" s="26" t="s">
        <v>10</v>
      </c>
      <c r="C17" s="16" t="s">
        <v>11</v>
      </c>
      <c r="D17" s="2"/>
      <c r="E17" s="3"/>
      <c r="F17" s="46">
        <v>667.66</v>
      </c>
      <c r="G17" s="24"/>
      <c r="H17" s="15"/>
      <c r="I17" s="22"/>
      <c r="J17" s="9">
        <f>'2021 RRRP Rate Design'!I16</f>
        <v>675.47</v>
      </c>
      <c r="K17" s="24"/>
      <c r="M17" s="5">
        <f t="shared" ref="M17:M18" si="0">(J17-F17)/F17</f>
        <v>1.1697570619776622E-2</v>
      </c>
    </row>
    <row r="18" spans="2:13">
      <c r="B18" s="26" t="s">
        <v>12</v>
      </c>
      <c r="C18" s="16" t="s">
        <v>16</v>
      </c>
      <c r="D18" s="6"/>
      <c r="E18" s="3"/>
      <c r="F18" s="45">
        <v>3.4594</v>
      </c>
      <c r="G18" s="24"/>
      <c r="H18" s="15"/>
      <c r="I18" s="22"/>
      <c r="J18" s="8">
        <f>'2021 RRRP Rate Design'!J16</f>
        <v>3.4998999999999998</v>
      </c>
      <c r="K18" s="24"/>
      <c r="M18" s="5">
        <f t="shared" si="0"/>
        <v>1.1707232468057974E-2</v>
      </c>
    </row>
    <row r="19" spans="2:13">
      <c r="B19" s="26"/>
      <c r="C19" s="16"/>
      <c r="D19" s="21"/>
      <c r="E19" s="22"/>
      <c r="F19" s="25"/>
      <c r="G19" s="24"/>
      <c r="H19" s="15"/>
      <c r="I19" s="22"/>
      <c r="J19" s="23"/>
      <c r="K19" s="24"/>
      <c r="M19" s="29"/>
    </row>
    <row r="20" spans="2:13">
      <c r="B20" s="20" t="s">
        <v>17</v>
      </c>
      <c r="C20" s="16"/>
      <c r="D20" s="21"/>
      <c r="E20" s="22"/>
      <c r="F20" s="25"/>
      <c r="G20" s="24"/>
      <c r="H20" s="15"/>
      <c r="I20" s="22"/>
      <c r="J20" s="23"/>
      <c r="K20" s="24"/>
      <c r="M20" s="29"/>
    </row>
    <row r="21" spans="2:13">
      <c r="B21" s="26" t="s">
        <v>10</v>
      </c>
      <c r="C21" s="16" t="s">
        <v>11</v>
      </c>
      <c r="D21" s="2"/>
      <c r="E21" s="3"/>
      <c r="F21" s="46">
        <v>58.8</v>
      </c>
      <c r="G21" s="24"/>
      <c r="H21" s="15"/>
      <c r="I21" s="22"/>
      <c r="J21" s="30">
        <f>'2021 Seasonal Decoupling'!F29</f>
        <v>63.62</v>
      </c>
      <c r="K21" s="24"/>
      <c r="M21" s="5">
        <f t="shared" ref="M21:M22" si="1">(J21-F21)/F21</f>
        <v>8.1972789115646261E-2</v>
      </c>
    </row>
    <row r="22" spans="2:13">
      <c r="B22" s="26" t="s">
        <v>12</v>
      </c>
      <c r="C22" s="16" t="s">
        <v>13</v>
      </c>
      <c r="D22" s="6"/>
      <c r="E22" s="3"/>
      <c r="F22" s="45">
        <v>0.12540000000000001</v>
      </c>
      <c r="G22" s="24"/>
      <c r="H22" s="15"/>
      <c r="I22" s="22"/>
      <c r="J22" s="8">
        <f>'2021 Seasonal Decoupling'!G29</f>
        <v>0.10299999999999999</v>
      </c>
      <c r="K22" s="24"/>
      <c r="M22" s="5">
        <f t="shared" si="1"/>
        <v>-0.17862838915470505</v>
      </c>
    </row>
    <row r="23" spans="2:13">
      <c r="B23" s="26"/>
      <c r="C23" s="16"/>
      <c r="D23" s="21"/>
      <c r="E23" s="22"/>
      <c r="F23" s="25"/>
      <c r="G23" s="24"/>
      <c r="H23" s="15"/>
      <c r="I23" s="22"/>
      <c r="J23" s="23"/>
      <c r="K23" s="24"/>
      <c r="M23" s="29"/>
    </row>
    <row r="24" spans="2:13">
      <c r="B24" s="20" t="s">
        <v>18</v>
      </c>
      <c r="C24" s="16"/>
      <c r="D24" s="21"/>
      <c r="E24" s="22"/>
      <c r="F24" s="25"/>
      <c r="G24" s="24"/>
      <c r="H24" s="15"/>
      <c r="I24" s="22"/>
      <c r="J24" s="23"/>
      <c r="K24" s="24"/>
      <c r="M24" s="29"/>
    </row>
    <row r="25" spans="2:13">
      <c r="B25" s="31" t="s">
        <v>10</v>
      </c>
      <c r="C25" s="16" t="s">
        <v>11</v>
      </c>
      <c r="D25" s="2"/>
      <c r="E25" s="3"/>
      <c r="F25" s="46">
        <v>1.86</v>
      </c>
      <c r="G25" s="24"/>
      <c r="H25" s="15"/>
      <c r="I25" s="22"/>
      <c r="J25" s="30">
        <f>'2021 Non-RRRP Rate Design'!H8</f>
        <v>1.89</v>
      </c>
      <c r="K25" s="24"/>
      <c r="M25" s="5">
        <f t="shared" ref="M25:M26" si="2">(J25-F25)/F25</f>
        <v>1.6129032258064412E-2</v>
      </c>
    </row>
    <row r="26" spans="2:13">
      <c r="B26" s="26" t="s">
        <v>12</v>
      </c>
      <c r="C26" s="16" t="s">
        <v>13</v>
      </c>
      <c r="D26" s="6"/>
      <c r="E26" s="3"/>
      <c r="F26" s="45">
        <v>0.2999</v>
      </c>
      <c r="G26" s="24"/>
      <c r="H26" s="15"/>
      <c r="I26" s="22"/>
      <c r="J26" s="8">
        <f>'2021 Non-RRRP Rate Design'!I8</f>
        <v>0.30409999999999998</v>
      </c>
      <c r="K26" s="24"/>
      <c r="M26" s="5">
        <f t="shared" si="2"/>
        <v>1.4004668222740851E-2</v>
      </c>
    </row>
    <row r="27" spans="2:13">
      <c r="B27" s="26"/>
      <c r="C27" s="16"/>
      <c r="D27" s="21"/>
      <c r="E27" s="22"/>
      <c r="F27" s="25"/>
      <c r="G27" s="24"/>
      <c r="H27" s="15"/>
      <c r="I27" s="22"/>
      <c r="J27" s="23"/>
      <c r="K27" s="24"/>
      <c r="M27" s="29"/>
    </row>
    <row r="28" spans="2:13" ht="15" thickBot="1">
      <c r="B28" s="32" t="s">
        <v>19</v>
      </c>
      <c r="C28" s="33" t="s">
        <v>11</v>
      </c>
      <c r="D28" s="34"/>
      <c r="E28" s="10"/>
      <c r="F28" s="47">
        <v>13961476</v>
      </c>
      <c r="G28" s="35"/>
      <c r="H28" s="36"/>
      <c r="I28" s="37"/>
      <c r="J28" s="11">
        <f>'2021 RRRP Rate Design'!M19</f>
        <v>14183450.219060998</v>
      </c>
      <c r="K28" s="35"/>
      <c r="M28" s="5">
        <f>(J28-F28)/F28</f>
        <v>1.5899051007285937E-2</v>
      </c>
    </row>
  </sheetData>
  <mergeCells count="13">
    <mergeCell ref="B2:K2"/>
    <mergeCell ref="B4:D4"/>
    <mergeCell ref="E4:G4"/>
    <mergeCell ref="I4:K4"/>
    <mergeCell ref="M4:M5"/>
    <mergeCell ref="B5:D5"/>
    <mergeCell ref="E5:G5"/>
    <mergeCell ref="I5:K5"/>
    <mergeCell ref="B6:D6"/>
    <mergeCell ref="E6:G6"/>
    <mergeCell ref="I6:K6"/>
    <mergeCell ref="E7:G7"/>
    <mergeCell ref="I7:K7"/>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2"/>
  <sheetViews>
    <sheetView showGridLines="0" workbookViewId="0">
      <selection activeCell="E25" sqref="E25"/>
    </sheetView>
  </sheetViews>
  <sheetFormatPr defaultRowHeight="14.4"/>
  <cols>
    <col min="1" max="1" width="2.88671875" customWidth="1"/>
    <col min="2" max="2" width="15" customWidth="1"/>
    <col min="3" max="3" width="14.109375" customWidth="1"/>
    <col min="4" max="4" width="10.44140625" bestFit="1" customWidth="1"/>
    <col min="5" max="5" width="12.109375" customWidth="1"/>
    <col min="6" max="6" width="11.5546875" customWidth="1"/>
  </cols>
  <sheetData>
    <row r="2" spans="2:6" ht="15" thickBot="1"/>
    <row r="3" spans="2:6">
      <c r="B3" s="200" t="s">
        <v>113</v>
      </c>
      <c r="C3" s="201"/>
      <c r="D3" s="201"/>
      <c r="E3" s="201"/>
      <c r="F3" s="202"/>
    </row>
    <row r="4" spans="2:6" ht="15" thickBot="1">
      <c r="B4" s="203"/>
      <c r="C4" s="204"/>
      <c r="D4" s="204"/>
      <c r="E4" s="204"/>
      <c r="F4" s="205"/>
    </row>
    <row r="5" spans="2:6" ht="52.8">
      <c r="B5" s="156"/>
      <c r="C5" s="157" t="s">
        <v>119</v>
      </c>
      <c r="D5" s="157" t="s">
        <v>112</v>
      </c>
      <c r="E5" s="157" t="s">
        <v>115</v>
      </c>
      <c r="F5" s="158" t="s">
        <v>114</v>
      </c>
    </row>
    <row r="6" spans="2:6">
      <c r="B6" s="159" t="s">
        <v>49</v>
      </c>
      <c r="C6" s="162">
        <v>16904988.472834036</v>
      </c>
      <c r="D6" s="162">
        <v>328511.99052853708</v>
      </c>
      <c r="E6" s="162">
        <v>17362030.650583163</v>
      </c>
      <c r="F6" s="161">
        <f>(D6+E6)/C6</f>
        <v>1.046468778700443</v>
      </c>
    </row>
    <row r="7" spans="2:6">
      <c r="B7" s="159" t="s">
        <v>15</v>
      </c>
      <c r="C7" s="162">
        <v>5043434.3676901637</v>
      </c>
      <c r="D7" s="162">
        <v>83044.070069468231</v>
      </c>
      <c r="E7" s="162">
        <v>4634806.1194622787</v>
      </c>
      <c r="F7" s="161">
        <f t="shared" ref="F7:F9" si="0">(D7+E7)/C7</f>
        <v>0.93544395457107332</v>
      </c>
    </row>
    <row r="8" spans="2:6">
      <c r="B8" s="159" t="s">
        <v>17</v>
      </c>
      <c r="C8" s="162">
        <v>3391922.3985712621</v>
      </c>
      <c r="D8" s="162">
        <v>72715.982014777779</v>
      </c>
      <c r="E8" s="162">
        <v>2825242.8631995791</v>
      </c>
      <c r="F8" s="161">
        <f t="shared" si="0"/>
        <v>0.8543706207533015</v>
      </c>
    </row>
    <row r="9" spans="2:6">
      <c r="B9" s="159" t="s">
        <v>18</v>
      </c>
      <c r="C9" s="162">
        <v>169967.81619938929</v>
      </c>
      <c r="D9" s="162">
        <v>4518.7973872169614</v>
      </c>
      <c r="E9" s="162">
        <v>199442.58204983751</v>
      </c>
      <c r="F9" s="161">
        <f t="shared" si="0"/>
        <v>1.1999999999869819</v>
      </c>
    </row>
    <row r="10" spans="2:6" ht="15" thickBot="1">
      <c r="B10" s="58" t="s">
        <v>51</v>
      </c>
      <c r="C10" s="60">
        <f>SUM(C6:C9)</f>
        <v>25510313.055294853</v>
      </c>
      <c r="D10" s="60">
        <f>SUM(D6:D9)</f>
        <v>488790.84</v>
      </c>
      <c r="E10" s="60">
        <f>SUM(E6:E9)</f>
        <v>25021522.21529486</v>
      </c>
      <c r="F10" s="163"/>
    </row>
    <row r="12" spans="2:6">
      <c r="F12" s="16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showGridLines="0" workbookViewId="0">
      <selection activeCell="N8" sqref="N8"/>
    </sheetView>
  </sheetViews>
  <sheetFormatPr defaultColWidth="9.109375" defaultRowHeight="14.4"/>
  <cols>
    <col min="1" max="1" width="2.88671875" style="12" customWidth="1"/>
    <col min="2" max="2" width="16.44140625" style="12" customWidth="1"/>
    <col min="3" max="3" width="6.44140625" style="12" customWidth="1"/>
    <col min="4" max="4" width="10.109375" style="12" customWidth="1"/>
    <col min="5" max="5" width="12.88671875" style="12" bestFit="1" customWidth="1"/>
    <col min="6" max="6" width="9.33203125" style="12" bestFit="1" customWidth="1"/>
    <col min="7" max="8" width="10.33203125" style="12" bestFit="1" customWidth="1"/>
    <col min="9" max="9" width="9.5546875" style="12" bestFit="1" customWidth="1"/>
    <col min="10" max="10" width="9.109375" style="12" bestFit="1" customWidth="1"/>
    <col min="11" max="12" width="11.6640625" style="12" bestFit="1" customWidth="1"/>
    <col min="13" max="13" width="11.5546875" style="12" customWidth="1"/>
    <col min="14" max="14" width="11.88671875" style="12" bestFit="1" customWidth="1"/>
    <col min="15" max="16384" width="9.109375" style="12"/>
  </cols>
  <sheetData>
    <row r="2" spans="2:14" ht="15" thickBot="1"/>
    <row r="3" spans="2:14" ht="31.5" customHeight="1">
      <c r="B3" s="206" t="s">
        <v>52</v>
      </c>
      <c r="C3" s="207"/>
      <c r="D3" s="207"/>
      <c r="E3" s="207"/>
      <c r="F3" s="207"/>
      <c r="G3" s="207"/>
      <c r="H3" s="207"/>
      <c r="I3" s="207"/>
      <c r="J3" s="207"/>
      <c r="K3" s="207"/>
      <c r="L3" s="207"/>
      <c r="M3" s="207"/>
      <c r="N3" s="208"/>
    </row>
    <row r="4" spans="2:14">
      <c r="B4" s="209" t="s">
        <v>50</v>
      </c>
      <c r="C4" s="210"/>
      <c r="D4" s="210"/>
      <c r="E4" s="210"/>
      <c r="F4" s="210"/>
      <c r="G4" s="210"/>
      <c r="H4" s="210"/>
      <c r="I4" s="210"/>
      <c r="J4" s="210"/>
      <c r="K4" s="210"/>
      <c r="L4" s="210"/>
      <c r="M4" s="210"/>
      <c r="N4" s="211"/>
    </row>
    <row r="5" spans="2:14" ht="15" customHeight="1">
      <c r="B5" s="212" t="s">
        <v>35</v>
      </c>
      <c r="C5" s="214" t="s">
        <v>8</v>
      </c>
      <c r="D5" s="216" t="s">
        <v>36</v>
      </c>
      <c r="E5" s="218" t="s">
        <v>37</v>
      </c>
      <c r="F5" s="219"/>
      <c r="G5" s="218" t="s">
        <v>38</v>
      </c>
      <c r="H5" s="219"/>
      <c r="I5" s="218" t="s">
        <v>39</v>
      </c>
      <c r="J5" s="219"/>
      <c r="K5" s="218" t="s">
        <v>40</v>
      </c>
      <c r="L5" s="210"/>
      <c r="M5" s="210"/>
      <c r="N5" s="211"/>
    </row>
    <row r="6" spans="2:14" ht="57.6">
      <c r="B6" s="213"/>
      <c r="C6" s="215"/>
      <c r="D6" s="217"/>
      <c r="E6" s="70" t="s">
        <v>41</v>
      </c>
      <c r="F6" s="70" t="s">
        <v>42</v>
      </c>
      <c r="G6" s="71" t="s">
        <v>43</v>
      </c>
      <c r="H6" s="71" t="s">
        <v>44</v>
      </c>
      <c r="I6" s="71" t="s">
        <v>10</v>
      </c>
      <c r="J6" s="71" t="s">
        <v>45</v>
      </c>
      <c r="K6" s="71" t="s">
        <v>46</v>
      </c>
      <c r="L6" s="71" t="s">
        <v>47</v>
      </c>
      <c r="M6" s="71" t="s">
        <v>53</v>
      </c>
      <c r="N6" s="72" t="s">
        <v>54</v>
      </c>
    </row>
    <row r="7" spans="2:14">
      <c r="B7" s="73" t="s">
        <v>49</v>
      </c>
      <c r="C7" s="16" t="s">
        <v>41</v>
      </c>
      <c r="D7" s="65">
        <v>9112.8451064303372</v>
      </c>
      <c r="E7" s="62">
        <v>113337066.32818118</v>
      </c>
      <c r="F7" s="61"/>
      <c r="G7" s="76">
        <v>0.64118373052413569</v>
      </c>
      <c r="H7" s="77">
        <f>1-G7</f>
        <v>0.35881626947586431</v>
      </c>
      <c r="I7" s="63">
        <v>101.8</v>
      </c>
      <c r="J7" s="64">
        <v>5.5E-2</v>
      </c>
      <c r="K7" s="49">
        <f>D7*I7*12</f>
        <v>11132251.582015298</v>
      </c>
      <c r="L7" s="49">
        <f>E7*J7</f>
        <v>6233538.6480499646</v>
      </c>
      <c r="M7" s="61"/>
      <c r="N7" s="53">
        <f>SUM(K7:M7)</f>
        <v>17365790.230065264</v>
      </c>
    </row>
    <row r="8" spans="2:14">
      <c r="B8" s="73" t="s">
        <v>15</v>
      </c>
      <c r="C8" s="16" t="s">
        <v>42</v>
      </c>
      <c r="D8" s="65">
        <v>37.282220262380214</v>
      </c>
      <c r="E8" s="61"/>
      <c r="F8" s="62">
        <v>248604.90668572392</v>
      </c>
      <c r="G8" s="76">
        <v>0.12009672583040554</v>
      </c>
      <c r="H8" s="77">
        <f t="shared" ref="H8:H10" si="0">1-G8</f>
        <v>0.87990327416959446</v>
      </c>
      <c r="I8" s="63">
        <v>1244.17</v>
      </c>
      <c r="J8" s="64">
        <v>16.8475</v>
      </c>
      <c r="K8" s="49">
        <f t="shared" ref="K8:K10" si="1">D8*I8*12</f>
        <v>556625.03980614711</v>
      </c>
      <c r="L8" s="49">
        <f>F8*J8</f>
        <v>4188371.1653877338</v>
      </c>
      <c r="M8" s="62">
        <v>-110187.67683102925</v>
      </c>
      <c r="N8" s="53">
        <f t="shared" ref="N8:N10" si="2">SUM(K8:M8)</f>
        <v>4634808.5283628516</v>
      </c>
    </row>
    <row r="9" spans="2:14">
      <c r="B9" s="73" t="s">
        <v>17</v>
      </c>
      <c r="C9" s="16" t="s">
        <v>41</v>
      </c>
      <c r="D9" s="65">
        <v>2960.1858518389645</v>
      </c>
      <c r="E9" s="62">
        <v>5874372.3645382812</v>
      </c>
      <c r="F9" s="61"/>
      <c r="G9" s="76">
        <v>0.68900916148665659</v>
      </c>
      <c r="H9" s="77">
        <f t="shared" si="0"/>
        <v>0.31099083851334341</v>
      </c>
      <c r="I9" s="63">
        <v>54.8</v>
      </c>
      <c r="J9" s="64">
        <v>0.14960000000000001</v>
      </c>
      <c r="K9" s="49">
        <f t="shared" si="1"/>
        <v>1946618.2161693028</v>
      </c>
      <c r="L9" s="49">
        <f t="shared" ref="L9:L10" si="3">E9*J9</f>
        <v>878806.10573492688</v>
      </c>
      <c r="M9" s="61"/>
      <c r="N9" s="53">
        <f t="shared" si="2"/>
        <v>2825424.3219042299</v>
      </c>
    </row>
    <row r="10" spans="2:14">
      <c r="B10" s="73" t="s">
        <v>18</v>
      </c>
      <c r="C10" s="16" t="s">
        <v>41</v>
      </c>
      <c r="D10" s="65">
        <v>1127.6033016645551</v>
      </c>
      <c r="E10" s="62">
        <v>581104.4520676051</v>
      </c>
      <c r="F10" s="61"/>
      <c r="G10" s="76">
        <v>0.12619223755769352</v>
      </c>
      <c r="H10" s="77">
        <f t="shared" si="0"/>
        <v>0.87380776244230651</v>
      </c>
      <c r="I10" s="63">
        <v>1.86</v>
      </c>
      <c r="J10" s="64">
        <v>0.2999</v>
      </c>
      <c r="K10" s="49">
        <f t="shared" si="1"/>
        <v>25168.105693152873</v>
      </c>
      <c r="L10" s="49">
        <f t="shared" si="3"/>
        <v>174273.22517507477</v>
      </c>
      <c r="M10" s="61"/>
      <c r="N10" s="53">
        <f t="shared" si="2"/>
        <v>199441.33086822764</v>
      </c>
    </row>
    <row r="11" spans="2:14" s="1" customFormat="1" ht="15" thickBot="1">
      <c r="B11" s="58" t="s">
        <v>51</v>
      </c>
      <c r="C11" s="59"/>
      <c r="D11" s="60">
        <f>SUM(D7:D10)</f>
        <v>13237.91648019624</v>
      </c>
      <c r="E11" s="59"/>
      <c r="F11" s="59"/>
      <c r="G11" s="59"/>
      <c r="H11" s="59"/>
      <c r="I11" s="59"/>
      <c r="J11" s="59"/>
      <c r="K11" s="78">
        <f>SUM(K7:K10)</f>
        <v>13660662.9436839</v>
      </c>
      <c r="L11" s="78">
        <f>SUM(L7:L10)</f>
        <v>11474989.144347701</v>
      </c>
      <c r="M11" s="78">
        <f>SUM(M7:M10)</f>
        <v>-110187.67683102925</v>
      </c>
      <c r="N11" s="79">
        <f>SUM(N7:N10)</f>
        <v>25025464.411200576</v>
      </c>
    </row>
    <row r="13" spans="2:14">
      <c r="K13" s="12" t="s">
        <v>55</v>
      </c>
      <c r="L13" s="56"/>
      <c r="M13" s="56"/>
      <c r="N13" s="67">
        <v>25021522.215294853</v>
      </c>
    </row>
    <row r="15" spans="2:14">
      <c r="K15" s="12" t="s">
        <v>56</v>
      </c>
      <c r="N15" s="68">
        <f>N11-N13</f>
        <v>3942.1959057226777</v>
      </c>
    </row>
    <row r="16" spans="2:14">
      <c r="K16" s="12" t="s">
        <v>57</v>
      </c>
      <c r="N16" s="69">
        <f>N15/N13</f>
        <v>1.5755220133301643E-4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showGridLines="0" workbookViewId="0">
      <selection activeCell="O41" sqref="O41"/>
    </sheetView>
  </sheetViews>
  <sheetFormatPr defaultColWidth="9.109375" defaultRowHeight="14.4"/>
  <cols>
    <col min="1" max="1" width="2.88671875" style="12" customWidth="1"/>
    <col min="2" max="2" width="18.5546875" style="12" customWidth="1"/>
    <col min="3" max="3" width="11.5546875" style="12" bestFit="1" customWidth="1"/>
    <col min="4" max="4" width="8.5546875" style="12" customWidth="1"/>
    <col min="5" max="16384" width="9.109375" style="12"/>
  </cols>
  <sheetData>
    <row r="1" spans="2:4" ht="15" thickBot="1"/>
    <row r="2" spans="2:4" ht="30.75" customHeight="1" thickBot="1">
      <c r="B2" s="220" t="s">
        <v>33</v>
      </c>
      <c r="C2" s="221"/>
      <c r="D2" s="222"/>
    </row>
    <row r="3" spans="2:4">
      <c r="B3" s="38" t="s">
        <v>26</v>
      </c>
      <c r="C3" s="39" t="s">
        <v>27</v>
      </c>
      <c r="D3" s="40" t="s">
        <v>28</v>
      </c>
    </row>
    <row r="4" spans="2:4">
      <c r="B4" s="26" t="s">
        <v>29</v>
      </c>
      <c r="C4" s="57" t="s">
        <v>34</v>
      </c>
      <c r="D4" s="42">
        <v>0.02</v>
      </c>
    </row>
    <row r="5" spans="2:4">
      <c r="B5" s="26" t="s">
        <v>30</v>
      </c>
      <c r="C5" s="57" t="s">
        <v>34</v>
      </c>
      <c r="D5" s="42">
        <v>0</v>
      </c>
    </row>
    <row r="6" spans="2:4">
      <c r="B6" s="26" t="s">
        <v>31</v>
      </c>
      <c r="C6" s="57" t="s">
        <v>34</v>
      </c>
      <c r="D6" s="43">
        <v>6.0000000000000001E-3</v>
      </c>
    </row>
    <row r="7" spans="2:4" ht="15" thickBot="1">
      <c r="B7" s="54" t="s">
        <v>116</v>
      </c>
      <c r="C7" s="33" t="s">
        <v>32</v>
      </c>
      <c r="D7" s="41">
        <f>D4-D5-D6</f>
        <v>1.4E-2</v>
      </c>
    </row>
    <row r="10" spans="2:4">
      <c r="B10" s="82" t="s">
        <v>106</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showGridLines="0" tabSelected="1" workbookViewId="0">
      <selection activeCell="E22" sqref="E22"/>
    </sheetView>
  </sheetViews>
  <sheetFormatPr defaultColWidth="9.109375" defaultRowHeight="14.4"/>
  <cols>
    <col min="1" max="1" width="2.88671875" style="12" customWidth="1"/>
    <col min="2" max="2" width="24.88671875" style="12" customWidth="1"/>
    <col min="3" max="5" width="12.6640625" style="12" customWidth="1"/>
    <col min="6" max="6" width="10.33203125" style="12" customWidth="1"/>
    <col min="7" max="7" width="24.88671875" style="12" customWidth="1"/>
    <col min="8" max="8" width="10.5546875" style="12" bestFit="1" customWidth="1"/>
    <col min="9" max="10" width="11.5546875" style="12" bestFit="1" customWidth="1"/>
    <col min="11" max="16384" width="9.109375" style="12"/>
  </cols>
  <sheetData>
    <row r="1" spans="2:10" ht="15" thickBot="1"/>
    <row r="2" spans="2:10" ht="33.75" customHeight="1">
      <c r="B2" s="178" t="s">
        <v>63</v>
      </c>
      <c r="C2" s="179"/>
      <c r="D2" s="179"/>
      <c r="E2" s="180"/>
    </row>
    <row r="3" spans="2:10" ht="15" customHeight="1">
      <c r="B3" s="212" t="s">
        <v>35</v>
      </c>
      <c r="C3" s="218" t="s">
        <v>40</v>
      </c>
      <c r="D3" s="210"/>
      <c r="E3" s="211"/>
    </row>
    <row r="4" spans="2:10" ht="28.8">
      <c r="B4" s="213"/>
      <c r="C4" s="71" t="s">
        <v>46</v>
      </c>
      <c r="D4" s="71" t="s">
        <v>47</v>
      </c>
      <c r="E4" s="72" t="s">
        <v>48</v>
      </c>
    </row>
    <row r="5" spans="2:10">
      <c r="B5" s="73" t="s">
        <v>49</v>
      </c>
      <c r="C5" s="49">
        <f>'2020 COS Eq Rates and Revenue'!K7*(1+'2021 IRM Adjustment Factor'!$D$7)</f>
        <v>11288103.104163513</v>
      </c>
      <c r="D5" s="49">
        <f>SUM('2020 COS Eq Rates and Revenue'!L7:M7)*(1+'2021 IRM Adjustment Factor'!$D$7)</f>
        <v>6320808.1891226638</v>
      </c>
      <c r="E5" s="53">
        <f>C5+D5</f>
        <v>17608911.293286175</v>
      </c>
    </row>
    <row r="6" spans="2:10">
      <c r="B6" s="73" t="s">
        <v>15</v>
      </c>
      <c r="C6" s="49">
        <f>'2020 COS Eq Rates and Revenue'!K8*(1+'2021 IRM Adjustment Factor'!$D$7)</f>
        <v>564417.79036343319</v>
      </c>
      <c r="D6" s="49">
        <f>SUM('2020 COS Eq Rates and Revenue'!L8:M8)*(1+'2021 IRM Adjustment Factor'!$D$7)</f>
        <v>4135278.0573964985</v>
      </c>
      <c r="E6" s="53">
        <f t="shared" ref="E6:E8" si="0">C6+D6</f>
        <v>4699695.8477599313</v>
      </c>
    </row>
    <row r="7" spans="2:10">
      <c r="B7" s="73" t="s">
        <v>17</v>
      </c>
      <c r="C7" s="49">
        <f>'2020 COS Eq Rates and Revenue'!K9*(1+'2021 IRM Adjustment Factor'!$D$7)</f>
        <v>1973870.871195673</v>
      </c>
      <c r="D7" s="49">
        <f>SUM('2020 COS Eq Rates and Revenue'!L9:M9)*(1+'2021 IRM Adjustment Factor'!$D$7)</f>
        <v>891109.3912152159</v>
      </c>
      <c r="E7" s="53">
        <f t="shared" si="0"/>
        <v>2864980.2624108889</v>
      </c>
    </row>
    <row r="8" spans="2:10">
      <c r="B8" s="73" t="s">
        <v>18</v>
      </c>
      <c r="C8" s="49">
        <f>'2020 COS Eq Rates and Revenue'!K10*(1+'2021 IRM Adjustment Factor'!$D$7)</f>
        <v>25520.459172857012</v>
      </c>
      <c r="D8" s="49">
        <f>SUM('2020 COS Eq Rates and Revenue'!L10:M10)*(1+'2021 IRM Adjustment Factor'!$D$7)</f>
        <v>176713.05032752582</v>
      </c>
      <c r="E8" s="53">
        <f t="shared" si="0"/>
        <v>202233.50950038285</v>
      </c>
    </row>
    <row r="9" spans="2:10" ht="15" thickBot="1">
      <c r="B9" s="58" t="s">
        <v>51</v>
      </c>
      <c r="C9" s="74">
        <f>SUM(C5:C8)</f>
        <v>13851912.224895475</v>
      </c>
      <c r="D9" s="74">
        <f>SUM(D5:D8)</f>
        <v>11523908.688061906</v>
      </c>
      <c r="E9" s="75">
        <f>SUM(E5:E8)</f>
        <v>25375820.912957381</v>
      </c>
    </row>
    <row r="10" spans="2:10">
      <c r="B10" s="15"/>
      <c r="C10" s="80"/>
      <c r="D10" s="80"/>
      <c r="E10" s="80"/>
    </row>
    <row r="12" spans="2:10" ht="33.75" customHeight="1">
      <c r="B12" s="223" t="s">
        <v>58</v>
      </c>
      <c r="C12" s="223"/>
      <c r="D12" s="223"/>
      <c r="E12" s="223"/>
      <c r="F12" s="223"/>
      <c r="G12" s="223"/>
      <c r="H12" s="223"/>
      <c r="I12" s="223"/>
      <c r="J12" s="223"/>
    </row>
    <row r="14" spans="2:10">
      <c r="B14" s="81" t="s">
        <v>59</v>
      </c>
    </row>
    <row r="16" spans="2:10">
      <c r="B16" s="12" t="s">
        <v>60</v>
      </c>
      <c r="G16" s="83">
        <f>'2020 COS Eq Rates and Revenue'!N11</f>
        <v>25025464.411200576</v>
      </c>
    </row>
    <row r="17" spans="2:7">
      <c r="B17" s="12" t="s">
        <v>62</v>
      </c>
      <c r="G17" s="84">
        <f>'2021 IRM Adjustment Factor'!D7</f>
        <v>1.4E-2</v>
      </c>
    </row>
    <row r="18" spans="2:7">
      <c r="B18" s="12" t="s">
        <v>61</v>
      </c>
      <c r="G18" s="83">
        <f>G16*(1+G17)</f>
        <v>25375820.912957385</v>
      </c>
    </row>
    <row r="20" spans="2:7">
      <c r="B20" s="82" t="str">
        <f>IF(E9=G18,"Total of Indexed Class Revenue Equals Indexed Total Revenue","Total of Indexed Class Revenue DOES NOT EQUAL Indexed Total Revenue")</f>
        <v>Total of Indexed Class Revenue Equals Indexed Total Revenue</v>
      </c>
    </row>
    <row r="21" spans="2:7" ht="60.75" customHeight="1"/>
  </sheetData>
  <mergeCells count="4">
    <mergeCell ref="B12:J12"/>
    <mergeCell ref="B2:E2"/>
    <mergeCell ref="B3:B4"/>
    <mergeCell ref="C3:E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6"/>
  <sheetViews>
    <sheetView showGridLines="0" workbookViewId="0">
      <selection activeCell="E31" sqref="E31"/>
    </sheetView>
  </sheetViews>
  <sheetFormatPr defaultColWidth="9.109375" defaultRowHeight="14.4"/>
  <cols>
    <col min="1" max="1" width="2.88671875" style="12" customWidth="1"/>
    <col min="2" max="2" width="19.88671875" style="12" customWidth="1"/>
    <col min="3" max="3" width="6.44140625" style="12" customWidth="1"/>
    <col min="4" max="4" width="10.109375" style="12" customWidth="1"/>
    <col min="5" max="5" width="12.5546875" style="12" bestFit="1" customWidth="1"/>
    <col min="6" max="6" width="9" style="12" bestFit="1" customWidth="1"/>
    <col min="7" max="8" width="8.6640625" style="12" bestFit="1" customWidth="1"/>
    <col min="9" max="9" width="9.109375" style="12" bestFit="1" customWidth="1"/>
    <col min="10" max="10" width="11.109375" style="12" bestFit="1" customWidth="1"/>
    <col min="11" max="11" width="11.5546875" style="12" bestFit="1" customWidth="1"/>
    <col min="12" max="12" width="12.109375" style="12" bestFit="1" customWidth="1"/>
    <col min="13" max="13" width="14.109375" style="12" bestFit="1" customWidth="1"/>
    <col min="14" max="14" width="3.6640625" style="12" customWidth="1"/>
    <col min="15" max="15" width="8.5546875" style="153" customWidth="1"/>
    <col min="16" max="16384" width="9.109375" style="12"/>
  </cols>
  <sheetData>
    <row r="2" spans="2:15" ht="15.6">
      <c r="B2" s="187" t="s">
        <v>68</v>
      </c>
      <c r="C2" s="187"/>
      <c r="D2" s="187"/>
      <c r="E2" s="187"/>
      <c r="F2" s="187"/>
      <c r="G2" s="187"/>
      <c r="H2" s="187"/>
      <c r="I2" s="187"/>
      <c r="J2" s="187"/>
      <c r="K2" s="187"/>
      <c r="L2" s="187"/>
      <c r="M2" s="187"/>
    </row>
    <row r="3" spans="2:15" ht="16.2" thickBot="1">
      <c r="B3" s="86"/>
      <c r="C3" s="86"/>
      <c r="D3" s="86"/>
      <c r="E3" s="86"/>
      <c r="F3" s="86"/>
      <c r="G3" s="86"/>
      <c r="H3" s="86"/>
      <c r="I3" s="86"/>
      <c r="J3" s="86"/>
      <c r="K3" s="86"/>
      <c r="L3" s="86"/>
      <c r="M3" s="87"/>
    </row>
    <row r="4" spans="2:15">
      <c r="B4" s="242" t="s">
        <v>79</v>
      </c>
      <c r="C4" s="243"/>
      <c r="D4" s="243"/>
      <c r="E4" s="243"/>
      <c r="F4" s="243"/>
      <c r="G4" s="243"/>
      <c r="H4" s="243"/>
      <c r="I4" s="243"/>
      <c r="J4" s="243"/>
      <c r="K4" s="103" t="s">
        <v>76</v>
      </c>
      <c r="L4" s="103" t="s">
        <v>77</v>
      </c>
      <c r="M4" s="104" t="s">
        <v>78</v>
      </c>
      <c r="O4" s="154" t="s">
        <v>109</v>
      </c>
    </row>
    <row r="5" spans="2:15">
      <c r="B5" s="244" t="s">
        <v>120</v>
      </c>
      <c r="C5" s="245"/>
      <c r="D5" s="245"/>
      <c r="E5" s="245"/>
      <c r="F5" s="245"/>
      <c r="G5" s="245"/>
      <c r="H5" s="245"/>
      <c r="I5" s="245"/>
      <c r="J5" s="245"/>
      <c r="K5" s="49">
        <f>'2021 Indexed Revenue'!E5</f>
        <v>17608911.293286175</v>
      </c>
      <c r="L5" s="49">
        <f>'2021 Indexed Revenue'!E6</f>
        <v>4699695.8477599313</v>
      </c>
      <c r="M5" s="106">
        <f>SUM(K5:L5)</f>
        <v>22308607.141046107</v>
      </c>
    </row>
    <row r="6" spans="2:15">
      <c r="B6" s="244" t="s">
        <v>75</v>
      </c>
      <c r="C6" s="245"/>
      <c r="D6" s="245"/>
      <c r="E6" s="245"/>
      <c r="F6" s="245"/>
      <c r="G6" s="245"/>
      <c r="H6" s="245"/>
      <c r="I6" s="245"/>
      <c r="J6" s="245"/>
      <c r="K6" s="62">
        <v>0</v>
      </c>
      <c r="L6" s="62">
        <v>0</v>
      </c>
      <c r="M6" s="106">
        <f>SUM(K6:L6)</f>
        <v>0</v>
      </c>
      <c r="O6" s="153">
        <v>1</v>
      </c>
    </row>
    <row r="7" spans="2:15" ht="15" thickBot="1">
      <c r="B7" s="246" t="s">
        <v>51</v>
      </c>
      <c r="C7" s="247"/>
      <c r="D7" s="247"/>
      <c r="E7" s="247"/>
      <c r="F7" s="247"/>
      <c r="G7" s="247"/>
      <c r="H7" s="247"/>
      <c r="I7" s="247"/>
      <c r="J7" s="248"/>
      <c r="K7" s="105">
        <f>SUM(K5:K6)</f>
        <v>17608911.293286175</v>
      </c>
      <c r="L7" s="105">
        <f>SUM(L5:L6)</f>
        <v>4699695.8477599313</v>
      </c>
      <c r="M7" s="105">
        <f>SUM(M5:M6)</f>
        <v>22308607.141046107</v>
      </c>
    </row>
    <row r="8" spans="2:15" ht="15" thickBot="1"/>
    <row r="9" spans="2:15">
      <c r="B9" s="224" t="s">
        <v>74</v>
      </c>
      <c r="C9" s="225"/>
      <c r="D9" s="225"/>
      <c r="E9" s="225"/>
      <c r="F9" s="225"/>
      <c r="G9" s="225"/>
      <c r="H9" s="225"/>
      <c r="I9" s="225"/>
      <c r="J9" s="225"/>
      <c r="K9" s="225"/>
      <c r="L9" s="225"/>
      <c r="M9" s="226"/>
    </row>
    <row r="10" spans="2:15">
      <c r="B10" s="227" t="s">
        <v>64</v>
      </c>
      <c r="C10" s="228"/>
      <c r="D10" s="228"/>
      <c r="E10" s="228"/>
      <c r="F10" s="228"/>
      <c r="G10" s="228"/>
      <c r="H10" s="228"/>
      <c r="I10" s="228"/>
      <c r="J10" s="228"/>
      <c r="K10" s="228"/>
      <c r="L10" s="228"/>
      <c r="M10" s="229"/>
    </row>
    <row r="11" spans="2:15">
      <c r="B11" s="230" t="s">
        <v>69</v>
      </c>
      <c r="C11" s="231"/>
      <c r="D11" s="231"/>
      <c r="E11" s="231"/>
      <c r="F11" s="231"/>
      <c r="G11" s="231"/>
      <c r="H11" s="231"/>
      <c r="I11" s="231"/>
      <c r="J11" s="231"/>
      <c r="K11" s="231"/>
      <c r="L11" s="232"/>
      <c r="M11" s="89">
        <v>1.17E-2</v>
      </c>
      <c r="O11" s="153">
        <v>2</v>
      </c>
    </row>
    <row r="12" spans="2:15">
      <c r="B12" s="233" t="s">
        <v>35</v>
      </c>
      <c r="C12" s="234" t="s">
        <v>8</v>
      </c>
      <c r="D12" s="235" t="s">
        <v>36</v>
      </c>
      <c r="E12" s="228" t="s">
        <v>37</v>
      </c>
      <c r="F12" s="228"/>
      <c r="G12" s="228" t="s">
        <v>38</v>
      </c>
      <c r="H12" s="228"/>
      <c r="I12" s="228" t="s">
        <v>39</v>
      </c>
      <c r="J12" s="228"/>
      <c r="K12" s="228" t="s">
        <v>71</v>
      </c>
      <c r="L12" s="228"/>
      <c r="M12" s="229"/>
    </row>
    <row r="13" spans="2:15" ht="41.4">
      <c r="B13" s="233"/>
      <c r="C13" s="234"/>
      <c r="D13" s="236"/>
      <c r="E13" s="18" t="s">
        <v>41</v>
      </c>
      <c r="F13" s="18" t="s">
        <v>42</v>
      </c>
      <c r="G13" s="48" t="s">
        <v>43</v>
      </c>
      <c r="H13" s="48" t="s">
        <v>44</v>
      </c>
      <c r="I13" s="48" t="s">
        <v>10</v>
      </c>
      <c r="J13" s="48" t="s">
        <v>45</v>
      </c>
      <c r="K13" s="48" t="s">
        <v>46</v>
      </c>
      <c r="L13" s="48" t="s">
        <v>47</v>
      </c>
      <c r="M13" s="66" t="s">
        <v>48</v>
      </c>
    </row>
    <row r="14" spans="2:15">
      <c r="B14" s="20" t="s">
        <v>65</v>
      </c>
      <c r="C14" s="16" t="s">
        <v>41</v>
      </c>
      <c r="D14" s="90">
        <v>8115.5292008802571</v>
      </c>
      <c r="E14" s="62">
        <v>84857055.570733279</v>
      </c>
      <c r="F14" s="61"/>
      <c r="G14" s="50">
        <f>K14/M14</f>
        <v>0.80789134515743555</v>
      </c>
      <c r="H14" s="50">
        <f>L14/M14</f>
        <v>0.19210865484256437</v>
      </c>
      <c r="I14" s="51">
        <f>ROUND('Rate Summary'!F9*(1+M11),2)</f>
        <v>47.27</v>
      </c>
      <c r="J14" s="52">
        <f>ROUND('Rate Summary'!F10*(1+M11),4)</f>
        <v>1.29E-2</v>
      </c>
      <c r="K14" s="49">
        <f>D14*I14*12</f>
        <v>4603452.7839073166</v>
      </c>
      <c r="L14" s="49">
        <f>E14*J14</f>
        <v>1094656.0168624592</v>
      </c>
      <c r="M14" s="53">
        <f>SUM(K14:L14)</f>
        <v>5698108.8007697761</v>
      </c>
      <c r="O14" s="153" t="s">
        <v>110</v>
      </c>
    </row>
    <row r="15" spans="2:15">
      <c r="B15" s="20" t="s">
        <v>66</v>
      </c>
      <c r="C15" s="16" t="s">
        <v>41</v>
      </c>
      <c r="D15" s="90">
        <v>997.31590555008074</v>
      </c>
      <c r="E15" s="62">
        <v>28480010.757447898</v>
      </c>
      <c r="F15" s="61"/>
      <c r="G15" s="50">
        <f t="shared" ref="G15:G16" si="0">K15/M15</f>
        <v>0.23007104274872914</v>
      </c>
      <c r="H15" s="50">
        <f t="shared" ref="H15:H16" si="1">L15/M15</f>
        <v>0.76992895725127097</v>
      </c>
      <c r="I15" s="91">
        <f>ROUND('Rate Summary'!F13*(1+M11),2)</f>
        <v>26.24</v>
      </c>
      <c r="J15" s="52">
        <f>ROUND('Rate Summary'!F14*(1+M11),4)</f>
        <v>3.6900000000000002E-2</v>
      </c>
      <c r="K15" s="49">
        <f>D15*I15*12</f>
        <v>314034.83233960939</v>
      </c>
      <c r="L15" s="49">
        <f>E15*J15</f>
        <v>1050912.3969498274</v>
      </c>
      <c r="M15" s="53">
        <f t="shared" ref="M15:M16" si="2">SUM(K15:L15)</f>
        <v>1364947.2292894367</v>
      </c>
      <c r="O15" s="153">
        <v>3</v>
      </c>
    </row>
    <row r="16" spans="2:15">
      <c r="B16" s="92" t="s">
        <v>15</v>
      </c>
      <c r="C16" s="93" t="s">
        <v>42</v>
      </c>
      <c r="D16" s="94">
        <f>'2020 COS Eq Rates and Revenue'!D8</f>
        <v>37.282220262380214</v>
      </c>
      <c r="E16" s="61"/>
      <c r="F16" s="95">
        <f>'2020 COS Eq Rates and Revenue'!F8</f>
        <v>248604.90668572392</v>
      </c>
      <c r="G16" s="50">
        <f t="shared" si="0"/>
        <v>0.25778316354991287</v>
      </c>
      <c r="H16" s="50">
        <f t="shared" si="1"/>
        <v>0.74221683645008718</v>
      </c>
      <c r="I16" s="96">
        <f>ROUND('Rate Summary'!F17*(1+M11),2)</f>
        <v>675.47</v>
      </c>
      <c r="J16" s="97">
        <f>ROUND('Rate Summary'!F18*(1+M11),4)</f>
        <v>3.4998999999999998</v>
      </c>
      <c r="K16" s="49">
        <f>D16*I16*12</f>
        <v>302196.25584755954</v>
      </c>
      <c r="L16" s="95">
        <f>F16*J16</f>
        <v>870092.31290936505</v>
      </c>
      <c r="M16" s="53">
        <f t="shared" si="2"/>
        <v>1172288.5687569245</v>
      </c>
    </row>
    <row r="17" spans="1:15">
      <c r="B17" s="239" t="s">
        <v>72</v>
      </c>
      <c r="C17" s="240"/>
      <c r="D17" s="240"/>
      <c r="E17" s="240"/>
      <c r="F17" s="240"/>
      <c r="G17" s="240"/>
      <c r="H17" s="240"/>
      <c r="I17" s="240"/>
      <c r="J17" s="240"/>
      <c r="K17" s="240"/>
      <c r="L17" s="241"/>
      <c r="M17" s="53">
        <f>'2020 COS Eq Rates and Revenue'!M8</f>
        <v>-110187.67683102925</v>
      </c>
    </row>
    <row r="18" spans="1:15">
      <c r="B18" s="26"/>
      <c r="C18" s="98"/>
      <c r="D18" s="98"/>
      <c r="E18" s="98"/>
      <c r="F18" s="98"/>
      <c r="G18" s="98"/>
      <c r="H18" s="98"/>
      <c r="I18" s="98"/>
      <c r="J18" s="98"/>
      <c r="K18" s="98"/>
      <c r="L18" s="98"/>
      <c r="M18" s="99"/>
    </row>
    <row r="19" spans="1:15" ht="15" thickBot="1">
      <c r="B19" s="237" t="s">
        <v>73</v>
      </c>
      <c r="C19" s="238"/>
      <c r="D19" s="238"/>
      <c r="E19" s="238"/>
      <c r="F19" s="238"/>
      <c r="G19" s="238"/>
      <c r="H19" s="238"/>
      <c r="I19" s="238"/>
      <c r="J19" s="238"/>
      <c r="K19" s="238"/>
      <c r="L19" s="238"/>
      <c r="M19" s="100">
        <f>M7-SUM(M14:M17)</f>
        <v>14183450.219060998</v>
      </c>
      <c r="O19" s="155"/>
    </row>
    <row r="20" spans="1:15">
      <c r="L20" s="56"/>
      <c r="M20" s="13"/>
    </row>
    <row r="21" spans="1:15">
      <c r="B21" s="85" t="s">
        <v>67</v>
      </c>
    </row>
    <row r="22" spans="1:15">
      <c r="A22" s="13">
        <v>1</v>
      </c>
      <c r="B22" s="101" t="s">
        <v>108</v>
      </c>
      <c r="M22" s="102"/>
    </row>
    <row r="23" spans="1:15">
      <c r="A23" s="13">
        <v>2</v>
      </c>
      <c r="B23" s="12" t="s">
        <v>111</v>
      </c>
      <c r="M23" s="102"/>
    </row>
    <row r="24" spans="1:15">
      <c r="A24" s="13">
        <v>3</v>
      </c>
      <c r="B24" s="101" t="s">
        <v>70</v>
      </c>
    </row>
    <row r="25" spans="1:15">
      <c r="A25" s="13">
        <v>4</v>
      </c>
      <c r="B25" s="12" t="s">
        <v>107</v>
      </c>
      <c r="M25" s="102"/>
    </row>
    <row r="26" spans="1:15">
      <c r="M26" s="102"/>
    </row>
  </sheetData>
  <mergeCells count="17">
    <mergeCell ref="B19:L19"/>
    <mergeCell ref="B17:L17"/>
    <mergeCell ref="B4:J4"/>
    <mergeCell ref="B5:J5"/>
    <mergeCell ref="B6:J6"/>
    <mergeCell ref="B7:J7"/>
    <mergeCell ref="B2:M2"/>
    <mergeCell ref="B9:M9"/>
    <mergeCell ref="B10:M10"/>
    <mergeCell ref="B11:L11"/>
    <mergeCell ref="B12:B13"/>
    <mergeCell ref="C12:C13"/>
    <mergeCell ref="D12:D13"/>
    <mergeCell ref="E12:F12"/>
    <mergeCell ref="G12:H12"/>
    <mergeCell ref="I12:J12"/>
    <mergeCell ref="K12:M12"/>
  </mergeCell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
  <sheetViews>
    <sheetView showGridLines="0" workbookViewId="0">
      <selection activeCell="M22" sqref="M22"/>
    </sheetView>
  </sheetViews>
  <sheetFormatPr defaultColWidth="9.109375" defaultRowHeight="14.4"/>
  <cols>
    <col min="1" max="1" width="2.88671875" style="12" customWidth="1"/>
    <col min="2" max="2" width="29.109375" style="12" bestFit="1" customWidth="1"/>
    <col min="3" max="3" width="7.33203125" style="12" customWidth="1"/>
    <col min="4" max="4" width="10.109375" style="12" customWidth="1"/>
    <col min="5" max="5" width="12.109375" style="12" customWidth="1"/>
    <col min="6" max="6" width="10.5546875" style="12" customWidth="1"/>
    <col min="7" max="7" width="11" style="12" customWidth="1"/>
    <col min="8" max="9" width="12.6640625" style="12" customWidth="1"/>
    <col min="10" max="12" width="10.5546875" style="12" customWidth="1"/>
    <col min="13" max="13" width="10.5546875" style="12" bestFit="1" customWidth="1"/>
    <col min="14" max="16384" width="9.109375" style="12"/>
  </cols>
  <sheetData>
    <row r="2" spans="2:13" ht="15.6">
      <c r="B2" s="187" t="s">
        <v>80</v>
      </c>
      <c r="C2" s="187"/>
      <c r="D2" s="187"/>
      <c r="E2" s="187"/>
      <c r="F2" s="187"/>
      <c r="G2" s="187"/>
      <c r="H2" s="187"/>
      <c r="I2" s="187"/>
      <c r="J2" s="187"/>
      <c r="K2" s="187"/>
      <c r="L2" s="187"/>
      <c r="M2" s="88"/>
    </row>
    <row r="3" spans="2:13" ht="15" thickBot="1"/>
    <row r="4" spans="2:13">
      <c r="B4" s="249" t="s">
        <v>81</v>
      </c>
      <c r="C4" s="250"/>
      <c r="D4" s="250"/>
      <c r="E4" s="250"/>
      <c r="F4" s="250"/>
      <c r="G4" s="250"/>
      <c r="H4" s="250"/>
      <c r="I4" s="250"/>
      <c r="J4" s="250"/>
      <c r="K4" s="250"/>
      <c r="L4" s="251"/>
      <c r="M4" s="107"/>
    </row>
    <row r="5" spans="2:13">
      <c r="B5" s="252" t="s">
        <v>35</v>
      </c>
      <c r="C5" s="253" t="s">
        <v>8</v>
      </c>
      <c r="D5" s="254" t="s">
        <v>36</v>
      </c>
      <c r="E5" s="255" t="s">
        <v>41</v>
      </c>
      <c r="F5" s="218" t="s">
        <v>117</v>
      </c>
      <c r="G5" s="219"/>
      <c r="H5" s="218" t="s">
        <v>118</v>
      </c>
      <c r="I5" s="219"/>
      <c r="J5" s="218" t="s">
        <v>40</v>
      </c>
      <c r="K5" s="210"/>
      <c r="L5" s="211"/>
      <c r="M5" s="107"/>
    </row>
    <row r="6" spans="2:13" ht="43.2">
      <c r="B6" s="252"/>
      <c r="C6" s="253"/>
      <c r="D6" s="254"/>
      <c r="E6" s="256"/>
      <c r="F6" s="71" t="s">
        <v>10</v>
      </c>
      <c r="G6" s="71" t="s">
        <v>45</v>
      </c>
      <c r="H6" s="71" t="s">
        <v>10</v>
      </c>
      <c r="I6" s="71" t="s">
        <v>45</v>
      </c>
      <c r="J6" s="71" t="s">
        <v>46</v>
      </c>
      <c r="K6" s="71" t="s">
        <v>47</v>
      </c>
      <c r="L6" s="72" t="s">
        <v>48</v>
      </c>
    </row>
    <row r="7" spans="2:13">
      <c r="B7" s="111" t="s">
        <v>17</v>
      </c>
      <c r="C7" s="93" t="s">
        <v>41</v>
      </c>
      <c r="D7" s="112">
        <f>'2020 COS Eq Rates and Revenue'!D9</f>
        <v>2960.1858518389645</v>
      </c>
      <c r="E7" s="112">
        <f>'2020 COS Eq Rates and Revenue'!E9</f>
        <v>5874372.3645382812</v>
      </c>
      <c r="F7" s="164">
        <f>'Rate Summary'!F21</f>
        <v>58.8</v>
      </c>
      <c r="G7" s="166">
        <f>'Rate Summary'!F22</f>
        <v>0.12540000000000001</v>
      </c>
      <c r="H7" s="165">
        <f>ROUND(F7*(1+'2021 IRM Adjustment Factor'!D7),2)</f>
        <v>59.62</v>
      </c>
      <c r="I7" s="167">
        <f>ROUND(G7*(1+'2021 IRM Adjustment Factor'!D7),4)</f>
        <v>0.12720000000000001</v>
      </c>
      <c r="J7" s="108">
        <f>D7*H7*12</f>
        <v>2117835.3658396685</v>
      </c>
      <c r="K7" s="108">
        <f>E7*I7</f>
        <v>747220.16476926941</v>
      </c>
      <c r="L7" s="109">
        <f>SUM(J7:K7)</f>
        <v>2865055.5306089381</v>
      </c>
    </row>
    <row r="8" spans="2:13">
      <c r="B8" s="111" t="s">
        <v>18</v>
      </c>
      <c r="C8" s="93" t="s">
        <v>41</v>
      </c>
      <c r="D8" s="112">
        <f>'2020 COS Eq Rates and Revenue'!D10</f>
        <v>1127.6033016645551</v>
      </c>
      <c r="E8" s="112">
        <f>'2020 COS Eq Rates and Revenue'!E10</f>
        <v>581104.4520676051</v>
      </c>
      <c r="F8" s="164">
        <f>'Rate Summary'!F25</f>
        <v>1.86</v>
      </c>
      <c r="G8" s="166">
        <f>'Rate Summary'!F26</f>
        <v>0.2999</v>
      </c>
      <c r="H8" s="165">
        <f>ROUND(F8*(1+'2021 IRM Adjustment Factor'!D7),2)</f>
        <v>1.89</v>
      </c>
      <c r="I8" s="167">
        <f>ROUND(G8*(1+'2021 IRM Adjustment Factor'!D7),4)</f>
        <v>0.30409999999999998</v>
      </c>
      <c r="J8" s="108">
        <f>D8*H8*12</f>
        <v>25574.04288175211</v>
      </c>
      <c r="K8" s="108">
        <f>E8*I8</f>
        <v>176713.8638737587</v>
      </c>
      <c r="L8" s="109">
        <f>SUM(J8:K8)</f>
        <v>202287.9067555108</v>
      </c>
    </row>
    <row r="9" spans="2:13" ht="15" hidden="1" thickBot="1">
      <c r="B9" s="58" t="s">
        <v>51</v>
      </c>
      <c r="C9" s="55"/>
      <c r="D9" s="110">
        <f>SUM(D7:D8)</f>
        <v>4087.7891535035196</v>
      </c>
      <c r="E9" s="110">
        <f>SUM(E7:E8)</f>
        <v>6455476.8166058864</v>
      </c>
      <c r="F9" s="113"/>
      <c r="G9" s="113"/>
      <c r="H9" s="113"/>
      <c r="I9" s="113"/>
      <c r="J9" s="74">
        <f>J7+J8</f>
        <v>2143409.4087214204</v>
      </c>
      <c r="K9" s="74">
        <f>K7+K8</f>
        <v>923934.02864302811</v>
      </c>
      <c r="L9" s="75">
        <f>L7+L8</f>
        <v>3067343.4373644488</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showGridLines="0" workbookViewId="0">
      <selection activeCell="O31" sqref="O31"/>
    </sheetView>
  </sheetViews>
  <sheetFormatPr defaultColWidth="9.109375" defaultRowHeight="14.4"/>
  <cols>
    <col min="1" max="1" width="2.109375" style="12" customWidth="1"/>
    <col min="2" max="2" width="19.109375" style="12" bestFit="1" customWidth="1"/>
    <col min="3" max="3" width="12.88671875" style="12" customWidth="1"/>
    <col min="4" max="4" width="12.33203125" style="12" bestFit="1" customWidth="1"/>
    <col min="5" max="5" width="13" style="12" customWidth="1"/>
    <col min="6" max="6" width="10" style="12" bestFit="1" customWidth="1"/>
    <col min="7" max="7" width="10.88671875" style="12" bestFit="1" customWidth="1"/>
    <col min="8" max="9" width="10.6640625" style="12" bestFit="1" customWidth="1"/>
    <col min="10" max="10" width="11.6640625" style="12" bestFit="1" customWidth="1"/>
    <col min="11" max="12" width="9.33203125" style="12" bestFit="1" customWidth="1"/>
    <col min="13" max="16384" width="9.109375" style="12"/>
  </cols>
  <sheetData>
    <row r="2" spans="2:12" ht="18">
      <c r="B2" s="273" t="s">
        <v>95</v>
      </c>
      <c r="C2" s="273"/>
      <c r="D2" s="273"/>
      <c r="E2" s="273"/>
      <c r="F2" s="273"/>
      <c r="G2" s="273"/>
      <c r="H2" s="273"/>
      <c r="I2" s="273"/>
      <c r="J2" s="273"/>
      <c r="K2" s="273"/>
      <c r="L2" s="273"/>
    </row>
    <row r="4" spans="2:12" ht="15" thickBot="1"/>
    <row r="5" spans="2:12" ht="15.75" customHeight="1" thickBot="1">
      <c r="B5" s="274" t="s">
        <v>83</v>
      </c>
      <c r="C5" s="276" t="s">
        <v>84</v>
      </c>
      <c r="D5" s="268"/>
      <c r="E5" s="269" t="s">
        <v>85</v>
      </c>
      <c r="F5" s="261" t="s">
        <v>86</v>
      </c>
      <c r="G5" s="262"/>
      <c r="H5" s="263" t="s">
        <v>87</v>
      </c>
      <c r="I5" s="264"/>
      <c r="J5" s="265"/>
      <c r="K5" s="264" t="s">
        <v>88</v>
      </c>
      <c r="L5" s="265"/>
    </row>
    <row r="6" spans="2:12" ht="43.8" thickBot="1">
      <c r="B6" s="275"/>
      <c r="C6" s="131"/>
      <c r="D6" s="132" t="s">
        <v>89</v>
      </c>
      <c r="E6" s="270"/>
      <c r="F6" s="132" t="s">
        <v>10</v>
      </c>
      <c r="G6" s="133" t="s">
        <v>90</v>
      </c>
      <c r="H6" s="129" t="s">
        <v>46</v>
      </c>
      <c r="I6" s="129" t="s">
        <v>47</v>
      </c>
      <c r="J6" s="129" t="s">
        <v>51</v>
      </c>
      <c r="K6" s="129" t="s">
        <v>46</v>
      </c>
      <c r="L6" s="130" t="s">
        <v>47</v>
      </c>
    </row>
    <row r="7" spans="2:12">
      <c r="B7" s="121"/>
      <c r="C7" s="122"/>
      <c r="D7" s="28"/>
      <c r="E7" s="123" t="s">
        <v>41</v>
      </c>
      <c r="F7" s="121"/>
      <c r="G7" s="124" t="s">
        <v>41</v>
      </c>
      <c r="H7" s="124" t="s">
        <v>11</v>
      </c>
      <c r="I7" s="124" t="s">
        <v>11</v>
      </c>
      <c r="J7" s="124" t="s">
        <v>11</v>
      </c>
      <c r="K7" s="122"/>
      <c r="L7" s="125"/>
    </row>
    <row r="8" spans="2:12" ht="15" thickBot="1">
      <c r="B8" s="134" t="s">
        <v>96</v>
      </c>
      <c r="C8" s="135" t="s">
        <v>82</v>
      </c>
      <c r="D8" s="136">
        <f>'2021 RRRP Rate Design'!D14</f>
        <v>8115.5292008802571</v>
      </c>
      <c r="E8" s="136">
        <f>'2021 RRRP Rate Design'!E14</f>
        <v>84857055.570733279</v>
      </c>
      <c r="F8" s="137">
        <f>'2021 RRRP Rate Design'!I14</f>
        <v>47.27</v>
      </c>
      <c r="G8" s="138">
        <f>'2021 RRRP Rate Design'!J14</f>
        <v>1.29E-2</v>
      </c>
      <c r="H8" s="136">
        <f>D8*F8*12</f>
        <v>4603452.7839073166</v>
      </c>
      <c r="I8" s="136">
        <f>E8*G8</f>
        <v>1094656.0168624592</v>
      </c>
      <c r="J8" s="136">
        <f>H8+I8</f>
        <v>5698108.8007697761</v>
      </c>
      <c r="K8" s="114">
        <f>H8/J8</f>
        <v>0.80789134515743555</v>
      </c>
      <c r="L8" s="115">
        <f>I8/J8</f>
        <v>0.19210865484256437</v>
      </c>
    </row>
    <row r="10" spans="2:12">
      <c r="B10" s="271" t="s">
        <v>101</v>
      </c>
      <c r="C10" s="271"/>
      <c r="D10" s="271"/>
      <c r="E10" s="271"/>
    </row>
    <row r="11" spans="2:12">
      <c r="F11" s="116">
        <v>2021</v>
      </c>
      <c r="G11" s="117">
        <v>2022</v>
      </c>
      <c r="H11" s="117">
        <v>2023</v>
      </c>
      <c r="I11" s="116"/>
      <c r="J11" s="117"/>
      <c r="K11" s="116"/>
    </row>
    <row r="12" spans="2:12">
      <c r="B12" s="272" t="s">
        <v>97</v>
      </c>
      <c r="C12" s="272"/>
      <c r="D12" s="272"/>
      <c r="E12" s="272"/>
      <c r="F12" s="126">
        <f>F8</f>
        <v>47.27</v>
      </c>
      <c r="G12" s="126">
        <f>F15</f>
        <v>51.27</v>
      </c>
      <c r="H12" s="126">
        <f>G15</f>
        <v>55.27</v>
      </c>
      <c r="I12" s="126"/>
      <c r="J12" s="126"/>
      <c r="K12" s="126"/>
    </row>
    <row r="13" spans="2:12">
      <c r="B13" s="272" t="s">
        <v>92</v>
      </c>
      <c r="C13" s="272"/>
      <c r="D13" s="272"/>
      <c r="E13" s="272"/>
      <c r="F13" s="118">
        <f>J8/D8/12</f>
        <v>58.51034335661609</v>
      </c>
      <c r="G13" s="126"/>
    </row>
    <row r="14" spans="2:12">
      <c r="B14" s="127" t="s">
        <v>93</v>
      </c>
      <c r="C14" s="127"/>
      <c r="D14" s="127"/>
      <c r="E14" s="127"/>
      <c r="F14" s="118">
        <f>IF(($F$13-F12)&gt;4,4,$F$13-F12)</f>
        <v>4</v>
      </c>
      <c r="G14" s="118">
        <f>IF(($F$13-G12)&gt;4,4,$F$13-G12)</f>
        <v>4</v>
      </c>
      <c r="H14" s="118">
        <f>IF(($F$13-H12)&gt;4,4,$F$13-H12)</f>
        <v>3.2403433566160871</v>
      </c>
      <c r="I14" s="118"/>
      <c r="J14" s="118"/>
      <c r="K14" s="118"/>
    </row>
    <row r="15" spans="2:12">
      <c r="B15" s="272" t="s">
        <v>94</v>
      </c>
      <c r="C15" s="272"/>
      <c r="D15" s="272"/>
      <c r="E15" s="272"/>
      <c r="F15" s="118">
        <f>F12+F14</f>
        <v>51.27</v>
      </c>
      <c r="G15" s="118">
        <f>G12+G14</f>
        <v>55.27</v>
      </c>
      <c r="H15" s="118">
        <f>H12+H14</f>
        <v>58.51034335661609</v>
      </c>
      <c r="I15" s="118"/>
      <c r="J15" s="118"/>
      <c r="K15" s="118"/>
    </row>
    <row r="17" spans="2:12">
      <c r="B17" s="1" t="s">
        <v>102</v>
      </c>
    </row>
    <row r="18" spans="2:12" ht="15" thickBot="1"/>
    <row r="19" spans="2:12" ht="15" thickBot="1">
      <c r="B19" s="139" t="s">
        <v>83</v>
      </c>
      <c r="C19" s="267" t="s">
        <v>84</v>
      </c>
      <c r="D19" s="268"/>
      <c r="E19" s="269" t="s">
        <v>85</v>
      </c>
      <c r="F19" s="261" t="s">
        <v>86</v>
      </c>
      <c r="G19" s="262"/>
      <c r="H19" s="263" t="s">
        <v>87</v>
      </c>
      <c r="I19" s="264"/>
      <c r="J19" s="265"/>
      <c r="K19" s="264" t="s">
        <v>38</v>
      </c>
      <c r="L19" s="265"/>
    </row>
    <row r="20" spans="2:12" ht="43.8" thickBot="1">
      <c r="B20" s="140"/>
      <c r="C20" s="141"/>
      <c r="D20" s="132" t="s">
        <v>89</v>
      </c>
      <c r="E20" s="270"/>
      <c r="F20" s="132" t="s">
        <v>10</v>
      </c>
      <c r="G20" s="133" t="s">
        <v>90</v>
      </c>
      <c r="H20" s="129" t="s">
        <v>46</v>
      </c>
      <c r="I20" s="129" t="s">
        <v>47</v>
      </c>
      <c r="J20" s="129" t="s">
        <v>51</v>
      </c>
      <c r="K20" s="129" t="s">
        <v>46</v>
      </c>
      <c r="L20" s="130" t="s">
        <v>47</v>
      </c>
    </row>
    <row r="21" spans="2:12">
      <c r="B21" s="121"/>
      <c r="C21" s="121"/>
      <c r="D21" s="121"/>
      <c r="E21" s="123" t="s">
        <v>41</v>
      </c>
      <c r="F21" s="121"/>
      <c r="G21" s="124" t="s">
        <v>41</v>
      </c>
      <c r="H21" s="124" t="s">
        <v>11</v>
      </c>
      <c r="I21" s="124" t="s">
        <v>11</v>
      </c>
      <c r="J21" s="124" t="s">
        <v>11</v>
      </c>
      <c r="K21" s="122"/>
      <c r="L21" s="125"/>
    </row>
    <row r="22" spans="2:12" ht="15" thickBot="1">
      <c r="B22" s="134" t="s">
        <v>91</v>
      </c>
      <c r="C22" s="134" t="s">
        <v>82</v>
      </c>
      <c r="D22" s="142">
        <f>D8</f>
        <v>8115.5292008802571</v>
      </c>
      <c r="E22" s="142">
        <f>E8</f>
        <v>84857055.570733279</v>
      </c>
      <c r="F22" s="137">
        <f>F15</f>
        <v>51.27</v>
      </c>
      <c r="G22" s="138">
        <f>I22/E22</f>
        <v>8.3093929017187679E-3</v>
      </c>
      <c r="H22" s="119">
        <f>F22*D22*12</f>
        <v>4992998.1855495702</v>
      </c>
      <c r="I22" s="119">
        <f>L22*J8</f>
        <v>705110.61522020609</v>
      </c>
      <c r="J22" s="120">
        <f>H22+I22</f>
        <v>5698108.8007697761</v>
      </c>
      <c r="K22" s="114">
        <f>H22/J8</f>
        <v>0.87625532613119805</v>
      </c>
      <c r="L22" s="115">
        <f>1-K22</f>
        <v>0.12374467386880195</v>
      </c>
    </row>
    <row r="24" spans="2:12">
      <c r="B24" s="1" t="s">
        <v>100</v>
      </c>
      <c r="H24" s="266"/>
      <c r="I24" s="266"/>
      <c r="J24" s="128"/>
    </row>
    <row r="25" spans="2:12" ht="15" thickBot="1"/>
    <row r="26" spans="2:12" ht="15" thickBot="1">
      <c r="B26" s="139" t="s">
        <v>83</v>
      </c>
      <c r="C26" s="267" t="s">
        <v>84</v>
      </c>
      <c r="D26" s="268"/>
      <c r="E26" s="269" t="s">
        <v>85</v>
      </c>
      <c r="F26" s="261" t="s">
        <v>86</v>
      </c>
      <c r="G26" s="262"/>
      <c r="H26" s="263" t="s">
        <v>87</v>
      </c>
      <c r="I26" s="264"/>
      <c r="J26" s="265"/>
    </row>
    <row r="27" spans="2:12" ht="43.8" thickBot="1">
      <c r="B27" s="140"/>
      <c r="C27" s="141"/>
      <c r="D27" s="132" t="s">
        <v>89</v>
      </c>
      <c r="E27" s="270"/>
      <c r="F27" s="132" t="s">
        <v>10</v>
      </c>
      <c r="G27" s="133" t="s">
        <v>90</v>
      </c>
      <c r="H27" s="129" t="s">
        <v>46</v>
      </c>
      <c r="I27" s="129" t="s">
        <v>47</v>
      </c>
      <c r="J27" s="129" t="s">
        <v>51</v>
      </c>
    </row>
    <row r="28" spans="2:12">
      <c r="B28" s="121"/>
      <c r="C28" s="121"/>
      <c r="D28" s="121"/>
      <c r="E28" s="123" t="s">
        <v>41</v>
      </c>
      <c r="F28" s="121"/>
      <c r="G28" s="124" t="s">
        <v>41</v>
      </c>
      <c r="H28" s="124" t="s">
        <v>11</v>
      </c>
      <c r="I28" s="124" t="s">
        <v>11</v>
      </c>
      <c r="J28" s="124" t="s">
        <v>11</v>
      </c>
    </row>
    <row r="29" spans="2:12" ht="15" thickBot="1">
      <c r="B29" s="134" t="s">
        <v>91</v>
      </c>
      <c r="C29" s="134" t="s">
        <v>82</v>
      </c>
      <c r="D29" s="142">
        <f>D22</f>
        <v>8115.5292008802571</v>
      </c>
      <c r="E29" s="142">
        <f>E22</f>
        <v>84857055.570733279</v>
      </c>
      <c r="F29" s="137">
        <f>F22</f>
        <v>51.27</v>
      </c>
      <c r="G29" s="138">
        <f>ROUND(G22,4)</f>
        <v>8.3000000000000001E-3</v>
      </c>
      <c r="H29" s="119">
        <f>F29*D29*12</f>
        <v>4992998.1855495702</v>
      </c>
      <c r="I29" s="119">
        <f>E29*G29</f>
        <v>704313.56123708619</v>
      </c>
      <c r="J29" s="120">
        <f>H29+I29</f>
        <v>5697311.7467866568</v>
      </c>
    </row>
    <row r="30" spans="2:12" ht="15" thickBot="1">
      <c r="B30" s="143"/>
      <c r="C30" s="143"/>
      <c r="D30" s="144"/>
      <c r="E30" s="144"/>
      <c r="F30" s="145"/>
      <c r="G30" s="145"/>
      <c r="H30" s="146"/>
      <c r="I30" s="146"/>
      <c r="J30" s="147"/>
    </row>
    <row r="31" spans="2:12">
      <c r="B31" s="257" t="s">
        <v>99</v>
      </c>
      <c r="C31" s="258"/>
      <c r="D31" s="258"/>
      <c r="E31" s="258"/>
      <c r="F31" s="258"/>
      <c r="G31" s="39" t="s">
        <v>11</v>
      </c>
      <c r="H31" s="148">
        <f>H29-H22</f>
        <v>0</v>
      </c>
      <c r="I31" s="148">
        <f>I29-I22</f>
        <v>-797.05398311989848</v>
      </c>
      <c r="J31" s="149">
        <f>J29-J22</f>
        <v>-797.0539831193164</v>
      </c>
    </row>
    <row r="32" spans="2:12" ht="15" thickBot="1">
      <c r="B32" s="259"/>
      <c r="C32" s="260"/>
      <c r="D32" s="260"/>
      <c r="E32" s="260"/>
      <c r="F32" s="260"/>
      <c r="G32" s="151" t="s">
        <v>98</v>
      </c>
      <c r="H32" s="150">
        <f>H31/H22</f>
        <v>0</v>
      </c>
      <c r="I32" s="150">
        <f t="shared" ref="I32:J32" si="0">I31/I22</f>
        <v>-1.1303956654672947E-3</v>
      </c>
      <c r="J32" s="152">
        <f t="shared" si="0"/>
        <v>-1.3988044296585559E-4</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2"/>
  <sheetViews>
    <sheetView showGridLines="0" workbookViewId="0">
      <selection activeCell="B34" sqref="B34"/>
    </sheetView>
  </sheetViews>
  <sheetFormatPr defaultColWidth="9.109375" defaultRowHeight="14.4"/>
  <cols>
    <col min="1" max="1" width="2.109375" style="12" customWidth="1"/>
    <col min="2" max="2" width="19.109375" style="12" bestFit="1" customWidth="1"/>
    <col min="3" max="3" width="12.88671875" style="12" customWidth="1"/>
    <col min="4" max="4" width="12.33203125" style="12" bestFit="1" customWidth="1"/>
    <col min="5" max="5" width="13" style="12" customWidth="1"/>
    <col min="6" max="6" width="10" style="12" bestFit="1" customWidth="1"/>
    <col min="7" max="7" width="10.88671875" style="12" bestFit="1" customWidth="1"/>
    <col min="8" max="9" width="10.6640625" style="12" bestFit="1" customWidth="1"/>
    <col min="10" max="10" width="11.6640625" style="12" bestFit="1" customWidth="1"/>
    <col min="11" max="12" width="9.33203125" style="12" bestFit="1" customWidth="1"/>
    <col min="13" max="16384" width="9.109375" style="12"/>
  </cols>
  <sheetData>
    <row r="2" spans="2:12" ht="18">
      <c r="B2" s="273" t="s">
        <v>103</v>
      </c>
      <c r="C2" s="273"/>
      <c r="D2" s="273"/>
      <c r="E2" s="273"/>
      <c r="F2" s="273"/>
      <c r="G2" s="273"/>
      <c r="H2" s="273"/>
      <c r="I2" s="273"/>
      <c r="J2" s="273"/>
      <c r="K2" s="273"/>
      <c r="L2" s="273"/>
    </row>
    <row r="4" spans="2:12" ht="15" thickBot="1"/>
    <row r="5" spans="2:12" ht="15.75" customHeight="1" thickBot="1">
      <c r="B5" s="274" t="s">
        <v>83</v>
      </c>
      <c r="C5" s="276" t="s">
        <v>84</v>
      </c>
      <c r="D5" s="268"/>
      <c r="E5" s="269" t="s">
        <v>85</v>
      </c>
      <c r="F5" s="261" t="s">
        <v>86</v>
      </c>
      <c r="G5" s="262"/>
      <c r="H5" s="263" t="s">
        <v>87</v>
      </c>
      <c r="I5" s="264"/>
      <c r="J5" s="265"/>
      <c r="K5" s="264" t="s">
        <v>88</v>
      </c>
      <c r="L5" s="265"/>
    </row>
    <row r="6" spans="2:12" ht="43.8" thickBot="1">
      <c r="B6" s="275"/>
      <c r="C6" s="131"/>
      <c r="D6" s="132" t="s">
        <v>89</v>
      </c>
      <c r="E6" s="270"/>
      <c r="F6" s="132" t="s">
        <v>10</v>
      </c>
      <c r="G6" s="133" t="s">
        <v>90</v>
      </c>
      <c r="H6" s="129" t="s">
        <v>46</v>
      </c>
      <c r="I6" s="129" t="s">
        <v>47</v>
      </c>
      <c r="J6" s="129" t="s">
        <v>51</v>
      </c>
      <c r="K6" s="129" t="s">
        <v>46</v>
      </c>
      <c r="L6" s="130" t="s">
        <v>47</v>
      </c>
    </row>
    <row r="7" spans="2:12">
      <c r="B7" s="121"/>
      <c r="C7" s="122"/>
      <c r="D7" s="28"/>
      <c r="E7" s="123" t="s">
        <v>41</v>
      </c>
      <c r="F7" s="121"/>
      <c r="G7" s="124" t="s">
        <v>41</v>
      </c>
      <c r="H7" s="124" t="s">
        <v>11</v>
      </c>
      <c r="I7" s="124" t="s">
        <v>11</v>
      </c>
      <c r="J7" s="124" t="s">
        <v>11</v>
      </c>
      <c r="K7" s="122"/>
      <c r="L7" s="125"/>
    </row>
    <row r="8" spans="2:12" ht="15" thickBot="1">
      <c r="B8" s="134" t="s">
        <v>17</v>
      </c>
      <c r="C8" s="135" t="s">
        <v>82</v>
      </c>
      <c r="D8" s="136">
        <f>'2021 Non-RRRP Rate Design'!D7</f>
        <v>2960.1858518389645</v>
      </c>
      <c r="E8" s="136">
        <f>'2021 Non-RRRP Rate Design'!E7</f>
        <v>5874372.3645382812</v>
      </c>
      <c r="F8" s="137">
        <f>'2021 Non-RRRP Rate Design'!H7</f>
        <v>59.62</v>
      </c>
      <c r="G8" s="138">
        <f>'2021 Non-RRRP Rate Design'!I7</f>
        <v>0.12720000000000001</v>
      </c>
      <c r="H8" s="136">
        <f>D8*F8*12</f>
        <v>2117835.3658396685</v>
      </c>
      <c r="I8" s="136">
        <f>E8*G8</f>
        <v>747220.16476926941</v>
      </c>
      <c r="J8" s="136">
        <f>H8+I8</f>
        <v>2865055.5306089381</v>
      </c>
      <c r="K8" s="114">
        <f>H8/J8</f>
        <v>0.73919522439048313</v>
      </c>
      <c r="L8" s="115">
        <f>I8/J8</f>
        <v>0.26080477560951687</v>
      </c>
    </row>
    <row r="10" spans="2:12">
      <c r="B10" s="271" t="s">
        <v>104</v>
      </c>
      <c r="C10" s="271"/>
      <c r="D10" s="271"/>
      <c r="E10" s="271"/>
    </row>
    <row r="11" spans="2:12">
      <c r="F11" s="116">
        <v>2021</v>
      </c>
      <c r="G11" s="117">
        <v>2022</v>
      </c>
      <c r="H11" s="117">
        <v>2023</v>
      </c>
      <c r="I11" s="116">
        <v>2024</v>
      </c>
      <c r="J11" s="117">
        <v>2025</v>
      </c>
      <c r="K11" s="116">
        <v>2026</v>
      </c>
    </row>
    <row r="12" spans="2:12">
      <c r="B12" s="272" t="s">
        <v>97</v>
      </c>
      <c r="C12" s="272"/>
      <c r="D12" s="272"/>
      <c r="E12" s="272"/>
      <c r="F12" s="126">
        <f>F8</f>
        <v>59.62</v>
      </c>
      <c r="G12" s="126">
        <f>F15</f>
        <v>63.62</v>
      </c>
      <c r="H12" s="126">
        <f>G15</f>
        <v>67.62</v>
      </c>
      <c r="I12" s="126">
        <f t="shared" ref="I12:K12" si="0">H15</f>
        <v>71.62</v>
      </c>
      <c r="J12" s="126">
        <f t="shared" si="0"/>
        <v>75.62</v>
      </c>
      <c r="K12" s="126">
        <f t="shared" si="0"/>
        <v>79.62</v>
      </c>
    </row>
    <row r="13" spans="2:12">
      <c r="B13" s="272" t="s">
        <v>92</v>
      </c>
      <c r="C13" s="272"/>
      <c r="D13" s="272"/>
      <c r="E13" s="272"/>
      <c r="F13" s="118">
        <f>J8/D8/12</f>
        <v>80.655282979081406</v>
      </c>
      <c r="G13" s="126"/>
    </row>
    <row r="14" spans="2:12">
      <c r="B14" s="127" t="s">
        <v>93</v>
      </c>
      <c r="C14" s="127"/>
      <c r="D14" s="127"/>
      <c r="E14" s="127"/>
      <c r="F14" s="118">
        <f>IF(($F$13-F12)&gt;4,4,$F$13-F12)</f>
        <v>4</v>
      </c>
      <c r="G14" s="118">
        <f>IF(($F$13-G12)&gt;4,4,$F$13-G12)</f>
        <v>4</v>
      </c>
      <c r="H14" s="118">
        <f>IF(($F$13-H12)&gt;4,4,$F$13-H12)</f>
        <v>4</v>
      </c>
      <c r="I14" s="118">
        <f t="shared" ref="I14:K14" si="1">IF(($F$13-I12)&gt;4,4,$F$13-I12)</f>
        <v>4</v>
      </c>
      <c r="J14" s="118">
        <f t="shared" si="1"/>
        <v>4</v>
      </c>
      <c r="K14" s="118">
        <f t="shared" si="1"/>
        <v>1.0352829790814013</v>
      </c>
    </row>
    <row r="15" spans="2:12">
      <c r="B15" s="272" t="s">
        <v>94</v>
      </c>
      <c r="C15" s="272"/>
      <c r="D15" s="272"/>
      <c r="E15" s="272"/>
      <c r="F15" s="118">
        <f>F12+F14</f>
        <v>63.62</v>
      </c>
      <c r="G15" s="118">
        <f>G12+G14</f>
        <v>67.62</v>
      </c>
      <c r="H15" s="118">
        <f>H12+H14</f>
        <v>71.62</v>
      </c>
      <c r="I15" s="118">
        <f t="shared" ref="I15:K15" si="2">I12+I14</f>
        <v>75.62</v>
      </c>
      <c r="J15" s="118">
        <f t="shared" si="2"/>
        <v>79.62</v>
      </c>
      <c r="K15" s="118">
        <f t="shared" si="2"/>
        <v>80.655282979081406</v>
      </c>
    </row>
    <row r="17" spans="2:12">
      <c r="B17" s="1" t="s">
        <v>105</v>
      </c>
    </row>
    <row r="18" spans="2:12" ht="15" thickBot="1"/>
    <row r="19" spans="2:12" ht="15" thickBot="1">
      <c r="B19" s="139" t="s">
        <v>83</v>
      </c>
      <c r="C19" s="267" t="s">
        <v>84</v>
      </c>
      <c r="D19" s="268"/>
      <c r="E19" s="269" t="s">
        <v>85</v>
      </c>
      <c r="F19" s="261" t="s">
        <v>86</v>
      </c>
      <c r="G19" s="262"/>
      <c r="H19" s="263" t="s">
        <v>87</v>
      </c>
      <c r="I19" s="264"/>
      <c r="J19" s="265"/>
      <c r="K19" s="264" t="s">
        <v>38</v>
      </c>
      <c r="L19" s="265"/>
    </row>
    <row r="20" spans="2:12" ht="43.8" thickBot="1">
      <c r="B20" s="140"/>
      <c r="C20" s="141"/>
      <c r="D20" s="132" t="s">
        <v>89</v>
      </c>
      <c r="E20" s="270"/>
      <c r="F20" s="132" t="s">
        <v>10</v>
      </c>
      <c r="G20" s="133" t="s">
        <v>90</v>
      </c>
      <c r="H20" s="129" t="s">
        <v>46</v>
      </c>
      <c r="I20" s="129" t="s">
        <v>47</v>
      </c>
      <c r="J20" s="129" t="s">
        <v>51</v>
      </c>
      <c r="K20" s="129" t="s">
        <v>46</v>
      </c>
      <c r="L20" s="130" t="s">
        <v>47</v>
      </c>
    </row>
    <row r="21" spans="2:12">
      <c r="B21" s="121"/>
      <c r="C21" s="121"/>
      <c r="D21" s="121"/>
      <c r="E21" s="123" t="s">
        <v>41</v>
      </c>
      <c r="F21" s="121"/>
      <c r="G21" s="124" t="s">
        <v>41</v>
      </c>
      <c r="H21" s="124" t="s">
        <v>11</v>
      </c>
      <c r="I21" s="124" t="s">
        <v>11</v>
      </c>
      <c r="J21" s="124" t="s">
        <v>11</v>
      </c>
      <c r="K21" s="122"/>
      <c r="L21" s="125"/>
    </row>
    <row r="22" spans="2:12" ht="15" thickBot="1">
      <c r="B22" s="134" t="s">
        <v>17</v>
      </c>
      <c r="C22" s="134" t="s">
        <v>82</v>
      </c>
      <c r="D22" s="142">
        <f>D8</f>
        <v>2960.1858518389645</v>
      </c>
      <c r="E22" s="142">
        <f>E8</f>
        <v>5874372.3645382812</v>
      </c>
      <c r="F22" s="137">
        <f>F15</f>
        <v>63.62</v>
      </c>
      <c r="G22" s="138">
        <f>I22/E22</f>
        <v>0.10301206772896869</v>
      </c>
      <c r="H22" s="119">
        <f>F22*D22*12</f>
        <v>2259924.2867279388</v>
      </c>
      <c r="I22" s="119">
        <f>L22*J8</f>
        <v>605131.24388099939</v>
      </c>
      <c r="J22" s="120">
        <f>H22+I22</f>
        <v>2865055.5306089381</v>
      </c>
      <c r="K22" s="114">
        <f>H22/J8</f>
        <v>0.78878899992825446</v>
      </c>
      <c r="L22" s="115">
        <f>1-K22</f>
        <v>0.21121100007174554</v>
      </c>
    </row>
    <row r="24" spans="2:12">
      <c r="B24" s="1" t="s">
        <v>100</v>
      </c>
      <c r="H24" s="266"/>
      <c r="I24" s="266"/>
      <c r="J24" s="128"/>
    </row>
    <row r="25" spans="2:12" ht="15" thickBot="1"/>
    <row r="26" spans="2:12" ht="15" thickBot="1">
      <c r="B26" s="139" t="s">
        <v>83</v>
      </c>
      <c r="C26" s="267" t="s">
        <v>84</v>
      </c>
      <c r="D26" s="268"/>
      <c r="E26" s="269" t="s">
        <v>85</v>
      </c>
      <c r="F26" s="261" t="s">
        <v>86</v>
      </c>
      <c r="G26" s="262"/>
      <c r="H26" s="263" t="s">
        <v>87</v>
      </c>
      <c r="I26" s="264"/>
      <c r="J26" s="265"/>
    </row>
    <row r="27" spans="2:12" ht="43.8" thickBot="1">
      <c r="B27" s="140"/>
      <c r="C27" s="141"/>
      <c r="D27" s="132" t="s">
        <v>89</v>
      </c>
      <c r="E27" s="270"/>
      <c r="F27" s="132" t="s">
        <v>10</v>
      </c>
      <c r="G27" s="133" t="s">
        <v>90</v>
      </c>
      <c r="H27" s="129" t="s">
        <v>46</v>
      </c>
      <c r="I27" s="129" t="s">
        <v>47</v>
      </c>
      <c r="J27" s="129" t="s">
        <v>51</v>
      </c>
    </row>
    <row r="28" spans="2:12">
      <c r="B28" s="121"/>
      <c r="C28" s="121"/>
      <c r="D28" s="121"/>
      <c r="E28" s="123" t="s">
        <v>41</v>
      </c>
      <c r="F28" s="121"/>
      <c r="G28" s="124" t="s">
        <v>41</v>
      </c>
      <c r="H28" s="124" t="s">
        <v>11</v>
      </c>
      <c r="I28" s="124" t="s">
        <v>11</v>
      </c>
      <c r="J28" s="124" t="s">
        <v>11</v>
      </c>
    </row>
    <row r="29" spans="2:12" ht="15" thickBot="1">
      <c r="B29" s="134" t="s">
        <v>17</v>
      </c>
      <c r="C29" s="134" t="s">
        <v>82</v>
      </c>
      <c r="D29" s="142">
        <f>D22</f>
        <v>2960.1858518389645</v>
      </c>
      <c r="E29" s="142">
        <f>E22</f>
        <v>5874372.3645382812</v>
      </c>
      <c r="F29" s="137">
        <f>F22</f>
        <v>63.62</v>
      </c>
      <c r="G29" s="138">
        <f>ROUND(G22,4)</f>
        <v>0.10299999999999999</v>
      </c>
      <c r="H29" s="119">
        <f>F29*D29*12</f>
        <v>2259924.2867279388</v>
      </c>
      <c r="I29" s="119">
        <f>E29*G29</f>
        <v>605060.35354744294</v>
      </c>
      <c r="J29" s="120">
        <f>H29+I29</f>
        <v>2864984.6402753815</v>
      </c>
    </row>
    <row r="30" spans="2:12" ht="15" thickBot="1">
      <c r="B30" s="143"/>
      <c r="C30" s="143"/>
      <c r="D30" s="144"/>
      <c r="E30" s="144"/>
      <c r="F30" s="145"/>
      <c r="G30" s="145"/>
      <c r="H30" s="146"/>
      <c r="I30" s="146"/>
      <c r="J30" s="147"/>
    </row>
    <row r="31" spans="2:12">
      <c r="B31" s="257" t="s">
        <v>99</v>
      </c>
      <c r="C31" s="258"/>
      <c r="D31" s="258"/>
      <c r="E31" s="258"/>
      <c r="F31" s="258"/>
      <c r="G31" s="39" t="s">
        <v>11</v>
      </c>
      <c r="H31" s="148">
        <f>H29-H22</f>
        <v>0</v>
      </c>
      <c r="I31" s="148">
        <f>I29-I22</f>
        <v>-70.890333556453697</v>
      </c>
      <c r="J31" s="149">
        <f>J29-J22</f>
        <v>-70.890333556570113</v>
      </c>
    </row>
    <row r="32" spans="2:12" ht="15" thickBot="1">
      <c r="B32" s="259"/>
      <c r="C32" s="260"/>
      <c r="D32" s="260"/>
      <c r="E32" s="260"/>
      <c r="F32" s="260"/>
      <c r="G32" s="151" t="s">
        <v>98</v>
      </c>
      <c r="H32" s="150">
        <f>H31/H22</f>
        <v>0</v>
      </c>
      <c r="I32" s="150">
        <f t="shared" ref="I32:J32" si="3">I31/I22</f>
        <v>-1.1714869174792512E-4</v>
      </c>
      <c r="J32" s="152">
        <f t="shared" si="3"/>
        <v>-2.4743092341216542E-5</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2021 IRM Adjustment Factor</vt:lpstr>
      <vt:lpstr>2021 Indexed Revenue</vt:lpstr>
      <vt:lpstr>2021 RRRP Rate Design</vt:lpstr>
      <vt:lpstr>2021 Non-RRRP Rate Design</vt:lpstr>
      <vt:lpstr>2021 R1(i) Decoupling</vt:lpstr>
      <vt:lpstr>2021 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Janet Sakauye</cp:lastModifiedBy>
  <dcterms:created xsi:type="dcterms:W3CDTF">2020-05-21T17:58:27Z</dcterms:created>
  <dcterms:modified xsi:type="dcterms:W3CDTF">2020-08-12T14:14:25Z</dcterms:modified>
</cp:coreProperties>
</file>