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Regulatory\2021 IRM\Submission\"/>
    </mc:Choice>
  </mc:AlternateContent>
  <bookViews>
    <workbookView xWindow="0" yWindow="0" windowWidth="34400" windowHeight="10660" tabRatio="851"/>
  </bookViews>
  <sheets>
    <sheet name="1. 2019 1588-1589" sheetId="1" r:id="rId1"/>
    <sheet name="2. 2018 1588-1589" sheetId="2" r:id="rId2"/>
    <sheet name="3. 2017 1588-1589" sheetId="7" r:id="rId3"/>
    <sheet name="4. 2016 1588-1589" sheetId="8" r:id="rId4"/>
    <sheet name="5. 2015 1588-1589" sheetId="9" r:id="rId5"/>
    <sheet name="6. 2014 1588-1589" sheetId="10" r:id="rId6"/>
    <sheet name="7. 1588-1589 Trf" sheetId="5" r:id="rId7"/>
    <sheet name="8. 1588-1589 Interest" sheetId="4" r:id="rId8"/>
    <sheet name="9. Int Adj All Acct" sheetId="3" r:id="rId9"/>
    <sheet name="10. 1580 Cont Sched" sheetId="6" r:id="rId10"/>
    <sheet name="11. 1580 WMS Acct " sheetId="11" r:id="rId11"/>
  </sheets>
  <externalReferences>
    <externalReference r:id="rId12"/>
  </externalReferences>
  <definedNames>
    <definedName name="AS2DocOpenMode" hidden="1">"AS2DocumentEdit"</definedName>
    <definedName name="AS2HasNoAutoHeaderFooter" hidden="1">" "</definedName>
    <definedName name="_xlnm.Print_Area" localSheetId="0">'1. 2019 1588-1589'!$A$1:$W$118</definedName>
    <definedName name="_xlnm.Print_Area" localSheetId="6">'7. 1588-1589 Trf'!$B$1:$X$69</definedName>
    <definedName name="_xlnm.Print_Titles" localSheetId="6">'7. 1588-1589 Trf'!$1:$4</definedName>
    <definedName name="_xlnm.Print_Titles" localSheetId="8">'9. Int Adj All Acct'!$C:$D</definedName>
    <definedName name="wrn.Aging._.and._.Trend._.Analysis." hidden="1">{#N/A,#N/A,FALSE,"Aging Summary";#N/A,#N/A,FALSE,"Ratio Analysis";#N/A,#N/A,FALSE,"Test 120 Day Accts";#N/A,#N/A,FALSE,"Tickmarks"}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13" i="11" l="1"/>
  <c r="V13" i="11"/>
  <c r="R13" i="11"/>
  <c r="Q13" i="11"/>
  <c r="M13" i="11"/>
  <c r="L13" i="11"/>
  <c r="I13" i="11"/>
  <c r="H13" i="11"/>
  <c r="G13" i="11"/>
  <c r="X12" i="11"/>
  <c r="Y12" i="11" s="1"/>
  <c r="S12" i="11"/>
  <c r="T12" i="11" s="1"/>
  <c r="N12" i="11"/>
  <c r="O12" i="11" s="1"/>
  <c r="I12" i="11"/>
  <c r="J12" i="11" s="1"/>
  <c r="X11" i="11"/>
  <c r="Y11" i="11" s="1"/>
  <c r="S11" i="11"/>
  <c r="T11" i="11" s="1"/>
  <c r="N11" i="11"/>
  <c r="O11" i="11" s="1"/>
  <c r="I11" i="11"/>
  <c r="J11" i="11" s="1"/>
  <c r="X10" i="11"/>
  <c r="S10" i="11"/>
  <c r="N10" i="11"/>
  <c r="O10" i="11" s="1"/>
  <c r="I10" i="11"/>
  <c r="X9" i="11"/>
  <c r="Y10" i="11" s="1"/>
  <c r="S9" i="11"/>
  <c r="S13" i="11" s="1"/>
  <c r="N9" i="11"/>
  <c r="I9" i="11"/>
  <c r="J10" i="11" l="1"/>
  <c r="T10" i="11"/>
  <c r="T13" i="11" s="1"/>
  <c r="T19" i="11" s="1"/>
  <c r="X13" i="11"/>
  <c r="O13" i="11"/>
  <c r="O19" i="11" s="1"/>
  <c r="N13" i="11"/>
  <c r="J13" i="11"/>
  <c r="J19" i="11" s="1"/>
  <c r="Y13" i="11"/>
  <c r="Y19" i="11" s="1"/>
  <c r="G5" i="3" l="1"/>
  <c r="AA5" i="3"/>
  <c r="F6" i="3"/>
  <c r="G6" i="3"/>
  <c r="H6" i="3" s="1"/>
  <c r="Z6" i="3"/>
  <c r="AA6" i="3"/>
  <c r="AB5" i="3" s="1"/>
  <c r="S7" i="3"/>
  <c r="T7" i="3"/>
  <c r="T15" i="3" s="1"/>
  <c r="U7" i="3"/>
  <c r="U15" i="3" s="1"/>
  <c r="V7" i="3"/>
  <c r="AM7" i="3"/>
  <c r="AM15" i="3" s="1"/>
  <c r="AN7" i="3"/>
  <c r="AO7" i="3"/>
  <c r="AP7" i="3"/>
  <c r="S8" i="3"/>
  <c r="T8" i="3"/>
  <c r="U8" i="3"/>
  <c r="V8" i="3"/>
  <c r="AM8" i="3"/>
  <c r="AN8" i="3"/>
  <c r="AO8" i="3"/>
  <c r="AP8" i="3"/>
  <c r="S9" i="3"/>
  <c r="T9" i="3"/>
  <c r="U9" i="3"/>
  <c r="V9" i="3"/>
  <c r="AM9" i="3"/>
  <c r="AN9" i="3"/>
  <c r="AO9" i="3"/>
  <c r="AP9" i="3"/>
  <c r="S10" i="3"/>
  <c r="T10" i="3"/>
  <c r="U10" i="3"/>
  <c r="V10" i="3"/>
  <c r="AM10" i="3"/>
  <c r="AN10" i="3"/>
  <c r="AO10" i="3"/>
  <c r="AP10" i="3"/>
  <c r="S11" i="3"/>
  <c r="T11" i="3"/>
  <c r="U11" i="3"/>
  <c r="V11" i="3"/>
  <c r="AM11" i="3"/>
  <c r="AN11" i="3"/>
  <c r="AO11" i="3"/>
  <c r="AP11" i="3"/>
  <c r="S12" i="3"/>
  <c r="T12" i="3"/>
  <c r="U12" i="3"/>
  <c r="V12" i="3"/>
  <c r="AM12" i="3"/>
  <c r="AN12" i="3"/>
  <c r="AO12" i="3"/>
  <c r="AP12" i="3"/>
  <c r="S13" i="3"/>
  <c r="T13" i="3"/>
  <c r="U13" i="3"/>
  <c r="V13" i="3"/>
  <c r="AM13" i="3"/>
  <c r="AN13" i="3"/>
  <c r="AO13" i="3"/>
  <c r="AP13" i="3"/>
  <c r="S14" i="3"/>
  <c r="S15" i="3" s="1"/>
  <c r="T14" i="3"/>
  <c r="U14" i="3"/>
  <c r="V14" i="3"/>
  <c r="AM14" i="3"/>
  <c r="AN14" i="3"/>
  <c r="AO14" i="3"/>
  <c r="AP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V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N15" i="3"/>
  <c r="AO15" i="3"/>
  <c r="AP15" i="3"/>
  <c r="F19" i="3"/>
  <c r="G19" i="3"/>
  <c r="H19" i="3" s="1"/>
  <c r="I19" i="3" s="1"/>
  <c r="J19" i="3" s="1"/>
  <c r="L19" i="3" s="1"/>
  <c r="M19" i="3" s="1"/>
  <c r="N19" i="3" s="1"/>
  <c r="O19" i="3" s="1"/>
  <c r="P19" i="3" s="1"/>
  <c r="Q19" i="3" s="1"/>
  <c r="R19" i="3" s="1"/>
  <c r="Z19" i="3"/>
  <c r="AA19" i="3"/>
  <c r="AB19" i="3" s="1"/>
  <c r="AC19" i="3" s="1"/>
  <c r="AD19" i="3" s="1"/>
  <c r="AF19" i="3" s="1"/>
  <c r="AG19" i="3" s="1"/>
  <c r="AH19" i="3" s="1"/>
  <c r="AI19" i="3" s="1"/>
  <c r="AJ19" i="3" s="1"/>
  <c r="AK19" i="3" s="1"/>
  <c r="AL19" i="3" s="1"/>
  <c r="S20" i="3"/>
  <c r="T20" i="3"/>
  <c r="U20" i="3"/>
  <c r="V20" i="3"/>
  <c r="AM20" i="3"/>
  <c r="AN20" i="3"/>
  <c r="AN28" i="3" s="1"/>
  <c r="AO20" i="3"/>
  <c r="AO28" i="3" s="1"/>
  <c r="AP20" i="3"/>
  <c r="S21" i="3"/>
  <c r="T21" i="3"/>
  <c r="U21" i="3"/>
  <c r="V21" i="3"/>
  <c r="AM21" i="3"/>
  <c r="AN21" i="3"/>
  <c r="AO21" i="3"/>
  <c r="AP21" i="3"/>
  <c r="S22" i="3"/>
  <c r="T22" i="3"/>
  <c r="U22" i="3"/>
  <c r="V22" i="3"/>
  <c r="AM22" i="3"/>
  <c r="AN22" i="3"/>
  <c r="AO22" i="3"/>
  <c r="AP22" i="3"/>
  <c r="S23" i="3"/>
  <c r="T23" i="3"/>
  <c r="U23" i="3"/>
  <c r="V23" i="3"/>
  <c r="AM23" i="3"/>
  <c r="AN23" i="3"/>
  <c r="AO23" i="3"/>
  <c r="AP23" i="3"/>
  <c r="S24" i="3"/>
  <c r="T24" i="3"/>
  <c r="U24" i="3"/>
  <c r="V24" i="3"/>
  <c r="AM24" i="3"/>
  <c r="AN24" i="3"/>
  <c r="AO24" i="3"/>
  <c r="AP24" i="3"/>
  <c r="S25" i="3"/>
  <c r="T25" i="3"/>
  <c r="U25" i="3"/>
  <c r="V25" i="3"/>
  <c r="AM25" i="3"/>
  <c r="AN25" i="3"/>
  <c r="AO25" i="3"/>
  <c r="AP25" i="3"/>
  <c r="S26" i="3"/>
  <c r="T26" i="3"/>
  <c r="U26" i="3"/>
  <c r="V26" i="3"/>
  <c r="AM26" i="3"/>
  <c r="AN26" i="3"/>
  <c r="AO26" i="3"/>
  <c r="AP26" i="3"/>
  <c r="S27" i="3"/>
  <c r="T27" i="3"/>
  <c r="U27" i="3"/>
  <c r="V27" i="3"/>
  <c r="AM27" i="3"/>
  <c r="AN27" i="3"/>
  <c r="AO27" i="3"/>
  <c r="AP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P28" i="3"/>
  <c r="E32" i="3"/>
  <c r="F32" i="3"/>
  <c r="K32" i="3"/>
  <c r="Y32" i="3"/>
  <c r="Z32" i="3"/>
  <c r="AE32" i="3"/>
  <c r="S33" i="3"/>
  <c r="T33" i="3"/>
  <c r="U33" i="3"/>
  <c r="V33" i="3"/>
  <c r="AM33" i="3"/>
  <c r="AN33" i="3"/>
  <c r="AP33" i="3" s="1"/>
  <c r="AO33" i="3"/>
  <c r="AO41" i="3" s="1"/>
  <c r="S34" i="3"/>
  <c r="T34" i="3"/>
  <c r="U34" i="3"/>
  <c r="V34" i="3"/>
  <c r="AM34" i="3"/>
  <c r="AN34" i="3"/>
  <c r="AP34" i="3" s="1"/>
  <c r="AO34" i="3"/>
  <c r="S35" i="3"/>
  <c r="S41" i="3" s="1"/>
  <c r="T35" i="3"/>
  <c r="U35" i="3"/>
  <c r="V35" i="3"/>
  <c r="AM35" i="3"/>
  <c r="AN35" i="3"/>
  <c r="AP35" i="3" s="1"/>
  <c r="AO35" i="3"/>
  <c r="S36" i="3"/>
  <c r="T36" i="3"/>
  <c r="U36" i="3"/>
  <c r="V36" i="3"/>
  <c r="AM36" i="3"/>
  <c r="AN36" i="3"/>
  <c r="AP36" i="3" s="1"/>
  <c r="AO36" i="3"/>
  <c r="S37" i="3"/>
  <c r="T37" i="3"/>
  <c r="U37" i="3"/>
  <c r="V37" i="3"/>
  <c r="AM37" i="3"/>
  <c r="AN37" i="3"/>
  <c r="AP37" i="3" s="1"/>
  <c r="AO37" i="3"/>
  <c r="S38" i="3"/>
  <c r="T38" i="3"/>
  <c r="U38" i="3"/>
  <c r="V38" i="3"/>
  <c r="V41" i="3" s="1"/>
  <c r="AM38" i="3"/>
  <c r="AN38" i="3"/>
  <c r="AP38" i="3" s="1"/>
  <c r="AO38" i="3"/>
  <c r="S39" i="3"/>
  <c r="T39" i="3"/>
  <c r="U39" i="3"/>
  <c r="V39" i="3"/>
  <c r="AM39" i="3"/>
  <c r="AN39" i="3"/>
  <c r="AP39" i="3" s="1"/>
  <c r="AO39" i="3"/>
  <c r="S40" i="3"/>
  <c r="T40" i="3"/>
  <c r="U40" i="3"/>
  <c r="V40" i="3"/>
  <c r="AM40" i="3"/>
  <c r="AN40" i="3"/>
  <c r="AP40" i="3" s="1"/>
  <c r="AO40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T41" i="3"/>
  <c r="U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E48" i="3"/>
  <c r="F48" i="3"/>
  <c r="K48" i="3"/>
  <c r="Y48" i="3"/>
  <c r="Z48" i="3"/>
  <c r="AE48" i="3"/>
  <c r="F49" i="3"/>
  <c r="S49" i="3" s="1"/>
  <c r="G49" i="3"/>
  <c r="H49" i="3"/>
  <c r="I49" i="3"/>
  <c r="J49" i="3"/>
  <c r="L49" i="3"/>
  <c r="L57" i="3" s="1"/>
  <c r="M49" i="3"/>
  <c r="N49" i="3"/>
  <c r="O49" i="3"/>
  <c r="P49" i="3"/>
  <c r="Q49" i="3"/>
  <c r="R49" i="3"/>
  <c r="T49" i="3"/>
  <c r="T57" i="3" s="1"/>
  <c r="U49" i="3"/>
  <c r="Z49" i="3"/>
  <c r="AA49" i="3"/>
  <c r="AM49" i="3" s="1"/>
  <c r="AB49" i="3"/>
  <c r="AC49" i="3"/>
  <c r="AC57" i="3" s="1"/>
  <c r="AD49" i="3"/>
  <c r="AF49" i="3"/>
  <c r="AG49" i="3"/>
  <c r="AH49" i="3"/>
  <c r="AI49" i="3"/>
  <c r="AJ49" i="3"/>
  <c r="AK49" i="3"/>
  <c r="AL49" i="3"/>
  <c r="AL57" i="3" s="1"/>
  <c r="AN49" i="3"/>
  <c r="AO49" i="3"/>
  <c r="F50" i="3"/>
  <c r="S50" i="3" s="1"/>
  <c r="V50" i="3" s="1"/>
  <c r="W50" i="3" s="1"/>
  <c r="G50" i="3"/>
  <c r="H50" i="3"/>
  <c r="H57" i="3" s="1"/>
  <c r="I50" i="3"/>
  <c r="J50" i="3"/>
  <c r="L50" i="3"/>
  <c r="M50" i="3"/>
  <c r="N50" i="3"/>
  <c r="O50" i="3"/>
  <c r="P50" i="3"/>
  <c r="Q50" i="3"/>
  <c r="Q57" i="3" s="1"/>
  <c r="R50" i="3"/>
  <c r="T50" i="3"/>
  <c r="U50" i="3"/>
  <c r="Z50" i="3"/>
  <c r="AM50" i="3" s="1"/>
  <c r="AP50" i="3" s="1"/>
  <c r="AA50" i="3"/>
  <c r="AB50" i="3"/>
  <c r="AC50" i="3"/>
  <c r="AD50" i="3"/>
  <c r="AF50" i="3"/>
  <c r="AG50" i="3"/>
  <c r="AH50" i="3"/>
  <c r="AI50" i="3"/>
  <c r="AI57" i="3" s="1"/>
  <c r="AJ50" i="3"/>
  <c r="AK50" i="3"/>
  <c r="AL50" i="3"/>
  <c r="AN50" i="3"/>
  <c r="AO50" i="3"/>
  <c r="F51" i="3"/>
  <c r="S51" i="3" s="1"/>
  <c r="V51" i="3" s="1"/>
  <c r="G51" i="3"/>
  <c r="H51" i="3"/>
  <c r="I51" i="3"/>
  <c r="J51" i="3"/>
  <c r="L51" i="3"/>
  <c r="M51" i="3"/>
  <c r="N51" i="3"/>
  <c r="N57" i="3" s="1"/>
  <c r="O51" i="3"/>
  <c r="P51" i="3"/>
  <c r="Q51" i="3"/>
  <c r="R51" i="3"/>
  <c r="T51" i="3"/>
  <c r="U51" i="3"/>
  <c r="Z51" i="3"/>
  <c r="AM51" i="3" s="1"/>
  <c r="AP51" i="3" s="1"/>
  <c r="AA51" i="3"/>
  <c r="AB51" i="3"/>
  <c r="AC51" i="3"/>
  <c r="AD51" i="3"/>
  <c r="AF51" i="3"/>
  <c r="AF57" i="3" s="1"/>
  <c r="AG51" i="3"/>
  <c r="AH51" i="3"/>
  <c r="AI51" i="3"/>
  <c r="AJ51" i="3"/>
  <c r="AK51" i="3"/>
  <c r="AL51" i="3"/>
  <c r="AN51" i="3"/>
  <c r="AN57" i="3" s="1"/>
  <c r="AO51" i="3"/>
  <c r="F52" i="3"/>
  <c r="G52" i="3"/>
  <c r="H52" i="3"/>
  <c r="I52" i="3"/>
  <c r="J52" i="3"/>
  <c r="S52" i="3" s="1"/>
  <c r="V52" i="3" s="1"/>
  <c r="L52" i="3"/>
  <c r="M52" i="3"/>
  <c r="N52" i="3"/>
  <c r="O52" i="3"/>
  <c r="O57" i="3" s="1"/>
  <c r="P52" i="3"/>
  <c r="Q52" i="3"/>
  <c r="R52" i="3"/>
  <c r="T52" i="3"/>
  <c r="U52" i="3"/>
  <c r="Z52" i="3"/>
  <c r="AM52" i="3" s="1"/>
  <c r="AP52" i="3" s="1"/>
  <c r="AA52" i="3"/>
  <c r="AB52" i="3"/>
  <c r="AB57" i="3" s="1"/>
  <c r="AC52" i="3"/>
  <c r="AD52" i="3"/>
  <c r="AF52" i="3"/>
  <c r="AG52" i="3"/>
  <c r="AG57" i="3" s="1"/>
  <c r="AH52" i="3"/>
  <c r="AI52" i="3"/>
  <c r="AJ52" i="3"/>
  <c r="AK52" i="3"/>
  <c r="AK57" i="3" s="1"/>
  <c r="AL52" i="3"/>
  <c r="AN52" i="3"/>
  <c r="AO52" i="3"/>
  <c r="AO57" i="3" s="1"/>
  <c r="F53" i="3"/>
  <c r="G53" i="3"/>
  <c r="S53" i="3" s="1"/>
  <c r="V53" i="3" s="1"/>
  <c r="H53" i="3"/>
  <c r="I53" i="3"/>
  <c r="I57" i="3" s="1"/>
  <c r="J53" i="3"/>
  <c r="L53" i="3"/>
  <c r="M53" i="3"/>
  <c r="N53" i="3"/>
  <c r="O53" i="3"/>
  <c r="P53" i="3"/>
  <c r="P57" i="3" s="1"/>
  <c r="Q53" i="3"/>
  <c r="R53" i="3"/>
  <c r="T53" i="3"/>
  <c r="U53" i="3"/>
  <c r="Z53" i="3"/>
  <c r="AM53" i="3" s="1"/>
  <c r="AP53" i="3" s="1"/>
  <c r="AA53" i="3"/>
  <c r="AB53" i="3"/>
  <c r="AC53" i="3"/>
  <c r="AD53" i="3"/>
  <c r="AF53" i="3"/>
  <c r="AG53" i="3"/>
  <c r="AH53" i="3"/>
  <c r="AI53" i="3"/>
  <c r="AJ53" i="3"/>
  <c r="AK53" i="3"/>
  <c r="AL53" i="3"/>
  <c r="AN53" i="3"/>
  <c r="AO53" i="3"/>
  <c r="F54" i="3"/>
  <c r="S54" i="3" s="1"/>
  <c r="V54" i="3" s="1"/>
  <c r="G54" i="3"/>
  <c r="H54" i="3"/>
  <c r="I54" i="3"/>
  <c r="J54" i="3"/>
  <c r="L54" i="3"/>
  <c r="M54" i="3"/>
  <c r="M57" i="3" s="1"/>
  <c r="N54" i="3"/>
  <c r="O54" i="3"/>
  <c r="P54" i="3"/>
  <c r="Q54" i="3"/>
  <c r="R54" i="3"/>
  <c r="T54" i="3"/>
  <c r="U54" i="3"/>
  <c r="U57" i="3" s="1"/>
  <c r="Z54" i="3"/>
  <c r="AA54" i="3"/>
  <c r="AB54" i="3"/>
  <c r="AC54" i="3"/>
  <c r="AD54" i="3"/>
  <c r="AD57" i="3" s="1"/>
  <c r="AF54" i="3"/>
  <c r="AG54" i="3"/>
  <c r="AH54" i="3"/>
  <c r="AI54" i="3"/>
  <c r="AJ54" i="3"/>
  <c r="AK54" i="3"/>
  <c r="AL54" i="3"/>
  <c r="AN54" i="3"/>
  <c r="AO54" i="3"/>
  <c r="F55" i="3"/>
  <c r="G55" i="3"/>
  <c r="S55" i="3" s="1"/>
  <c r="V55" i="3" s="1"/>
  <c r="H55" i="3"/>
  <c r="I55" i="3"/>
  <c r="J55" i="3"/>
  <c r="L55" i="3"/>
  <c r="M55" i="3"/>
  <c r="N55" i="3"/>
  <c r="O55" i="3"/>
  <c r="P55" i="3"/>
  <c r="Q55" i="3"/>
  <c r="R55" i="3"/>
  <c r="T55" i="3"/>
  <c r="U55" i="3"/>
  <c r="Z55" i="3"/>
  <c r="AA55" i="3"/>
  <c r="AA57" i="3" s="1"/>
  <c r="AB55" i="3"/>
  <c r="AC55" i="3"/>
  <c r="AD55" i="3"/>
  <c r="AF55" i="3"/>
  <c r="AG55" i="3"/>
  <c r="AH55" i="3"/>
  <c r="AI55" i="3"/>
  <c r="AJ55" i="3"/>
  <c r="AJ57" i="3" s="1"/>
  <c r="AK55" i="3"/>
  <c r="AL55" i="3"/>
  <c r="AN55" i="3"/>
  <c r="AO55" i="3"/>
  <c r="F56" i="3"/>
  <c r="S56" i="3" s="1"/>
  <c r="V56" i="3" s="1"/>
  <c r="G56" i="3"/>
  <c r="H56" i="3"/>
  <c r="I56" i="3"/>
  <c r="J56" i="3"/>
  <c r="L56" i="3"/>
  <c r="M56" i="3"/>
  <c r="N56" i="3"/>
  <c r="O56" i="3"/>
  <c r="P56" i="3"/>
  <c r="Q56" i="3"/>
  <c r="R56" i="3"/>
  <c r="T56" i="3"/>
  <c r="U56" i="3"/>
  <c r="Z56" i="3"/>
  <c r="AM56" i="3" s="1"/>
  <c r="AP56" i="3" s="1"/>
  <c r="AA56" i="3"/>
  <c r="AB56" i="3"/>
  <c r="AC56" i="3"/>
  <c r="AD56" i="3"/>
  <c r="AF56" i="3"/>
  <c r="AG56" i="3"/>
  <c r="AH56" i="3"/>
  <c r="AI56" i="3"/>
  <c r="AJ56" i="3"/>
  <c r="AK56" i="3"/>
  <c r="AL56" i="3"/>
  <c r="AN56" i="3"/>
  <c r="AO56" i="3"/>
  <c r="E57" i="3"/>
  <c r="J57" i="3"/>
  <c r="K57" i="3"/>
  <c r="R57" i="3"/>
  <c r="Y57" i="3"/>
  <c r="Z57" i="3"/>
  <c r="AE57" i="3"/>
  <c r="AH57" i="3"/>
  <c r="AP49" i="3" l="1"/>
  <c r="AQ50" i="3"/>
  <c r="W51" i="3"/>
  <c r="X51" i="3"/>
  <c r="AQ52" i="3"/>
  <c r="X50" i="3"/>
  <c r="AQ55" i="3"/>
  <c r="S57" i="3"/>
  <c r="V49" i="3"/>
  <c r="AQ51" i="3"/>
  <c r="W54" i="3"/>
  <c r="X54" i="3"/>
  <c r="AQ53" i="3"/>
  <c r="I6" i="3"/>
  <c r="H32" i="3"/>
  <c r="H48" i="3" s="1"/>
  <c r="I5" i="3"/>
  <c r="W52" i="3"/>
  <c r="X52" i="3"/>
  <c r="AP41" i="3"/>
  <c r="X56" i="3"/>
  <c r="W56" i="3"/>
  <c r="W55" i="3"/>
  <c r="X55" i="3"/>
  <c r="W53" i="3"/>
  <c r="X53" i="3"/>
  <c r="AQ56" i="3"/>
  <c r="AA32" i="3"/>
  <c r="AA48" i="3" s="1"/>
  <c r="G57" i="3"/>
  <c r="AB6" i="3"/>
  <c r="AM54" i="3"/>
  <c r="AP54" i="3" s="1"/>
  <c r="AQ54" i="3" s="1"/>
  <c r="F57" i="3"/>
  <c r="AN41" i="3"/>
  <c r="AM55" i="3"/>
  <c r="AP55" i="3" s="1"/>
  <c r="H5" i="3"/>
  <c r="G32" i="3"/>
  <c r="G48" i="3" s="1"/>
  <c r="F5" i="10"/>
  <c r="G33" i="10"/>
  <c r="H51" i="10"/>
  <c r="H49" i="10"/>
  <c r="H46" i="10"/>
  <c r="H43" i="10"/>
  <c r="H40" i="10"/>
  <c r="H37" i="10"/>
  <c r="F31" i="10"/>
  <c r="H31" i="10" s="1"/>
  <c r="F6" i="10" s="1"/>
  <c r="H6" i="10" s="1"/>
  <c r="F22" i="10"/>
  <c r="H22" i="10" s="1"/>
  <c r="H5" i="10" s="1"/>
  <c r="AP57" i="3" l="1"/>
  <c r="J6" i="3"/>
  <c r="I32" i="3"/>
  <c r="I48" i="3" s="1"/>
  <c r="J5" i="3"/>
  <c r="W49" i="3"/>
  <c r="W57" i="3" s="1"/>
  <c r="X49" i="3"/>
  <c r="X57" i="3" s="1"/>
  <c r="V57" i="3"/>
  <c r="AB32" i="3"/>
  <c r="AB48" i="3" s="1"/>
  <c r="AC5" i="3"/>
  <c r="AC6" i="3"/>
  <c r="AM57" i="3"/>
  <c r="AQ49" i="3"/>
  <c r="AQ57" i="3" s="1"/>
  <c r="F33" i="10"/>
  <c r="H33" i="10" s="1"/>
  <c r="AC32" i="3" l="1"/>
  <c r="AC48" i="3" s="1"/>
  <c r="AD5" i="3"/>
  <c r="AD6" i="3"/>
  <c r="L6" i="3"/>
  <c r="J32" i="3"/>
  <c r="J48" i="3" s="1"/>
  <c r="L5" i="3"/>
  <c r="E5" i="2"/>
  <c r="E42" i="2"/>
  <c r="M6" i="3" l="1"/>
  <c r="M5" i="3"/>
  <c r="L32" i="3"/>
  <c r="L48" i="3" s="1"/>
  <c r="AD32" i="3"/>
  <c r="AD48" i="3" s="1"/>
  <c r="AF5" i="3"/>
  <c r="AF6" i="3"/>
  <c r="F6" i="2"/>
  <c r="G68" i="2"/>
  <c r="H68" i="2" s="1"/>
  <c r="H66" i="2"/>
  <c r="H57" i="2"/>
  <c r="F5" i="2" s="1"/>
  <c r="G6" i="7"/>
  <c r="H6" i="7" s="1"/>
  <c r="G5" i="7"/>
  <c r="H5" i="7" s="1"/>
  <c r="F6" i="7"/>
  <c r="F5" i="7"/>
  <c r="G66" i="7"/>
  <c r="AG5" i="3" l="1"/>
  <c r="AG6" i="3"/>
  <c r="AF32" i="3"/>
  <c r="AF48" i="3" s="1"/>
  <c r="N6" i="3"/>
  <c r="N5" i="3"/>
  <c r="M32" i="3"/>
  <c r="M48" i="3" s="1"/>
  <c r="H66" i="7"/>
  <c r="H64" i="7"/>
  <c r="H55" i="7"/>
  <c r="AH5" i="3" l="1"/>
  <c r="AH6" i="3"/>
  <c r="AG32" i="3"/>
  <c r="AG48" i="3" s="1"/>
  <c r="N32" i="3"/>
  <c r="N48" i="3" s="1"/>
  <c r="O6" i="3"/>
  <c r="O5" i="3"/>
  <c r="E5" i="7"/>
  <c r="E5" i="8"/>
  <c r="E42" i="8"/>
  <c r="AI5" i="3" l="1"/>
  <c r="AI6" i="3"/>
  <c r="AH32" i="3"/>
  <c r="AH48" i="3" s="1"/>
  <c r="P5" i="3"/>
  <c r="O32" i="3"/>
  <c r="O48" i="3" s="1"/>
  <c r="P6" i="3"/>
  <c r="H6" i="8"/>
  <c r="H5" i="8"/>
  <c r="G6" i="8"/>
  <c r="G5" i="8"/>
  <c r="F6" i="8"/>
  <c r="F5" i="8"/>
  <c r="G69" i="8"/>
  <c r="Q6" i="3" l="1"/>
  <c r="Q5" i="3"/>
  <c r="P32" i="3"/>
  <c r="P48" i="3" s="1"/>
  <c r="AJ5" i="3"/>
  <c r="AJ6" i="3"/>
  <c r="AI32" i="3"/>
  <c r="AI48" i="3" s="1"/>
  <c r="H69" i="8"/>
  <c r="H67" i="8"/>
  <c r="H58" i="8"/>
  <c r="R6" i="3" l="1"/>
  <c r="R32" i="3" s="1"/>
  <c r="R48" i="3" s="1"/>
  <c r="R5" i="3"/>
  <c r="Q32" i="3"/>
  <c r="Q48" i="3" s="1"/>
  <c r="AK5" i="3"/>
  <c r="AK6" i="3"/>
  <c r="AJ32" i="3"/>
  <c r="AJ48" i="3" s="1"/>
  <c r="H6" i="9"/>
  <c r="H5" i="9"/>
  <c r="G6" i="9"/>
  <c r="G5" i="9"/>
  <c r="F6" i="9"/>
  <c r="H66" i="9"/>
  <c r="G66" i="9"/>
  <c r="AK32" i="3" l="1"/>
  <c r="AK48" i="3" s="1"/>
  <c r="AL5" i="3"/>
  <c r="AL6" i="3"/>
  <c r="AL32" i="3" s="1"/>
  <c r="AL48" i="3" s="1"/>
  <c r="H64" i="9"/>
  <c r="H55" i="9"/>
  <c r="F55" i="9"/>
  <c r="E5" i="9" l="1"/>
  <c r="E27" i="9"/>
  <c r="E19" i="9"/>
  <c r="E21" i="9" s="1"/>
  <c r="E30" i="9" s="1"/>
  <c r="E34" i="9" s="1"/>
  <c r="E38" i="9" s="1"/>
  <c r="H84" i="9" l="1"/>
  <c r="H82" i="9"/>
  <c r="H79" i="9"/>
  <c r="H76" i="9"/>
  <c r="H73" i="9"/>
  <c r="H70" i="9"/>
  <c r="F64" i="9"/>
  <c r="F66" i="9" s="1"/>
  <c r="F5" i="9" s="1"/>
  <c r="H87" i="8"/>
  <c r="H85" i="8"/>
  <c r="H82" i="8"/>
  <c r="H79" i="8"/>
  <c r="H76" i="8"/>
  <c r="H73" i="8"/>
  <c r="F67" i="8"/>
  <c r="F58" i="8"/>
  <c r="H84" i="7"/>
  <c r="H82" i="7"/>
  <c r="H79" i="7"/>
  <c r="H76" i="7"/>
  <c r="H73" i="7"/>
  <c r="H70" i="7"/>
  <c r="F64" i="7"/>
  <c r="F55" i="7"/>
  <c r="F66" i="7" l="1"/>
  <c r="F69" i="8"/>
  <c r="BE9" i="6"/>
  <c r="AS9" i="6"/>
  <c r="AE9" i="6"/>
  <c r="U9" i="6"/>
  <c r="Y9" i="6" s="1"/>
  <c r="AI9" i="6" s="1"/>
  <c r="AM9" i="6" s="1"/>
  <c r="AW9" i="6" s="1"/>
  <c r="BA9" i="6" s="1"/>
  <c r="BB9" i="6" s="1"/>
  <c r="N9" i="6"/>
  <c r="R9" i="6" s="1"/>
  <c r="AB9" i="6" s="1"/>
  <c r="AF9" i="6" s="1"/>
  <c r="AP9" i="6" s="1"/>
  <c r="AT9" i="6" s="1"/>
  <c r="BD9" i="6" s="1"/>
  <c r="BH9" i="6" s="1"/>
  <c r="BI9" i="6" s="1"/>
  <c r="L9" i="6"/>
  <c r="K9" i="6"/>
  <c r="G9" i="6"/>
  <c r="BE8" i="6"/>
  <c r="N8" i="6"/>
  <c r="R8" i="6" s="1"/>
  <c r="AB8" i="6" s="1"/>
  <c r="AF8" i="6" s="1"/>
  <c r="AP8" i="6" s="1"/>
  <c r="AT8" i="6" s="1"/>
  <c r="BD8" i="6" s="1"/>
  <c r="BH8" i="6" s="1"/>
  <c r="BI8" i="6" s="1"/>
  <c r="G8" i="6"/>
  <c r="K8" i="6" s="1"/>
  <c r="U8" i="6" s="1"/>
  <c r="Y8" i="6" s="1"/>
  <c r="AI8" i="6" s="1"/>
  <c r="AM8" i="6" s="1"/>
  <c r="AW8" i="6" s="1"/>
  <c r="BA8" i="6" s="1"/>
  <c r="BB8" i="6" s="1"/>
  <c r="BE7" i="6"/>
  <c r="AX7" i="6"/>
  <c r="AS7" i="6"/>
  <c r="AL7" i="6"/>
  <c r="AE7" i="6"/>
  <c r="AC7" i="6"/>
  <c r="X7" i="6"/>
  <c r="S7" i="6"/>
  <c r="AG7" i="6" s="1"/>
  <c r="AU7" i="6" s="1"/>
  <c r="R7" i="6"/>
  <c r="N7" i="6"/>
  <c r="G7" i="6"/>
  <c r="K7" i="6" s="1"/>
  <c r="U7" i="6" l="1"/>
  <c r="Y7" i="6" s="1"/>
  <c r="K10" i="6"/>
  <c r="R10" i="6"/>
  <c r="L8" i="6"/>
  <c r="L7" i="6"/>
  <c r="Z7" i="6" s="1"/>
  <c r="AN7" i="6" s="1"/>
  <c r="AB7" i="6"/>
  <c r="AF7" i="6" s="1"/>
  <c r="Y10" i="6" l="1"/>
  <c r="AI7" i="6"/>
  <c r="AM7" i="6" s="1"/>
  <c r="AF10" i="6"/>
  <c r="AP7" i="6"/>
  <c r="AT7" i="6" s="1"/>
  <c r="AM10" i="6" l="1"/>
  <c r="AW7" i="6"/>
  <c r="BA7" i="6" s="1"/>
  <c r="AT10" i="6"/>
  <c r="BD7" i="6"/>
  <c r="BH7" i="6" s="1"/>
  <c r="BA10" i="6" l="1"/>
  <c r="BB7" i="6"/>
  <c r="BH10" i="6"/>
  <c r="BI7" i="6"/>
  <c r="W68" i="5" l="1"/>
  <c r="T67" i="5"/>
  <c r="F66" i="5"/>
  <c r="E66" i="5"/>
  <c r="D66" i="5"/>
  <c r="S65" i="5"/>
  <c r="R65" i="5"/>
  <c r="L65" i="5"/>
  <c r="I65" i="5"/>
  <c r="H65" i="5"/>
  <c r="G65" i="5"/>
  <c r="C65" i="5"/>
  <c r="S64" i="5"/>
  <c r="R64" i="5"/>
  <c r="I64" i="5"/>
  <c r="H64" i="5"/>
  <c r="C64" i="5"/>
  <c r="G64" i="5" s="1"/>
  <c r="S63" i="5"/>
  <c r="R63" i="5"/>
  <c r="L63" i="5"/>
  <c r="K63" i="5"/>
  <c r="L64" i="5" s="1"/>
  <c r="I63" i="5"/>
  <c r="H63" i="5"/>
  <c r="C63" i="5"/>
  <c r="G63" i="5" s="1"/>
  <c r="S62" i="5"/>
  <c r="R62" i="5"/>
  <c r="L62" i="5"/>
  <c r="I62" i="5"/>
  <c r="H62" i="5"/>
  <c r="G62" i="5"/>
  <c r="C62" i="5"/>
  <c r="S61" i="5"/>
  <c r="R61" i="5"/>
  <c r="I61" i="5"/>
  <c r="H61" i="5"/>
  <c r="G61" i="5"/>
  <c r="C61" i="5"/>
  <c r="S60" i="5"/>
  <c r="R60" i="5"/>
  <c r="K60" i="5"/>
  <c r="I60" i="5"/>
  <c r="H60" i="5"/>
  <c r="G60" i="5"/>
  <c r="C60" i="5"/>
  <c r="S59" i="5"/>
  <c r="R59" i="5"/>
  <c r="L59" i="5"/>
  <c r="K59" i="5"/>
  <c r="L60" i="5" s="1"/>
  <c r="I59" i="5"/>
  <c r="H59" i="5"/>
  <c r="G59" i="5"/>
  <c r="C59" i="5"/>
  <c r="S58" i="5"/>
  <c r="R58" i="5"/>
  <c r="I58" i="5"/>
  <c r="H58" i="5"/>
  <c r="C58" i="5"/>
  <c r="G58" i="5" s="1"/>
  <c r="S57" i="5"/>
  <c r="R57" i="5"/>
  <c r="L57" i="5"/>
  <c r="K57" i="5"/>
  <c r="L58" i="5" s="1"/>
  <c r="I57" i="5"/>
  <c r="H57" i="5"/>
  <c r="C57" i="5"/>
  <c r="G57" i="5" s="1"/>
  <c r="S56" i="5"/>
  <c r="R56" i="5"/>
  <c r="L56" i="5"/>
  <c r="I56" i="5"/>
  <c r="H56" i="5"/>
  <c r="C56" i="5"/>
  <c r="G56" i="5" s="1"/>
  <c r="S55" i="5"/>
  <c r="R55" i="5"/>
  <c r="L55" i="5"/>
  <c r="K55" i="5"/>
  <c r="I55" i="5"/>
  <c r="H55" i="5"/>
  <c r="G55" i="5"/>
  <c r="C55" i="5"/>
  <c r="S54" i="5"/>
  <c r="R54" i="5"/>
  <c r="I54" i="5"/>
  <c r="H54" i="5"/>
  <c r="G54" i="5"/>
  <c r="C54" i="5"/>
  <c r="C66" i="5" s="1"/>
  <c r="R67" i="5" s="1"/>
  <c r="I49" i="5"/>
  <c r="H49" i="5"/>
  <c r="F49" i="5"/>
  <c r="T50" i="5" s="1"/>
  <c r="E49" i="5"/>
  <c r="D49" i="5"/>
  <c r="S48" i="5"/>
  <c r="R48" i="5"/>
  <c r="L48" i="5"/>
  <c r="K48" i="5"/>
  <c r="J48" i="5"/>
  <c r="O48" i="5" s="1"/>
  <c r="G48" i="5"/>
  <c r="C48" i="5"/>
  <c r="S47" i="5"/>
  <c r="R47" i="5"/>
  <c r="L47" i="5"/>
  <c r="J47" i="5"/>
  <c r="O47" i="5" s="1"/>
  <c r="G47" i="5"/>
  <c r="C47" i="5"/>
  <c r="S46" i="5"/>
  <c r="R46" i="5"/>
  <c r="L46" i="5"/>
  <c r="C46" i="5"/>
  <c r="G46" i="5" s="1"/>
  <c r="J46" i="5" s="1"/>
  <c r="S45" i="5"/>
  <c r="R45" i="5"/>
  <c r="T45" i="5" s="1"/>
  <c r="L45" i="5"/>
  <c r="G45" i="5"/>
  <c r="J45" i="5" s="1"/>
  <c r="C45" i="5"/>
  <c r="S44" i="5"/>
  <c r="R44" i="5"/>
  <c r="L44" i="5"/>
  <c r="C44" i="5"/>
  <c r="G44" i="5" s="1"/>
  <c r="J44" i="5" s="1"/>
  <c r="S43" i="5"/>
  <c r="R43" i="5"/>
  <c r="L43" i="5"/>
  <c r="G43" i="5"/>
  <c r="J43" i="5" s="1"/>
  <c r="C43" i="5"/>
  <c r="S42" i="5"/>
  <c r="R42" i="5"/>
  <c r="L42" i="5"/>
  <c r="C42" i="5"/>
  <c r="G42" i="5" s="1"/>
  <c r="J42" i="5" s="1"/>
  <c r="S41" i="5"/>
  <c r="R41" i="5"/>
  <c r="L41" i="5"/>
  <c r="G41" i="5"/>
  <c r="J41" i="5" s="1"/>
  <c r="C41" i="5"/>
  <c r="S40" i="5"/>
  <c r="R40" i="5"/>
  <c r="L40" i="5"/>
  <c r="J40" i="5"/>
  <c r="O40" i="5" s="1"/>
  <c r="G40" i="5"/>
  <c r="C40" i="5"/>
  <c r="S39" i="5"/>
  <c r="R39" i="5"/>
  <c r="L39" i="5"/>
  <c r="C39" i="5"/>
  <c r="G39" i="5" s="1"/>
  <c r="J39" i="5" s="1"/>
  <c r="S38" i="5"/>
  <c r="R38" i="5"/>
  <c r="L38" i="5"/>
  <c r="C38" i="5"/>
  <c r="G38" i="5" s="1"/>
  <c r="J38" i="5" s="1"/>
  <c r="S37" i="5"/>
  <c r="R37" i="5"/>
  <c r="C37" i="5"/>
  <c r="C49" i="5" s="1"/>
  <c r="R50" i="5" s="1"/>
  <c r="W35" i="5"/>
  <c r="W51" i="5" s="1"/>
  <c r="W34" i="5"/>
  <c r="W50" i="5" s="1"/>
  <c r="T34" i="5"/>
  <c r="I33" i="5"/>
  <c r="H33" i="5"/>
  <c r="F33" i="5"/>
  <c r="E33" i="5"/>
  <c r="D33" i="5"/>
  <c r="S32" i="5"/>
  <c r="R32" i="5"/>
  <c r="T32" i="5" s="1"/>
  <c r="L32" i="5"/>
  <c r="J32" i="5"/>
  <c r="O32" i="5" s="1"/>
  <c r="G32" i="5"/>
  <c r="C32" i="5"/>
  <c r="S31" i="5"/>
  <c r="R31" i="5"/>
  <c r="L31" i="5"/>
  <c r="C31" i="5"/>
  <c r="G31" i="5" s="1"/>
  <c r="J31" i="5" s="1"/>
  <c r="S30" i="5"/>
  <c r="R30" i="5"/>
  <c r="L30" i="5"/>
  <c r="G30" i="5"/>
  <c r="J30" i="5" s="1"/>
  <c r="C30" i="5"/>
  <c r="S29" i="5"/>
  <c r="R29" i="5"/>
  <c r="L29" i="5"/>
  <c r="C29" i="5"/>
  <c r="G29" i="5" s="1"/>
  <c r="J29" i="5" s="1"/>
  <c r="S28" i="5"/>
  <c r="R28" i="5"/>
  <c r="L28" i="5"/>
  <c r="G28" i="5"/>
  <c r="J28" i="5" s="1"/>
  <c r="C28" i="5"/>
  <c r="S27" i="5"/>
  <c r="R27" i="5"/>
  <c r="L27" i="5"/>
  <c r="C27" i="5"/>
  <c r="G27" i="5" s="1"/>
  <c r="J27" i="5" s="1"/>
  <c r="S26" i="5"/>
  <c r="R26" i="5"/>
  <c r="L26" i="5"/>
  <c r="G26" i="5"/>
  <c r="J26" i="5" s="1"/>
  <c r="C26" i="5"/>
  <c r="S25" i="5"/>
  <c r="R25" i="5"/>
  <c r="O25" i="5"/>
  <c r="L25" i="5"/>
  <c r="J25" i="5"/>
  <c r="U25" i="5" s="1"/>
  <c r="G25" i="5"/>
  <c r="C25" i="5"/>
  <c r="S24" i="5"/>
  <c r="R24" i="5"/>
  <c r="T24" i="5" s="1"/>
  <c r="L24" i="5"/>
  <c r="C24" i="5"/>
  <c r="G24" i="5" s="1"/>
  <c r="J24" i="5" s="1"/>
  <c r="S23" i="5"/>
  <c r="R23" i="5"/>
  <c r="L23" i="5"/>
  <c r="C23" i="5"/>
  <c r="G23" i="5" s="1"/>
  <c r="J23" i="5" s="1"/>
  <c r="S22" i="5"/>
  <c r="R22" i="5"/>
  <c r="T22" i="5" s="1"/>
  <c r="L22" i="5"/>
  <c r="G22" i="5"/>
  <c r="J22" i="5" s="1"/>
  <c r="C22" i="5"/>
  <c r="S21" i="5"/>
  <c r="R21" i="5"/>
  <c r="G21" i="5"/>
  <c r="C21" i="5"/>
  <c r="C33" i="5" s="1"/>
  <c r="R34" i="5" s="1"/>
  <c r="T18" i="5"/>
  <c r="I17" i="5"/>
  <c r="H17" i="5"/>
  <c r="F17" i="5"/>
  <c r="E17" i="5"/>
  <c r="D17" i="5"/>
  <c r="S16" i="5"/>
  <c r="R16" i="5"/>
  <c r="L16" i="5"/>
  <c r="G16" i="5"/>
  <c r="J16" i="5" s="1"/>
  <c r="O16" i="5" s="1"/>
  <c r="C16" i="5"/>
  <c r="S15" i="5"/>
  <c r="R15" i="5"/>
  <c r="L15" i="5"/>
  <c r="G15" i="5"/>
  <c r="J15" i="5" s="1"/>
  <c r="O15" i="5" s="1"/>
  <c r="C15" i="5"/>
  <c r="S14" i="5"/>
  <c r="R14" i="5"/>
  <c r="L14" i="5"/>
  <c r="G14" i="5"/>
  <c r="J14" i="5" s="1"/>
  <c r="O14" i="5" s="1"/>
  <c r="C14" i="5"/>
  <c r="S13" i="5"/>
  <c r="R13" i="5"/>
  <c r="L13" i="5"/>
  <c r="G13" i="5"/>
  <c r="J13" i="5" s="1"/>
  <c r="O13" i="5" s="1"/>
  <c r="C13" i="5"/>
  <c r="S12" i="5"/>
  <c r="R12" i="5"/>
  <c r="L12" i="5"/>
  <c r="C12" i="5"/>
  <c r="G12" i="5" s="1"/>
  <c r="J12" i="5" s="1"/>
  <c r="O12" i="5" s="1"/>
  <c r="S11" i="5"/>
  <c r="R11" i="5"/>
  <c r="L11" i="5"/>
  <c r="C11" i="5"/>
  <c r="G11" i="5" s="1"/>
  <c r="J11" i="5" s="1"/>
  <c r="O11" i="5" s="1"/>
  <c r="S10" i="5"/>
  <c r="R10" i="5"/>
  <c r="L10" i="5"/>
  <c r="C10" i="5"/>
  <c r="G10" i="5" s="1"/>
  <c r="J10" i="5" s="1"/>
  <c r="O10" i="5" s="1"/>
  <c r="S9" i="5"/>
  <c r="R9" i="5"/>
  <c r="L9" i="5"/>
  <c r="K9" i="5"/>
  <c r="G9" i="5"/>
  <c r="J9" i="5" s="1"/>
  <c r="O9" i="5" s="1"/>
  <c r="C9" i="5"/>
  <c r="S8" i="5"/>
  <c r="R8" i="5"/>
  <c r="L8" i="5"/>
  <c r="G8" i="5"/>
  <c r="J8" i="5" s="1"/>
  <c r="O8" i="5" s="1"/>
  <c r="C8" i="5"/>
  <c r="S7" i="5"/>
  <c r="R7" i="5"/>
  <c r="L7" i="5"/>
  <c r="G7" i="5"/>
  <c r="J7" i="5" s="1"/>
  <c r="O7" i="5" s="1"/>
  <c r="C7" i="5"/>
  <c r="S6" i="5"/>
  <c r="R6" i="5"/>
  <c r="L6" i="5"/>
  <c r="G6" i="5"/>
  <c r="J6" i="5" s="1"/>
  <c r="O6" i="5" s="1"/>
  <c r="C6" i="5"/>
  <c r="S5" i="5"/>
  <c r="R5" i="5"/>
  <c r="C5" i="5"/>
  <c r="G5" i="5" s="1"/>
  <c r="T61" i="5" l="1"/>
  <c r="T10" i="5"/>
  <c r="T12" i="5"/>
  <c r="T41" i="5"/>
  <c r="T58" i="5"/>
  <c r="T59" i="5"/>
  <c r="T64" i="5"/>
  <c r="T13" i="5"/>
  <c r="J63" i="5"/>
  <c r="O63" i="5" s="1"/>
  <c r="T60" i="5"/>
  <c r="T65" i="5"/>
  <c r="T30" i="5"/>
  <c r="T27" i="5"/>
  <c r="T46" i="5"/>
  <c r="T54" i="5"/>
  <c r="J56" i="5"/>
  <c r="O56" i="5" s="1"/>
  <c r="T25" i="5"/>
  <c r="T6" i="5"/>
  <c r="T9" i="5"/>
  <c r="T11" i="5"/>
  <c r="T16" i="5"/>
  <c r="T29" i="5"/>
  <c r="T31" i="5"/>
  <c r="T37" i="5"/>
  <c r="T39" i="5"/>
  <c r="T44" i="5"/>
  <c r="T55" i="5"/>
  <c r="T43" i="5"/>
  <c r="T40" i="5"/>
  <c r="T15" i="5"/>
  <c r="T26" i="5"/>
  <c r="T42" i="5"/>
  <c r="T47" i="5"/>
  <c r="T57" i="5"/>
  <c r="J59" i="5"/>
  <c r="U59" i="5" s="1"/>
  <c r="J60" i="5"/>
  <c r="O60" i="5" s="1"/>
  <c r="T7" i="5"/>
  <c r="T28" i="5"/>
  <c r="S49" i="5"/>
  <c r="J55" i="5"/>
  <c r="O55" i="5" s="1"/>
  <c r="J62" i="5"/>
  <c r="U62" i="5" s="1"/>
  <c r="T8" i="5"/>
  <c r="T21" i="5"/>
  <c r="T48" i="5"/>
  <c r="J54" i="5"/>
  <c r="U54" i="5" s="1"/>
  <c r="J61" i="5"/>
  <c r="U61" i="5" s="1"/>
  <c r="S17" i="5"/>
  <c r="T56" i="5"/>
  <c r="T63" i="5"/>
  <c r="J65" i="5"/>
  <c r="U65" i="5" s="1"/>
  <c r="R17" i="5"/>
  <c r="R19" i="5" s="1"/>
  <c r="I66" i="5"/>
  <c r="T23" i="5"/>
  <c r="T38" i="5"/>
  <c r="R66" i="5"/>
  <c r="R68" i="5" s="1"/>
  <c r="J58" i="5"/>
  <c r="U58" i="5" s="1"/>
  <c r="T62" i="5"/>
  <c r="S33" i="5"/>
  <c r="H66" i="5"/>
  <c r="T14" i="5"/>
  <c r="S66" i="5"/>
  <c r="J57" i="5"/>
  <c r="U57" i="5" s="1"/>
  <c r="J64" i="5"/>
  <c r="U64" i="5" s="1"/>
  <c r="O24" i="5"/>
  <c r="U24" i="5"/>
  <c r="O42" i="5"/>
  <c r="U42" i="5"/>
  <c r="G33" i="5"/>
  <c r="S34" i="5" s="1"/>
  <c r="U44" i="5"/>
  <c r="O44" i="5"/>
  <c r="O39" i="5"/>
  <c r="U39" i="5"/>
  <c r="U45" i="5"/>
  <c r="O45" i="5"/>
  <c r="U27" i="5"/>
  <c r="O27" i="5"/>
  <c r="G17" i="5"/>
  <c r="S18" i="5" s="1"/>
  <c r="J5" i="5"/>
  <c r="U38" i="5"/>
  <c r="O38" i="5"/>
  <c r="O41" i="5"/>
  <c r="U41" i="5"/>
  <c r="O26" i="5"/>
  <c r="U26" i="5"/>
  <c r="O31" i="5"/>
  <c r="U31" i="5"/>
  <c r="U43" i="5"/>
  <c r="O43" i="5"/>
  <c r="U30" i="5"/>
  <c r="O30" i="5"/>
  <c r="U23" i="5"/>
  <c r="O23" i="5"/>
  <c r="U29" i="5"/>
  <c r="O29" i="5"/>
  <c r="U46" i="5"/>
  <c r="O46" i="5"/>
  <c r="U22" i="5"/>
  <c r="O22" i="5"/>
  <c r="U28" i="5"/>
  <c r="O28" i="5"/>
  <c r="F68" i="5"/>
  <c r="W67" i="5"/>
  <c r="T5" i="5"/>
  <c r="J21" i="5"/>
  <c r="U32" i="5"/>
  <c r="G37" i="5"/>
  <c r="U47" i="5"/>
  <c r="R33" i="5"/>
  <c r="R35" i="5" s="1"/>
  <c r="U40" i="5"/>
  <c r="C17" i="5"/>
  <c r="R18" i="5" s="1"/>
  <c r="U48" i="5"/>
  <c r="R49" i="5"/>
  <c r="R51" i="5" s="1"/>
  <c r="G66" i="5"/>
  <c r="U63" i="5" l="1"/>
  <c r="T33" i="5"/>
  <c r="T35" i="5" s="1"/>
  <c r="U56" i="5"/>
  <c r="O58" i="5"/>
  <c r="U60" i="5"/>
  <c r="O59" i="5"/>
  <c r="O64" i="5"/>
  <c r="T66" i="5"/>
  <c r="T68" i="5" s="1"/>
  <c r="O68" i="5" s="1"/>
  <c r="O54" i="5"/>
  <c r="S35" i="5"/>
  <c r="X34" i="5" s="1"/>
  <c r="X35" i="5" s="1"/>
  <c r="O65" i="5"/>
  <c r="T49" i="5"/>
  <c r="T51" i="5" s="1"/>
  <c r="O62" i="5"/>
  <c r="U55" i="5"/>
  <c r="T17" i="5"/>
  <c r="T19" i="5" s="1"/>
  <c r="O57" i="5"/>
  <c r="O61" i="5"/>
  <c r="J66" i="5"/>
  <c r="J68" i="5" s="1"/>
  <c r="S19" i="5"/>
  <c r="X18" i="5" s="1"/>
  <c r="X19" i="5" s="1"/>
  <c r="O35" i="5"/>
  <c r="J37" i="5"/>
  <c r="G49" i="5"/>
  <c r="S50" i="5" s="1"/>
  <c r="S51" i="5" s="1"/>
  <c r="X50" i="5" s="1"/>
  <c r="X51" i="5" s="1"/>
  <c r="U21" i="5"/>
  <c r="O21" i="5"/>
  <c r="J33" i="5"/>
  <c r="S67" i="5"/>
  <c r="S68" i="5" s="1"/>
  <c r="X67" i="5" s="1"/>
  <c r="X68" i="5" s="1"/>
  <c r="O5" i="5"/>
  <c r="J17" i="5"/>
  <c r="O19" i="5" l="1"/>
  <c r="O51" i="5"/>
  <c r="U37" i="5"/>
  <c r="J49" i="5"/>
  <c r="J51" i="5" s="1"/>
  <c r="O37" i="5"/>
  <c r="AB18" i="4" l="1"/>
  <c r="AA18" i="4"/>
  <c r="AC18" i="4" s="1"/>
  <c r="T18" i="4"/>
  <c r="S18" i="4"/>
  <c r="U18" i="4" s="1"/>
  <c r="L18" i="4"/>
  <c r="K18" i="4"/>
  <c r="M18" i="4" s="1"/>
  <c r="D18" i="4"/>
  <c r="C18" i="4"/>
  <c r="E18" i="4" s="1"/>
  <c r="AC17" i="4"/>
  <c r="U17" i="4"/>
  <c r="M17" i="4"/>
  <c r="E17" i="4"/>
  <c r="AC16" i="4"/>
  <c r="U16" i="4"/>
  <c r="M16" i="4"/>
  <c r="E16" i="4"/>
  <c r="AC15" i="4"/>
  <c r="U15" i="4"/>
  <c r="M15" i="4"/>
  <c r="E15" i="4"/>
  <c r="AC14" i="4"/>
  <c r="U14" i="4"/>
  <c r="M14" i="4"/>
  <c r="E14" i="4"/>
  <c r="AC13" i="4"/>
  <c r="U13" i="4"/>
  <c r="M13" i="4"/>
  <c r="E13" i="4"/>
  <c r="AC12" i="4"/>
  <c r="U12" i="4"/>
  <c r="M12" i="4"/>
  <c r="E12" i="4"/>
  <c r="AC11" i="4"/>
  <c r="U11" i="4"/>
  <c r="M11" i="4"/>
  <c r="E11" i="4"/>
  <c r="AC10" i="4"/>
  <c r="U10" i="4"/>
  <c r="M10" i="4"/>
  <c r="E10" i="4"/>
  <c r="AC9" i="4"/>
  <c r="U9" i="4"/>
  <c r="M9" i="4"/>
  <c r="E9" i="4"/>
  <c r="AC8" i="4"/>
  <c r="U8" i="4"/>
  <c r="M8" i="4"/>
  <c r="E8" i="4"/>
  <c r="AC7" i="4"/>
  <c r="U7" i="4"/>
  <c r="M7" i="4"/>
  <c r="E7" i="4"/>
  <c r="F13" i="4" s="1"/>
  <c r="I13" i="4" s="1"/>
  <c r="AC6" i="4"/>
  <c r="U6" i="4"/>
  <c r="M6" i="4"/>
  <c r="E6" i="4"/>
  <c r="F16" i="4" s="1"/>
  <c r="I16" i="4" s="1"/>
  <c r="V17" i="4" l="1"/>
  <c r="Y17" i="4" s="1"/>
  <c r="V15" i="4"/>
  <c r="Y15" i="4" s="1"/>
  <c r="V13" i="4"/>
  <c r="Y13" i="4" s="1"/>
  <c r="V6" i="4"/>
  <c r="Y6" i="4" s="1"/>
  <c r="V9" i="4"/>
  <c r="Y9" i="4" s="1"/>
  <c r="V16" i="4"/>
  <c r="Y16" i="4" s="1"/>
  <c r="V14" i="4"/>
  <c r="Y14" i="4" s="1"/>
  <c r="V12" i="4"/>
  <c r="Y12" i="4" s="1"/>
  <c r="V10" i="4"/>
  <c r="Y10" i="4" s="1"/>
  <c r="V8" i="4"/>
  <c r="Y8" i="4" s="1"/>
  <c r="V11" i="4"/>
  <c r="Y11" i="4" s="1"/>
  <c r="V7" i="4"/>
  <c r="Y7" i="4" s="1"/>
  <c r="AD16" i="4"/>
  <c r="AG16" i="4" s="1"/>
  <c r="AD14" i="4"/>
  <c r="AG14" i="4" s="1"/>
  <c r="AD12" i="4"/>
  <c r="AG12" i="4" s="1"/>
  <c r="AD10" i="4"/>
  <c r="AG10" i="4" s="1"/>
  <c r="AD8" i="4"/>
  <c r="AG8" i="4" s="1"/>
  <c r="AD6" i="4"/>
  <c r="AG6" i="4" s="1"/>
  <c r="AD17" i="4"/>
  <c r="AG17" i="4" s="1"/>
  <c r="AD13" i="4"/>
  <c r="AG13" i="4" s="1"/>
  <c r="AD11" i="4"/>
  <c r="AG11" i="4" s="1"/>
  <c r="AD9" i="4"/>
  <c r="AG9" i="4" s="1"/>
  <c r="AD7" i="4"/>
  <c r="AG7" i="4" s="1"/>
  <c r="AD15" i="4"/>
  <c r="AG15" i="4" s="1"/>
  <c r="F11" i="4"/>
  <c r="I11" i="4" s="1"/>
  <c r="F7" i="4"/>
  <c r="I7" i="4" s="1"/>
  <c r="F17" i="4"/>
  <c r="F9" i="4"/>
  <c r="I9" i="4" s="1"/>
  <c r="F15" i="4"/>
  <c r="I15" i="4" s="1"/>
  <c r="F6" i="4"/>
  <c r="I6" i="4" s="1"/>
  <c r="F8" i="4"/>
  <c r="I8" i="4" s="1"/>
  <c r="F10" i="4"/>
  <c r="I10" i="4" s="1"/>
  <c r="F12" i="4"/>
  <c r="I12" i="4" s="1"/>
  <c r="F14" i="4"/>
  <c r="I14" i="4" s="1"/>
  <c r="Y18" i="4" l="1"/>
  <c r="N12" i="4"/>
  <c r="Q12" i="4" s="1"/>
  <c r="N6" i="4"/>
  <c r="Q6" i="4" s="1"/>
  <c r="N9" i="4"/>
  <c r="Q9" i="4" s="1"/>
  <c r="I17" i="4"/>
  <c r="I18" i="4" s="1"/>
  <c r="N10" i="4"/>
  <c r="Q10" i="4" s="1"/>
  <c r="N17" i="4"/>
  <c r="Q17" i="4" s="1"/>
  <c r="N15" i="4"/>
  <c r="Q15" i="4" s="1"/>
  <c r="N13" i="4"/>
  <c r="Q13" i="4" s="1"/>
  <c r="N11" i="4"/>
  <c r="Q11" i="4" s="1"/>
  <c r="N7" i="4"/>
  <c r="Q7" i="4" s="1"/>
  <c r="N16" i="4"/>
  <c r="Q16" i="4" s="1"/>
  <c r="N8" i="4"/>
  <c r="Q8" i="4" s="1"/>
  <c r="N14" i="4"/>
  <c r="Q14" i="4" s="1"/>
  <c r="AG18" i="4"/>
  <c r="D21" i="4" l="1"/>
  <c r="D24" i="4" s="1"/>
  <c r="E25" i="4" s="1"/>
  <c r="Q18" i="4"/>
  <c r="BS57" i="3" l="1"/>
  <c r="AY57" i="3"/>
  <c r="AS57" i="3"/>
  <c r="CC56" i="3"/>
  <c r="BZ56" i="3"/>
  <c r="BY56" i="3"/>
  <c r="BX56" i="3"/>
  <c r="BW56" i="3"/>
  <c r="BV56" i="3"/>
  <c r="BU56" i="3"/>
  <c r="BT56" i="3"/>
  <c r="BR56" i="3"/>
  <c r="BQ56" i="3"/>
  <c r="BP56" i="3"/>
  <c r="BO56" i="3"/>
  <c r="BN56" i="3"/>
  <c r="BI56" i="3"/>
  <c r="BH56" i="3"/>
  <c r="BF56" i="3"/>
  <c r="BE56" i="3"/>
  <c r="BD56" i="3"/>
  <c r="BC56" i="3"/>
  <c r="BB56" i="3"/>
  <c r="BA56" i="3"/>
  <c r="AZ56" i="3"/>
  <c r="AX56" i="3"/>
  <c r="AW56" i="3"/>
  <c r="AV56" i="3"/>
  <c r="AU56" i="3"/>
  <c r="AT56" i="3"/>
  <c r="CC55" i="3"/>
  <c r="BZ55" i="3"/>
  <c r="BY55" i="3"/>
  <c r="BX55" i="3"/>
  <c r="BW55" i="3"/>
  <c r="BV55" i="3"/>
  <c r="BU55" i="3"/>
  <c r="BT55" i="3"/>
  <c r="BR55" i="3"/>
  <c r="BQ55" i="3"/>
  <c r="BP55" i="3"/>
  <c r="BO55" i="3"/>
  <c r="BN55" i="3"/>
  <c r="BI55" i="3"/>
  <c r="BH55" i="3"/>
  <c r="BF55" i="3"/>
  <c r="BE55" i="3"/>
  <c r="BD55" i="3"/>
  <c r="BC55" i="3"/>
  <c r="BB55" i="3"/>
  <c r="BA55" i="3"/>
  <c r="AZ55" i="3"/>
  <c r="AX55" i="3"/>
  <c r="AW55" i="3"/>
  <c r="AV55" i="3"/>
  <c r="AU55" i="3"/>
  <c r="AT55" i="3"/>
  <c r="CC54" i="3"/>
  <c r="BZ54" i="3"/>
  <c r="BY54" i="3"/>
  <c r="BX54" i="3"/>
  <c r="BW54" i="3"/>
  <c r="BV54" i="3"/>
  <c r="BU54" i="3"/>
  <c r="BT54" i="3"/>
  <c r="BR54" i="3"/>
  <c r="BQ54" i="3"/>
  <c r="BP54" i="3"/>
  <c r="BO54" i="3"/>
  <c r="BN54" i="3"/>
  <c r="BI54" i="3"/>
  <c r="BH54" i="3"/>
  <c r="BF54" i="3"/>
  <c r="BE54" i="3"/>
  <c r="BD54" i="3"/>
  <c r="BC54" i="3"/>
  <c r="BB54" i="3"/>
  <c r="BA54" i="3"/>
  <c r="AZ54" i="3"/>
  <c r="AX54" i="3"/>
  <c r="AW54" i="3"/>
  <c r="AV54" i="3"/>
  <c r="AU54" i="3"/>
  <c r="AT54" i="3"/>
  <c r="CC53" i="3"/>
  <c r="BZ53" i="3"/>
  <c r="BY53" i="3"/>
  <c r="BX53" i="3"/>
  <c r="BW53" i="3"/>
  <c r="BV53" i="3"/>
  <c r="BU53" i="3"/>
  <c r="BT53" i="3"/>
  <c r="BR53" i="3"/>
  <c r="BQ53" i="3"/>
  <c r="BP53" i="3"/>
  <c r="BO53" i="3"/>
  <c r="BN53" i="3"/>
  <c r="BI53" i="3"/>
  <c r="BH53" i="3"/>
  <c r="BF53" i="3"/>
  <c r="BE53" i="3"/>
  <c r="BD53" i="3"/>
  <c r="BC53" i="3"/>
  <c r="BB53" i="3"/>
  <c r="BA53" i="3"/>
  <c r="AZ53" i="3"/>
  <c r="AX53" i="3"/>
  <c r="AW53" i="3"/>
  <c r="AV53" i="3"/>
  <c r="AU53" i="3"/>
  <c r="AT53" i="3"/>
  <c r="CC52" i="3"/>
  <c r="BZ52" i="3"/>
  <c r="BY52" i="3"/>
  <c r="BX52" i="3"/>
  <c r="BW52" i="3"/>
  <c r="BV52" i="3"/>
  <c r="BU52" i="3"/>
  <c r="BT52" i="3"/>
  <c r="BR52" i="3"/>
  <c r="BQ52" i="3"/>
  <c r="BP52" i="3"/>
  <c r="BO52" i="3"/>
  <c r="BN52" i="3"/>
  <c r="BI52" i="3"/>
  <c r="BH52" i="3"/>
  <c r="BA52" i="3"/>
  <c r="AZ52" i="3"/>
  <c r="AX52" i="3"/>
  <c r="AW52" i="3"/>
  <c r="AV52" i="3"/>
  <c r="AU52" i="3"/>
  <c r="AT52" i="3"/>
  <c r="CC51" i="3"/>
  <c r="BZ51" i="3"/>
  <c r="BY51" i="3"/>
  <c r="BX51" i="3"/>
  <c r="BW51" i="3"/>
  <c r="BV51" i="3"/>
  <c r="BU51" i="3"/>
  <c r="BT51" i="3"/>
  <c r="BR51" i="3"/>
  <c r="BQ51" i="3"/>
  <c r="BP51" i="3"/>
  <c r="BO51" i="3"/>
  <c r="BN51" i="3"/>
  <c r="BI51" i="3"/>
  <c r="BH51" i="3"/>
  <c r="BF51" i="3"/>
  <c r="BE51" i="3"/>
  <c r="BD51" i="3"/>
  <c r="BC51" i="3"/>
  <c r="BB51" i="3"/>
  <c r="BA51" i="3"/>
  <c r="AZ51" i="3"/>
  <c r="AX51" i="3"/>
  <c r="AW51" i="3"/>
  <c r="AV51" i="3"/>
  <c r="AU51" i="3"/>
  <c r="AT51" i="3"/>
  <c r="CC50" i="3"/>
  <c r="BZ50" i="3"/>
  <c r="BY50" i="3"/>
  <c r="BX50" i="3"/>
  <c r="BW50" i="3"/>
  <c r="BV50" i="3"/>
  <c r="BU50" i="3"/>
  <c r="BT50" i="3"/>
  <c r="BR50" i="3"/>
  <c r="BQ50" i="3"/>
  <c r="BP50" i="3"/>
  <c r="BO50" i="3"/>
  <c r="BN50" i="3"/>
  <c r="BI50" i="3"/>
  <c r="BH50" i="3"/>
  <c r="BF50" i="3"/>
  <c r="BE50" i="3"/>
  <c r="BD50" i="3"/>
  <c r="BC50" i="3"/>
  <c r="BB50" i="3"/>
  <c r="BA50" i="3"/>
  <c r="AZ50" i="3"/>
  <c r="AX50" i="3"/>
  <c r="AW50" i="3"/>
  <c r="AV50" i="3"/>
  <c r="AU50" i="3"/>
  <c r="AT50" i="3"/>
  <c r="CC49" i="3"/>
  <c r="BZ49" i="3"/>
  <c r="BY49" i="3"/>
  <c r="BY57" i="3" s="1"/>
  <c r="BX49" i="3"/>
  <c r="BW49" i="3"/>
  <c r="BV49" i="3"/>
  <c r="BU49" i="3"/>
  <c r="BT49" i="3"/>
  <c r="BR49" i="3"/>
  <c r="BQ49" i="3"/>
  <c r="BP49" i="3"/>
  <c r="BP57" i="3" s="1"/>
  <c r="BO49" i="3"/>
  <c r="BN49" i="3"/>
  <c r="BI49" i="3"/>
  <c r="BH49" i="3"/>
  <c r="BF49" i="3"/>
  <c r="BE49" i="3"/>
  <c r="BE57" i="3" s="1"/>
  <c r="BD49" i="3"/>
  <c r="BC49" i="3"/>
  <c r="BC57" i="3" s="1"/>
  <c r="BB49" i="3"/>
  <c r="BA49" i="3"/>
  <c r="AZ49" i="3"/>
  <c r="AX49" i="3"/>
  <c r="AW49" i="3"/>
  <c r="AV49" i="3"/>
  <c r="AV57" i="3" s="1"/>
  <c r="AU49" i="3"/>
  <c r="AT49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F41" i="3"/>
  <c r="BF43" i="3" s="1"/>
  <c r="BE41" i="3"/>
  <c r="BE43" i="3" s="1"/>
  <c r="BD41" i="3"/>
  <c r="BD43" i="3" s="1"/>
  <c r="BC41" i="3"/>
  <c r="BC43" i="3" s="1"/>
  <c r="BB41" i="3"/>
  <c r="BB43" i="3" s="1"/>
  <c r="BA41" i="3"/>
  <c r="BA43" i="3" s="1"/>
  <c r="AZ41" i="3"/>
  <c r="AZ43" i="3" s="1"/>
  <c r="AY41" i="3"/>
  <c r="AY43" i="3" s="1"/>
  <c r="AX41" i="3"/>
  <c r="AX43" i="3" s="1"/>
  <c r="AW41" i="3"/>
  <c r="AW43" i="3" s="1"/>
  <c r="AV41" i="3"/>
  <c r="AV43" i="3" s="1"/>
  <c r="AU41" i="3"/>
  <c r="AU43" i="3" s="1"/>
  <c r="AT41" i="3"/>
  <c r="AT43" i="3" s="1"/>
  <c r="AS41" i="3"/>
  <c r="AS43" i="3" s="1"/>
  <c r="CC40" i="3"/>
  <c r="CB40" i="3"/>
  <c r="CA40" i="3"/>
  <c r="BI40" i="3"/>
  <c r="BL56" i="3" s="1"/>
  <c r="BH40" i="3"/>
  <c r="BG40" i="3"/>
  <c r="CC39" i="3"/>
  <c r="CB39" i="3"/>
  <c r="CA39" i="3"/>
  <c r="BI39" i="3"/>
  <c r="BH39" i="3"/>
  <c r="BG39" i="3"/>
  <c r="AR55" i="3"/>
  <c r="CC38" i="3"/>
  <c r="CB38" i="3"/>
  <c r="CA38" i="3"/>
  <c r="CD38" i="3" s="1"/>
  <c r="BI38" i="3"/>
  <c r="BL54" i="3" s="1"/>
  <c r="BH38" i="3"/>
  <c r="BG38" i="3"/>
  <c r="CC37" i="3"/>
  <c r="CB37" i="3"/>
  <c r="CA37" i="3"/>
  <c r="BI37" i="3"/>
  <c r="BL53" i="3" s="1"/>
  <c r="BH37" i="3"/>
  <c r="BG37" i="3"/>
  <c r="CC36" i="3"/>
  <c r="CB36" i="3"/>
  <c r="CA36" i="3"/>
  <c r="BI36" i="3"/>
  <c r="BL52" i="3" s="1"/>
  <c r="BH36" i="3"/>
  <c r="BG36" i="3"/>
  <c r="CC35" i="3"/>
  <c r="CB35" i="3"/>
  <c r="CA35" i="3"/>
  <c r="BI35" i="3"/>
  <c r="BL51" i="3" s="1"/>
  <c r="BH35" i="3"/>
  <c r="BG35" i="3"/>
  <c r="CC34" i="3"/>
  <c r="CB34" i="3"/>
  <c r="CA34" i="3"/>
  <c r="BI34" i="3"/>
  <c r="BL50" i="3" s="1"/>
  <c r="BH34" i="3"/>
  <c r="BG34" i="3"/>
  <c r="CC33" i="3"/>
  <c r="CB33" i="3"/>
  <c r="CA33" i="3"/>
  <c r="BI33" i="3"/>
  <c r="BH33" i="3"/>
  <c r="BG33" i="3"/>
  <c r="BS32" i="3"/>
  <c r="BS48" i="3" s="1"/>
  <c r="BM32" i="3"/>
  <c r="BM48" i="3" s="1"/>
  <c r="AY32" i="3"/>
  <c r="AY48" i="3" s="1"/>
  <c r="AS32" i="3"/>
  <c r="AS48" i="3" s="1"/>
  <c r="BZ28" i="3"/>
  <c r="BY28" i="3"/>
  <c r="BX28" i="3"/>
  <c r="BW28" i="3"/>
  <c r="BV28" i="3"/>
  <c r="BU28" i="3"/>
  <c r="BT28" i="3"/>
  <c r="BS28" i="3"/>
  <c r="BR28" i="3"/>
  <c r="BQ28" i="3"/>
  <c r="BP28" i="3"/>
  <c r="BO28" i="3"/>
  <c r="BN28" i="3"/>
  <c r="BM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CD27" i="3"/>
  <c r="CC27" i="3"/>
  <c r="CB27" i="3"/>
  <c r="CA27" i="3"/>
  <c r="BJ27" i="3"/>
  <c r="BI27" i="3"/>
  <c r="BH27" i="3"/>
  <c r="BG27" i="3"/>
  <c r="CD26" i="3"/>
  <c r="CC26" i="3"/>
  <c r="CB26" i="3"/>
  <c r="CA26" i="3"/>
  <c r="BJ26" i="3"/>
  <c r="BI26" i="3"/>
  <c r="BH26" i="3"/>
  <c r="BG26" i="3"/>
  <c r="CD25" i="3"/>
  <c r="CC25" i="3"/>
  <c r="CB25" i="3"/>
  <c r="CA25" i="3"/>
  <c r="BJ25" i="3"/>
  <c r="BI25" i="3"/>
  <c r="BH25" i="3"/>
  <c r="BG25" i="3"/>
  <c r="CD24" i="3"/>
  <c r="CC24" i="3"/>
  <c r="CB24" i="3"/>
  <c r="CA24" i="3"/>
  <c r="BJ24" i="3"/>
  <c r="BI24" i="3"/>
  <c r="BH24" i="3"/>
  <c r="BG24" i="3"/>
  <c r="CD23" i="3"/>
  <c r="CC23" i="3"/>
  <c r="CB23" i="3"/>
  <c r="CA23" i="3"/>
  <c r="BJ23" i="3"/>
  <c r="BI23" i="3"/>
  <c r="BH23" i="3"/>
  <c r="BG23" i="3"/>
  <c r="CD22" i="3"/>
  <c r="CC22" i="3"/>
  <c r="CB22" i="3"/>
  <c r="CA22" i="3"/>
  <c r="BJ22" i="3"/>
  <c r="BI22" i="3"/>
  <c r="BH22" i="3"/>
  <c r="BG22" i="3"/>
  <c r="CD21" i="3"/>
  <c r="CC21" i="3"/>
  <c r="CB21" i="3"/>
  <c r="CA21" i="3"/>
  <c r="BJ21" i="3"/>
  <c r="BI21" i="3"/>
  <c r="BH21" i="3"/>
  <c r="BG21" i="3"/>
  <c r="CD20" i="3"/>
  <c r="CD28" i="3" s="1"/>
  <c r="CC20" i="3"/>
  <c r="CC28" i="3" s="1"/>
  <c r="CB20" i="3"/>
  <c r="CB28" i="3" s="1"/>
  <c r="CA20" i="3"/>
  <c r="CA28" i="3" s="1"/>
  <c r="BJ20" i="3"/>
  <c r="BJ28" i="3" s="1"/>
  <c r="BI20" i="3"/>
  <c r="BI28" i="3" s="1"/>
  <c r="BH20" i="3"/>
  <c r="BH28" i="3" s="1"/>
  <c r="BG20" i="3"/>
  <c r="BG28" i="3" s="1"/>
  <c r="BN19" i="3"/>
  <c r="BO19" i="3" s="1"/>
  <c r="BP19" i="3" s="1"/>
  <c r="BQ19" i="3" s="1"/>
  <c r="BR19" i="3" s="1"/>
  <c r="BT19" i="3" s="1"/>
  <c r="BU19" i="3" s="1"/>
  <c r="BV19" i="3" s="1"/>
  <c r="BW19" i="3" s="1"/>
  <c r="BX19" i="3" s="1"/>
  <c r="BY19" i="3" s="1"/>
  <c r="BZ19" i="3" s="1"/>
  <c r="AT19" i="3"/>
  <c r="AU19" i="3" s="1"/>
  <c r="AV19" i="3" s="1"/>
  <c r="AW19" i="3" s="1"/>
  <c r="AX19" i="3" s="1"/>
  <c r="AZ19" i="3" s="1"/>
  <c r="BA19" i="3" s="1"/>
  <c r="BB19" i="3" s="1"/>
  <c r="BC19" i="3" s="1"/>
  <c r="BD19" i="3" s="1"/>
  <c r="BE19" i="3" s="1"/>
  <c r="BF19" i="3" s="1"/>
  <c r="BZ15" i="3"/>
  <c r="BZ30" i="3" s="1"/>
  <c r="BY15" i="3"/>
  <c r="BY30" i="3" s="1"/>
  <c r="BX15" i="3"/>
  <c r="BW15" i="3"/>
  <c r="BV15" i="3"/>
  <c r="BV30" i="3" s="1"/>
  <c r="BU15" i="3"/>
  <c r="BU30" i="3" s="1"/>
  <c r="BT15" i="3"/>
  <c r="BT30" i="3" s="1"/>
  <c r="BS15" i="3"/>
  <c r="BR15" i="3"/>
  <c r="BR30" i="3" s="1"/>
  <c r="BQ15" i="3"/>
  <c r="BP15" i="3"/>
  <c r="BO15" i="3"/>
  <c r="BN15" i="3"/>
  <c r="BN30" i="3" s="1"/>
  <c r="BM15" i="3"/>
  <c r="BM30" i="3" s="1"/>
  <c r="BF15" i="3"/>
  <c r="BF30" i="3" s="1"/>
  <c r="BE15" i="3"/>
  <c r="BD15" i="3"/>
  <c r="BD30" i="3" s="1"/>
  <c r="BC15" i="3"/>
  <c r="BC30" i="3" s="1"/>
  <c r="BB15" i="3"/>
  <c r="BB30" i="3" s="1"/>
  <c r="BA15" i="3"/>
  <c r="AZ15" i="3"/>
  <c r="AZ30" i="3" s="1"/>
  <c r="AY15" i="3"/>
  <c r="AY30" i="3" s="1"/>
  <c r="AX15" i="3"/>
  <c r="AX30" i="3" s="1"/>
  <c r="AW15" i="3"/>
  <c r="AV15" i="3"/>
  <c r="AV30" i="3" s="1"/>
  <c r="AU15" i="3"/>
  <c r="AU30" i="3" s="1"/>
  <c r="AT15" i="3"/>
  <c r="AT30" i="3" s="1"/>
  <c r="AS15" i="3"/>
  <c r="CD14" i="3"/>
  <c r="CC14" i="3"/>
  <c r="CB14" i="3"/>
  <c r="CA14" i="3"/>
  <c r="BJ14" i="3"/>
  <c r="BI14" i="3"/>
  <c r="BH14" i="3"/>
  <c r="BG14" i="3"/>
  <c r="CD13" i="3"/>
  <c r="CC13" i="3"/>
  <c r="CB13" i="3"/>
  <c r="CA13" i="3"/>
  <c r="BJ13" i="3"/>
  <c r="BI13" i="3"/>
  <c r="BH13" i="3"/>
  <c r="BG13" i="3"/>
  <c r="CD12" i="3"/>
  <c r="CC12" i="3"/>
  <c r="CB12" i="3"/>
  <c r="CA12" i="3"/>
  <c r="BJ12" i="3"/>
  <c r="BI12" i="3"/>
  <c r="BH12" i="3"/>
  <c r="BG12" i="3"/>
  <c r="CD11" i="3"/>
  <c r="CC11" i="3"/>
  <c r="CB11" i="3"/>
  <c r="CA11" i="3"/>
  <c r="BJ11" i="3"/>
  <c r="BI11" i="3"/>
  <c r="BH11" i="3"/>
  <c r="BG11" i="3"/>
  <c r="CD10" i="3"/>
  <c r="CC10" i="3"/>
  <c r="CB10" i="3"/>
  <c r="CA10" i="3"/>
  <c r="BJ10" i="3"/>
  <c r="BI10" i="3"/>
  <c r="BH10" i="3"/>
  <c r="BG10" i="3"/>
  <c r="CD9" i="3"/>
  <c r="CC9" i="3"/>
  <c r="CB9" i="3"/>
  <c r="CA9" i="3"/>
  <c r="BJ9" i="3"/>
  <c r="BI9" i="3"/>
  <c r="BH9" i="3"/>
  <c r="BG9" i="3"/>
  <c r="CD8" i="3"/>
  <c r="CC8" i="3"/>
  <c r="CB8" i="3"/>
  <c r="CA8" i="3"/>
  <c r="BJ8" i="3"/>
  <c r="BI8" i="3"/>
  <c r="BH8" i="3"/>
  <c r="BG8" i="3"/>
  <c r="CD7" i="3"/>
  <c r="CD15" i="3" s="1"/>
  <c r="CC7" i="3"/>
  <c r="CC15" i="3" s="1"/>
  <c r="CB7" i="3"/>
  <c r="CB15" i="3" s="1"/>
  <c r="CA7" i="3"/>
  <c r="CA15" i="3" s="1"/>
  <c r="BJ7" i="3"/>
  <c r="BI7" i="3"/>
  <c r="BI15" i="3" s="1"/>
  <c r="BH7" i="3"/>
  <c r="BH15" i="3" s="1"/>
  <c r="BG7" i="3"/>
  <c r="BG15" i="3" s="1"/>
  <c r="BN6" i="3"/>
  <c r="AT6" i="3"/>
  <c r="AT32" i="3" s="1"/>
  <c r="AT48" i="3" s="1"/>
  <c r="BS30" i="3" l="1"/>
  <c r="BJ35" i="3"/>
  <c r="BJ34" i="3"/>
  <c r="BE30" i="3"/>
  <c r="AW30" i="3"/>
  <c r="BA30" i="3"/>
  <c r="BW30" i="3"/>
  <c r="BJ33" i="3"/>
  <c r="BJ15" i="3"/>
  <c r="AS30" i="3"/>
  <c r="BO30" i="3"/>
  <c r="BP30" i="3"/>
  <c r="BX30" i="3"/>
  <c r="BQ30" i="3"/>
  <c r="AZ57" i="3"/>
  <c r="BI57" i="3"/>
  <c r="BA57" i="3"/>
  <c r="CD39" i="3"/>
  <c r="BB57" i="3"/>
  <c r="CD35" i="3"/>
  <c r="AX57" i="3"/>
  <c r="BH57" i="3"/>
  <c r="BU57" i="3"/>
  <c r="BG54" i="3"/>
  <c r="BM54" i="3" s="1"/>
  <c r="BV57" i="3"/>
  <c r="CD34" i="3"/>
  <c r="CD37" i="3"/>
  <c r="AU6" i="3"/>
  <c r="CB41" i="3"/>
  <c r="BG50" i="3"/>
  <c r="BM50" i="3" s="1"/>
  <c r="CD40" i="3"/>
  <c r="BZ57" i="3"/>
  <c r="BG51" i="3"/>
  <c r="BQ57" i="3"/>
  <c r="BR57" i="3"/>
  <c r="AR50" i="3"/>
  <c r="BM51" i="3"/>
  <c r="BJ51" i="3"/>
  <c r="CC41" i="3"/>
  <c r="BN57" i="3"/>
  <c r="BW57" i="3"/>
  <c r="AR52" i="3"/>
  <c r="BK51" i="3"/>
  <c r="BG30" i="3"/>
  <c r="CD33" i="3"/>
  <c r="BJ37" i="3"/>
  <c r="BJ39" i="3"/>
  <c r="BO57" i="3"/>
  <c r="BX57" i="3"/>
  <c r="BG53" i="3"/>
  <c r="AT57" i="3"/>
  <c r="AR56" i="3"/>
  <c r="AR51" i="3"/>
  <c r="BN32" i="3"/>
  <c r="BN48" i="3" s="1"/>
  <c r="BO6" i="3"/>
  <c r="BO5" i="3"/>
  <c r="BL55" i="3"/>
  <c r="BG49" i="3"/>
  <c r="BD57" i="3"/>
  <c r="BG52" i="3"/>
  <c r="AR53" i="3"/>
  <c r="CC57" i="3"/>
  <c r="AR54" i="3"/>
  <c r="BG55" i="3"/>
  <c r="BL49" i="3"/>
  <c r="BJ38" i="3"/>
  <c r="BJ40" i="3"/>
  <c r="AW57" i="3"/>
  <c r="BF57" i="3"/>
  <c r="BT57" i="3"/>
  <c r="BG56" i="3"/>
  <c r="BG41" i="3"/>
  <c r="BG43" i="3" s="1"/>
  <c r="AU57" i="3"/>
  <c r="BH41" i="3"/>
  <c r="BI41" i="3"/>
  <c r="CA41" i="3"/>
  <c r="AU5" i="3"/>
  <c r="H86" i="2"/>
  <c r="H84" i="2"/>
  <c r="H81" i="2"/>
  <c r="H78" i="2"/>
  <c r="H75" i="2"/>
  <c r="H72" i="2"/>
  <c r="F66" i="2"/>
  <c r="F57" i="2"/>
  <c r="F68" i="2" s="1"/>
  <c r="E27" i="2"/>
  <c r="E19" i="2"/>
  <c r="E21" i="2" s="1"/>
  <c r="H6" i="2"/>
  <c r="BK54" i="3" l="1"/>
  <c r="BJ50" i="3"/>
  <c r="BJ54" i="3"/>
  <c r="CA54" i="3"/>
  <c r="CB54" i="3"/>
  <c r="BK50" i="3"/>
  <c r="AV6" i="3"/>
  <c r="AV5" i="3"/>
  <c r="CD41" i="3"/>
  <c r="AU32" i="3"/>
  <c r="AU48" i="3" s="1"/>
  <c r="BJ41" i="3"/>
  <c r="H5" i="2"/>
  <c r="E30" i="2"/>
  <c r="E34" i="2" s="1"/>
  <c r="E38" i="2" s="1"/>
  <c r="BM55" i="3"/>
  <c r="BJ55" i="3"/>
  <c r="CB50" i="3"/>
  <c r="CA50" i="3"/>
  <c r="BM56" i="3"/>
  <c r="BJ56" i="3"/>
  <c r="BJ53" i="3"/>
  <c r="BM53" i="3"/>
  <c r="BK53" i="3"/>
  <c r="BK56" i="3"/>
  <c r="BO32" i="3"/>
  <c r="BO48" i="3" s="1"/>
  <c r="BP6" i="3"/>
  <c r="BP5" i="3"/>
  <c r="BL57" i="3"/>
  <c r="BM52" i="3"/>
  <c r="BK52" i="3"/>
  <c r="BK55" i="3"/>
  <c r="BG57" i="3"/>
  <c r="BM49" i="3"/>
  <c r="BJ49" i="3"/>
  <c r="CB51" i="3"/>
  <c r="CA51" i="3"/>
  <c r="BK49" i="3"/>
  <c r="BK57" i="3" l="1"/>
  <c r="AW6" i="3"/>
  <c r="AV32" i="3"/>
  <c r="AV48" i="3" s="1"/>
  <c r="AW5" i="3"/>
  <c r="BJ57" i="3"/>
  <c r="CD54" i="3"/>
  <c r="CE54" i="3"/>
  <c r="CF54" i="3" s="1"/>
  <c r="CD51" i="3"/>
  <c r="CE51" i="3"/>
  <c r="CF51" i="3" s="1"/>
  <c r="CA53" i="3"/>
  <c r="CB53" i="3"/>
  <c r="CA52" i="3"/>
  <c r="CE52" i="3" s="1"/>
  <c r="CF52" i="3" s="1"/>
  <c r="CB52" i="3"/>
  <c r="BM57" i="3"/>
  <c r="CB49" i="3"/>
  <c r="CA49" i="3"/>
  <c r="CB56" i="3"/>
  <c r="CA56" i="3"/>
  <c r="BP32" i="3"/>
  <c r="BP48" i="3" s="1"/>
  <c r="BQ6" i="3"/>
  <c r="BQ5" i="3"/>
  <c r="CD50" i="3"/>
  <c r="CE50" i="3"/>
  <c r="CF50" i="3" s="1"/>
  <c r="AR49" i="3"/>
  <c r="AR57" i="3" s="1"/>
  <c r="CB55" i="3"/>
  <c r="CA55" i="3"/>
  <c r="AX6" i="3" l="1"/>
  <c r="AW32" i="3"/>
  <c r="AW48" i="3" s="1"/>
  <c r="AX5" i="3"/>
  <c r="CD49" i="3"/>
  <c r="CA57" i="3"/>
  <c r="CE49" i="3"/>
  <c r="BR6" i="3"/>
  <c r="BR5" i="3"/>
  <c r="BQ32" i="3"/>
  <c r="BQ48" i="3" s="1"/>
  <c r="CB57" i="3"/>
  <c r="CD53" i="3"/>
  <c r="CE53" i="3"/>
  <c r="CF53" i="3" s="1"/>
  <c r="CD55" i="3"/>
  <c r="CE55" i="3"/>
  <c r="CF55" i="3" s="1"/>
  <c r="CD56" i="3"/>
  <c r="CE56" i="3"/>
  <c r="CF56" i="3" s="1"/>
  <c r="AZ6" i="3" l="1"/>
  <c r="AX32" i="3"/>
  <c r="AX48" i="3" s="1"/>
  <c r="AZ5" i="3"/>
  <c r="BT6" i="3"/>
  <c r="BT5" i="3"/>
  <c r="BR32" i="3"/>
  <c r="BR48" i="3" s="1"/>
  <c r="CF49" i="3"/>
  <c r="CF57" i="3" s="1"/>
  <c r="CE57" i="3"/>
  <c r="CD57" i="3"/>
  <c r="AZ32" i="3" l="1"/>
  <c r="AZ48" i="3" s="1"/>
  <c r="BA6" i="3"/>
  <c r="BA5" i="3"/>
  <c r="BU6" i="3"/>
  <c r="BU5" i="3"/>
  <c r="BT32" i="3"/>
  <c r="BT48" i="3" s="1"/>
  <c r="BB5" i="3" l="1"/>
  <c r="BB6" i="3"/>
  <c r="BA32" i="3"/>
  <c r="BA48" i="3" s="1"/>
  <c r="BU32" i="3"/>
  <c r="BU48" i="3" s="1"/>
  <c r="BV5" i="3"/>
  <c r="BV6" i="3"/>
  <c r="BB32" i="3" l="1"/>
  <c r="BB48" i="3" s="1"/>
  <c r="BC6" i="3"/>
  <c r="BC5" i="3"/>
  <c r="BV32" i="3"/>
  <c r="BV48" i="3" s="1"/>
  <c r="BW5" i="3"/>
  <c r="BW6" i="3"/>
  <c r="G5" i="1"/>
  <c r="G6" i="1"/>
  <c r="BD5" i="3" l="1"/>
  <c r="BC32" i="3"/>
  <c r="BC48" i="3" s="1"/>
  <c r="BD6" i="3"/>
  <c r="BW32" i="3"/>
  <c r="BW48" i="3" s="1"/>
  <c r="BX6" i="3"/>
  <c r="BX5" i="3"/>
  <c r="BE6" i="3" l="1"/>
  <c r="BE5" i="3"/>
  <c r="BD32" i="3"/>
  <c r="BD48" i="3" s="1"/>
  <c r="BX32" i="3"/>
  <c r="BX48" i="3" s="1"/>
  <c r="BY6" i="3"/>
  <c r="BY5" i="3"/>
  <c r="G74" i="1"/>
  <c r="H84" i="1"/>
  <c r="H81" i="1"/>
  <c r="BE32" i="3" l="1"/>
  <c r="BE48" i="3" s="1"/>
  <c r="BF6" i="3"/>
  <c r="BF32" i="3" s="1"/>
  <c r="BF48" i="3" s="1"/>
  <c r="BF5" i="3"/>
  <c r="BZ5" i="3"/>
  <c r="BY32" i="3"/>
  <c r="BY48" i="3" s="1"/>
  <c r="BZ6" i="3"/>
  <c r="BZ32" i="3" s="1"/>
  <c r="BZ48" i="3" s="1"/>
  <c r="E36" i="1"/>
  <c r="E28" i="1"/>
  <c r="E30" i="1" s="1"/>
  <c r="E39" i="1" s="1"/>
  <c r="E43" i="1" s="1"/>
  <c r="E47" i="1" s="1"/>
  <c r="E5" i="1" l="1"/>
  <c r="F14" i="1" l="1"/>
  <c r="F15" i="1"/>
  <c r="F13" i="1"/>
  <c r="F16" i="1" s="1"/>
  <c r="D5" i="1" l="1"/>
  <c r="H98" i="1" l="1"/>
  <c r="H96" i="1"/>
  <c r="H93" i="1"/>
  <c r="H90" i="1"/>
  <c r="H87" i="1"/>
  <c r="H78" i="1"/>
  <c r="F72" i="1" l="1"/>
  <c r="H72" i="1" s="1"/>
  <c r="F6" i="1" s="1"/>
  <c r="H6" i="1" s="1"/>
  <c r="F63" i="1"/>
  <c r="H63" i="1" s="1"/>
  <c r="F74" i="1" l="1"/>
  <c r="F5" i="1" l="1"/>
  <c r="H5" i="1" s="1"/>
  <c r="H74" i="1"/>
</calcChain>
</file>

<file path=xl/comments1.xml><?xml version="1.0" encoding="utf-8"?>
<comments xmlns="http://schemas.openxmlformats.org/spreadsheetml/2006/main">
  <authors>
    <author>Laura Hampton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First and second true-up completed quarterly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>
      <text>
        <r>
          <rPr>
            <sz val="9"/>
            <color indexed="81"/>
            <rFont val="Tahoma"/>
            <family val="2"/>
          </rPr>
          <t>January - December booked within 2018 - no overlapping adjustments required</t>
        </r>
      </text>
    </comment>
  </commentList>
</comments>
</file>

<file path=xl/comments2.xml><?xml version="1.0" encoding="utf-8"?>
<comments xmlns="http://schemas.openxmlformats.org/spreadsheetml/2006/main">
  <authors>
    <author>Laura Hampton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First and second true-up completed quarterly</t>
        </r>
      </text>
    </comment>
  </commentList>
</comments>
</file>

<file path=xl/comments3.xml><?xml version="1.0" encoding="utf-8"?>
<comments xmlns="http://schemas.openxmlformats.org/spreadsheetml/2006/main">
  <authors>
    <author>Laura Hampton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First and second true-up completed quarterly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Laura Hampton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First and second true-up completed annually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JE posted in Dec 2018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Laura Hampton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No entry made to true-up RPP and Non-RPP amounts for 2014</t>
        </r>
      </text>
    </comment>
  </commentList>
</comments>
</file>

<file path=xl/comments6.xml><?xml version="1.0" encoding="utf-8"?>
<comments xmlns="http://schemas.openxmlformats.org/spreadsheetml/2006/main">
  <authors>
    <author>Laura Hampton</author>
  </authors>
  <commentList>
    <comment ref="L12" authorId="0" shapeId="0">
      <text>
        <r>
          <rPr>
            <sz val="9"/>
            <color indexed="81"/>
            <rFont val="Tahoma"/>
            <family val="2"/>
          </rPr>
          <t xml:space="preserve">
All revenue was not separated in 2017 in GL accounts.  Variance for Class B needs to be adjusted</t>
        </r>
      </text>
    </comment>
  </commentList>
</comments>
</file>

<file path=xl/sharedStrings.xml><?xml version="1.0" encoding="utf-8"?>
<sst xmlns="http://schemas.openxmlformats.org/spreadsheetml/2006/main" count="912" uniqueCount="210">
  <si>
    <t>COP Accrual vs. Actual GA - Per IESO bill</t>
  </si>
  <si>
    <t>RPP Settlement - 1st True-Up</t>
  </si>
  <si>
    <t>RPP Settlement - 2nd True-Up</t>
  </si>
  <si>
    <t>Unbilled vs Actual Difference</t>
  </si>
  <si>
    <t>RPP vs. Non-RPP Allocation</t>
  </si>
  <si>
    <t>Total Principal Adjustment</t>
  </si>
  <si>
    <t>N/A</t>
  </si>
  <si>
    <t>1.10.4006.100.000</t>
  </si>
  <si>
    <t>Residential Energy Sales</t>
  </si>
  <si>
    <t>1.10.4006.105.000</t>
  </si>
  <si>
    <t>Residential Energy Sales - TOU</t>
  </si>
  <si>
    <t>1.10.4025.120.000</t>
  </si>
  <si>
    <t>Street Lighting Energy Sales</t>
  </si>
  <si>
    <t>1.10.4030.125.000</t>
  </si>
  <si>
    <t>Sentinel Lighting Energy Sales</t>
  </si>
  <si>
    <t>1.10.4035.115.000</t>
  </si>
  <si>
    <t>General Energy Sales &gt;50kW</t>
  </si>
  <si>
    <t>1.10.4035.110.000</t>
  </si>
  <si>
    <t>General Energy Sales &lt;50kW</t>
  </si>
  <si>
    <t>1.10.4035.111.000</t>
  </si>
  <si>
    <t>General Unmetered Scattered Load</t>
  </si>
  <si>
    <t>1.10.4055.150.001</t>
  </si>
  <si>
    <t>Energy Sales for Resale (Retailers)</t>
  </si>
  <si>
    <t>1.10.4055.027.801</t>
  </si>
  <si>
    <t>Energy Sales (Retail)-GA Class A</t>
  </si>
  <si>
    <t>GA allocation correction</t>
  </si>
  <si>
    <t>Total Power</t>
  </si>
  <si>
    <t>1.10.4062.900.000</t>
  </si>
  <si>
    <t>WMS</t>
  </si>
  <si>
    <t>1.10.4064.900.000</t>
  </si>
  <si>
    <t>One-Time</t>
  </si>
  <si>
    <t>1.10.4066.900.000</t>
  </si>
  <si>
    <t>NW</t>
  </si>
  <si>
    <t>1.10.4068.900.000</t>
  </si>
  <si>
    <t>CN</t>
  </si>
  <si>
    <t>1.10.4075.900.000</t>
  </si>
  <si>
    <t>LV</t>
  </si>
  <si>
    <t>1.10.4076.900.000</t>
  </si>
  <si>
    <t>Smart Meter Entity</t>
  </si>
  <si>
    <t>1.10.4006.100.800</t>
  </si>
  <si>
    <t>Residential Energy Sales-GA</t>
  </si>
  <si>
    <t>1.10.4025.120.800</t>
  </si>
  <si>
    <t>Street Lighting Energy Sales-GA</t>
  </si>
  <si>
    <t>1.10.4035.115.800</t>
  </si>
  <si>
    <t>General Energy Sales &gt;50kW-GA</t>
  </si>
  <si>
    <t>1.10.4035.110.800</t>
  </si>
  <si>
    <t>General Energy Sales &lt;50kW-GA</t>
  </si>
  <si>
    <t>1.10.4055.???.800</t>
  </si>
  <si>
    <t>Energy Sales Resale (Retail)-GA</t>
  </si>
  <si>
    <t>Total Global Adjustment</t>
  </si>
  <si>
    <t>Total Enery and GA</t>
  </si>
  <si>
    <t>Difference</t>
  </si>
  <si>
    <t>Unbilled</t>
  </si>
  <si>
    <t>Dec Unbilled Accrual (Estimated)</t>
  </si>
  <si>
    <t>Jan Billed for Dec (Actual)</t>
  </si>
  <si>
    <t>Entries:</t>
  </si>
  <si>
    <t>Actual per Rec</t>
  </si>
  <si>
    <t>Posted in GL</t>
  </si>
  <si>
    <t>1.00.1588.800.000</t>
  </si>
  <si>
    <t>1.00.1589.800.000</t>
  </si>
  <si>
    <t>bill_code_date</t>
  </si>
  <si>
    <t>GA posted to 4707.000.800 DR/(CR)</t>
  </si>
  <si>
    <t>Line 1351 on IESO inv (Cap Based Rec amt)
DR/(CR)</t>
  </si>
  <si>
    <t>GA per IESO inv
DR/(CR)</t>
  </si>
  <si>
    <t>GA allocated to RPP Cust 4707.000.800 DR/(CR)</t>
  </si>
  <si>
    <t>GA calculated for Non-RPP Cust (Total GA - RPP) 4707.000.800 DR/(CR)</t>
  </si>
  <si>
    <t>4055.*.800 - Harris Billing Retail Sales DR/(CR)</t>
  </si>
  <si>
    <t>4035.115.800 - Harris Billing &gt;50kW Sales DR/(CR)</t>
  </si>
  <si>
    <t>Calculated Bal to post to RSVA GA 1589.800 (Total GA - GA RPP = GA Non-RPP)
DR/(CR)</t>
  </si>
  <si>
    <t>Actual RSVA GA 1589.800 
posted to GP DR/(CR)</t>
  </si>
  <si>
    <t>Reverse GA Variance Entry
DR/(CR)</t>
  </si>
  <si>
    <t>Check</t>
  </si>
  <si>
    <t>total GA $
DR/(CR)</t>
  </si>
  <si>
    <t>Actual Non-RPP GA per reconciliation DR/(CR)</t>
  </si>
  <si>
    <t>Calculated GA for RPP DR/(CR)</t>
  </si>
  <si>
    <t>RPP vs. Non-RPP True-Up</t>
  </si>
  <si>
    <r>
      <rPr>
        <b/>
        <sz val="11"/>
        <color indexed="8"/>
        <rFont val="Calibri"/>
        <family val="2"/>
      </rPr>
      <t>SSS RPP CHARGED</t>
    </r>
    <r>
      <rPr>
        <sz val="11"/>
        <color theme="1"/>
        <rFont val="Calibri"/>
        <family val="2"/>
        <scheme val="minor"/>
      </rPr>
      <t xml:space="preserve"> (</t>
    </r>
    <r>
      <rPr>
        <sz val="11"/>
        <rFont val="Calibri"/>
        <family val="2"/>
      </rPr>
      <t>Invoiced to SSS RPP Customers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</si>
  <si>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indexed="8"/>
        <rFont val="Calibri"/>
        <family val="2"/>
      </rPr>
      <t>SSS RPP WAP Calculated</t>
    </r>
    <r>
      <rPr>
        <sz val="11"/>
        <color theme="1"/>
        <rFont val="Calibri"/>
        <family val="2"/>
        <scheme val="minor"/>
      </rPr>
      <t xml:space="preserve"> (Market Pricing Calculated)</t>
    </r>
  </si>
  <si>
    <r>
      <rPr>
        <b/>
        <i/>
        <sz val="11"/>
        <rFont val="Calibri"/>
        <family val="2"/>
      </rPr>
      <t>Global Adjustment</t>
    </r>
    <r>
      <rPr>
        <b/>
        <i/>
        <sz val="11"/>
        <color indexed="10"/>
        <rFont val="Calibri"/>
        <family val="2"/>
      </rPr>
      <t xml:space="preserve"> </t>
    </r>
    <r>
      <rPr>
        <b/>
        <sz val="11"/>
        <color indexed="10"/>
        <rFont val="Calibri"/>
        <family val="2"/>
      </rPr>
      <t>(if positive, adds to Wholesale Charges)</t>
    </r>
  </si>
  <si>
    <t>Total Wholesale includes sss &amp; ret rpp global adj</t>
  </si>
  <si>
    <r>
      <t>SSS Variance-</t>
    </r>
    <r>
      <rPr>
        <b/>
        <sz val="11"/>
        <color indexed="10"/>
        <rFont val="Calibri"/>
        <family val="2"/>
      </rPr>
      <t>if POSITIVE we owe IESO</t>
    </r>
  </si>
  <si>
    <r>
      <rPr>
        <b/>
        <sz val="11"/>
        <color indexed="8"/>
        <rFont val="Calibri"/>
        <family val="2"/>
      </rPr>
      <t>RETAILER RPP CHARGED</t>
    </r>
    <r>
      <rPr>
        <sz val="11"/>
        <color theme="1"/>
        <rFont val="Calibri"/>
        <family val="2"/>
        <scheme val="minor"/>
      </rPr>
      <t xml:space="preserve"> (Invoiced to RPP Retailer Customers)</t>
    </r>
  </si>
  <si>
    <r>
      <rPr>
        <b/>
        <sz val="11"/>
        <color indexed="8"/>
        <rFont val="Calibri"/>
        <family val="2"/>
      </rPr>
      <t>RETAILER IBRS-RPP</t>
    </r>
    <r>
      <rPr>
        <sz val="11"/>
        <color theme="1"/>
        <rFont val="Calibri"/>
        <family val="2"/>
        <scheme val="minor"/>
      </rPr>
      <t xml:space="preserve"> (Retailer IBR's Billed to Innisfil)</t>
    </r>
  </si>
  <si>
    <t xml:space="preserve">Variance-if POSITIVE we owe IESO </t>
  </si>
  <si>
    <r>
      <t>Net From Customer Billing (</t>
    </r>
    <r>
      <rPr>
        <b/>
        <sz val="11"/>
        <color indexed="10"/>
        <rFont val="Calibri"/>
        <family val="2"/>
      </rPr>
      <t>if POSITIVE, we owe IESO</t>
    </r>
    <r>
      <rPr>
        <sz val="11"/>
        <color theme="1"/>
        <rFont val="Calibri"/>
        <family val="2"/>
        <scheme val="minor"/>
      </rPr>
      <t>)</t>
    </r>
  </si>
  <si>
    <r>
      <t>RPV Billed to Customers (</t>
    </r>
    <r>
      <rPr>
        <b/>
        <sz val="11"/>
        <color indexed="10"/>
        <rFont val="Calibri"/>
        <family val="2"/>
      </rPr>
      <t>if POSITIVE, we owe IESO</t>
    </r>
    <r>
      <rPr>
        <sz val="11"/>
        <color theme="1"/>
        <rFont val="Calibri"/>
        <family val="2"/>
        <scheme val="minor"/>
      </rPr>
      <t>)</t>
    </r>
  </si>
  <si>
    <r>
      <t>Net Owing (</t>
    </r>
    <r>
      <rPr>
        <b/>
        <sz val="11"/>
        <color indexed="10"/>
        <rFont val="Calibri"/>
        <family val="2"/>
      </rPr>
      <t>if POSITIVE, we owe IESO</t>
    </r>
    <r>
      <rPr>
        <sz val="11"/>
        <color theme="1"/>
        <rFont val="Calibri"/>
        <family val="2"/>
        <scheme val="minor"/>
      </rPr>
      <t>)</t>
    </r>
  </si>
  <si>
    <r>
      <t xml:space="preserve">Previously Claimed (collected via 1598 - </t>
    </r>
    <r>
      <rPr>
        <b/>
        <sz val="11"/>
        <color indexed="10"/>
        <rFont val="Calibri"/>
        <family val="2"/>
      </rPr>
      <t>if positive we collected</t>
    </r>
    <r>
      <rPr>
        <sz val="11"/>
        <color theme="1"/>
        <rFont val="Calibri"/>
        <family val="2"/>
        <scheme val="minor"/>
      </rPr>
      <t>)</t>
    </r>
  </si>
  <si>
    <r>
      <t xml:space="preserve">Net Reconciliation ( </t>
    </r>
    <r>
      <rPr>
        <b/>
        <sz val="11"/>
        <color indexed="10"/>
        <rFont val="Calibri"/>
        <family val="2"/>
      </rPr>
      <t>if positive, we owe IESO</t>
    </r>
    <r>
      <rPr>
        <sz val="11"/>
        <color theme="1"/>
        <rFont val="Calibri"/>
        <family val="2"/>
        <scheme val="minor"/>
      </rPr>
      <t>)</t>
    </r>
  </si>
  <si>
    <t>RPP Settlement</t>
  </si>
  <si>
    <t>Revenue for Decemebr consumption recorded in Janaury</t>
  </si>
  <si>
    <t>2019 1588/1589 Principal Adjustment</t>
  </si>
  <si>
    <t>ACTUALS</t>
  </si>
  <si>
    <t>ESTIMATE</t>
  </si>
  <si>
    <t>DIFFERENCE</t>
  </si>
  <si>
    <t xml:space="preserve">December RPP Settlement </t>
  </si>
  <si>
    <t>1st True-up</t>
  </si>
  <si>
    <t>2nd True-up</t>
  </si>
  <si>
    <t>2019 December</t>
  </si>
  <si>
    <t>1.10.4062.900.002</t>
  </si>
  <si>
    <t>WMS Class A</t>
  </si>
  <si>
    <t>1.10.4062.900.003</t>
  </si>
  <si>
    <t>WMS Class B</t>
  </si>
  <si>
    <t>2018 1588/1589 Principal Adjustment</t>
  </si>
  <si>
    <t xml:space="preserve">RPP Reconciliation </t>
  </si>
  <si>
    <t>2018 Q4</t>
  </si>
  <si>
    <t>Auto+Hide+Values+Formulas=Sheet4,Sheet2,Sheet3</t>
  </si>
  <si>
    <t>Balances as per GP</t>
  </si>
  <si>
    <t>COS Disposition</t>
  </si>
  <si>
    <t>Current Ltd</t>
  </si>
  <si>
    <t>Prior Ltd</t>
  </si>
  <si>
    <t>Ytd Change</t>
  </si>
  <si>
    <t>1-00-1588-800</t>
  </si>
  <si>
    <t>RSVAPOWER</t>
  </si>
  <si>
    <t>1-00-1589-800</t>
  </si>
  <si>
    <t>RSVAGlobal Adj</t>
  </si>
  <si>
    <t>1-00-1580-800</t>
  </si>
  <si>
    <t>RSVAWMS</t>
  </si>
  <si>
    <t>RSVAGA Class A</t>
  </si>
  <si>
    <t>1-00-1584-800</t>
  </si>
  <si>
    <t>RSVANW</t>
  </si>
  <si>
    <t>1-00-1586-800</t>
  </si>
  <si>
    <t>RSVACN</t>
  </si>
  <si>
    <t>1-00-1551-900</t>
  </si>
  <si>
    <t>SME Variance</t>
  </si>
  <si>
    <t>1-00-1550-900</t>
  </si>
  <si>
    <t>LV Variance</t>
  </si>
  <si>
    <t>Total</t>
  </si>
  <si>
    <t>Ytd</t>
  </si>
  <si>
    <t>1-00-1588-801</t>
  </si>
  <si>
    <t>1-00-1589-801</t>
  </si>
  <si>
    <t>1-00-1580-801</t>
  </si>
  <si>
    <t>No Carrying Charges</t>
  </si>
  <si>
    <t>1-00-1584-801</t>
  </si>
  <si>
    <t>1-00-1586-801</t>
  </si>
  <si>
    <t>1-00-1551-901</t>
  </si>
  <si>
    <t>1-00-1550-901</t>
  </si>
  <si>
    <t>Clears out</t>
  </si>
  <si>
    <t>CORRECTION</t>
  </si>
  <si>
    <t>Interest rates in effect monthly</t>
  </si>
  <si>
    <t># of days in the month</t>
  </si>
  <si>
    <t>Variance</t>
  </si>
  <si>
    <t xml:space="preserve">2018 Amount </t>
  </si>
  <si>
    <t>Cumulative Difference</t>
  </si>
  <si>
    <t>Days</t>
  </si>
  <si>
    <t>Interest rate</t>
  </si>
  <si>
    <t>Interest Impact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</si>
  <si>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</si>
  <si>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</si>
  <si>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</si>
  <si>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</si>
  <si>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</si>
  <si>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</si>
  <si>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</si>
  <si>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</si>
  <si>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</si>
  <si>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</si>
  <si>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</si>
  <si>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</si>
  <si>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(2015-2018)</t>
  </si>
  <si>
    <t>1.00.1588.801.000</t>
  </si>
  <si>
    <t>1.00.1589.801.000</t>
  </si>
  <si>
    <t>Previous Month Transfer</t>
  </si>
  <si>
    <t>Difference between accrual and actuals</t>
  </si>
  <si>
    <t>audit adj</t>
  </si>
  <si>
    <t>WMS Continuity Schedule</t>
  </si>
  <si>
    <t>Principal</t>
  </si>
  <si>
    <t>Interest</t>
  </si>
  <si>
    <t>Opening Balance</t>
  </si>
  <si>
    <t>Diposition</t>
  </si>
  <si>
    <t>Adjustment</t>
  </si>
  <si>
    <t>Adjusted Ending Balance</t>
  </si>
  <si>
    <t>GL Ending Balance</t>
  </si>
  <si>
    <t>RSVA WMS Charge</t>
  </si>
  <si>
    <t>Sub-Account - WMS Charge CBDR Class A</t>
  </si>
  <si>
    <t>Sub-Account - WMS Charge CBDR Class B</t>
  </si>
  <si>
    <t>Balances as per revised RSVA rec</t>
  </si>
  <si>
    <t>2015 1588/1589 Principal Adjustment</t>
  </si>
  <si>
    <t>Revenue for Decemeber consumption recorded in Janaury</t>
  </si>
  <si>
    <t>2016 Q4</t>
  </si>
  <si>
    <t>variance from quarterly to annually</t>
  </si>
  <si>
    <t>Total variance</t>
  </si>
  <si>
    <t>2017 Q4</t>
  </si>
  <si>
    <t>Annual rec variance</t>
  </si>
  <si>
    <t>2017 1588/1589 Principal Adjustment</t>
  </si>
  <si>
    <t>2016 1588/1589 Principal Adjustment</t>
  </si>
  <si>
    <t>2014 1588/1589 Principal Adjustment</t>
  </si>
  <si>
    <t>2015-2018 Account 1588/1589 Reconciliation of Non-RPP GA Charges</t>
  </si>
  <si>
    <t>2015-2018 Account 1588/1589 Reconciliation of Non-RPP GA Charges - Interest Adjustments</t>
  </si>
  <si>
    <t>2017 and 2018 Group 1 DVA Account Interest Adjustments</t>
  </si>
  <si>
    <t>*Note all adjustments booked to GL account in 2019</t>
  </si>
  <si>
    <t>Auto+Hide+Values+Formulas=Sheet13,Sheet9,Sheet10</t>
  </si>
  <si>
    <t>WMS GL Accounts - Year over Year</t>
  </si>
  <si>
    <t>REVENUE</t>
  </si>
  <si>
    <t>COST</t>
  </si>
  <si>
    <t>VARIANCE</t>
  </si>
  <si>
    <t>TOTAL VARIANCE</t>
  </si>
  <si>
    <t>Wholesale</t>
  </si>
  <si>
    <t>1.10.4708.900.000</t>
  </si>
  <si>
    <t>WMS OESP</t>
  </si>
  <si>
    <t>1.10.4062.900.001</t>
  </si>
  <si>
    <t>1.10.4708.900.001</t>
  </si>
  <si>
    <t>1.10.4708.900.002</t>
  </si>
  <si>
    <t>1.10.4708.900.003</t>
  </si>
  <si>
    <t>m</t>
  </si>
  <si>
    <t>RSVA WMS</t>
  </si>
  <si>
    <t>1.00.1580.800.000</t>
  </si>
  <si>
    <t>1.00.1580.800.001</t>
  </si>
  <si>
    <t>1.00.1580.800.002</t>
  </si>
  <si>
    <t>* OEB disposition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</si>
</sst>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8" formatCode="&quot;$&quot;#,##0.00;[Red]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#,###,##0.00;\(#,###,##0.00\)"/>
    <numFmt numFmtId="166" formatCode="&quot;$&quot;#,###,##0.00;\(&quot;$&quot;#,###,##0.00\)"/>
    <numFmt numFmtId="167" formatCode="#,###.00%;\(#,##0.00%\)"/>
    <numFmt numFmtId="168" formatCode="&quot;$&quot;#,##0.00"/>
    <numFmt numFmtId="169" formatCode="_(* #,##0.00_);_(* \(#,##0.00\);_(* &quot;-&quot;??_);_(@_)"/>
    <numFmt numFmtId="170" formatCode="_(* #,##0_);_(* \(#,##0\);_(* &quot;-&quot;??_);_(@_)"/>
    <numFmt numFmtId="171" formatCode="&quot;$&quot;#,##0.00;[Red]&quot;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Times New Roman"/>
      <family val="1"/>
    </font>
    <font>
      <sz val="10"/>
      <color indexed="0"/>
      <name val="Arial"/>
      <family val="2"/>
    </font>
    <font>
      <b/>
      <sz val="12"/>
      <color indexed="0"/>
      <name val="Arial"/>
      <family val="2"/>
    </font>
    <font>
      <b/>
      <sz val="12"/>
      <color indexed="0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Times New Roman"/>
      <family val="1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3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i/>
      <sz val="11"/>
      <name val="Calibri"/>
      <family val="2"/>
    </font>
    <font>
      <b/>
      <i/>
      <sz val="11"/>
      <color indexed="10"/>
      <name val="Calibri"/>
      <family val="2"/>
    </font>
    <font>
      <b/>
      <sz val="11"/>
      <name val="Calibri"/>
      <family val="2"/>
    </font>
    <font>
      <sz val="11"/>
      <color rgb="FF006100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u/>
      <sz val="11"/>
      <color indexed="10"/>
      <name val="Calibri"/>
      <family val="2"/>
    </font>
    <font>
      <b/>
      <sz val="14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3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8" fillId="0" borderId="0"/>
    <xf numFmtId="166" fontId="8" fillId="0" borderId="0"/>
    <xf numFmtId="167" fontId="8" fillId="0" borderId="0"/>
    <xf numFmtId="0" fontId="1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2" fillId="0" borderId="0" applyAlignment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Border="0" applyAlignment="0"/>
    <xf numFmtId="0" fontId="8" fillId="0" borderId="0"/>
    <xf numFmtId="0" fontId="8" fillId="0" borderId="0"/>
    <xf numFmtId="0" fontId="13" fillId="0" borderId="0" applyNumberFormat="0" applyBorder="0" applyAlignment="0"/>
    <xf numFmtId="0" fontId="13" fillId="0" borderId="0" applyNumberFormat="0" applyBorder="0" applyAlignment="0"/>
    <xf numFmtId="0" fontId="13" fillId="0" borderId="0" applyNumberFormat="0" applyBorder="0" applyAlignment="0"/>
    <xf numFmtId="0" fontId="13" fillId="0" borderId="0" applyNumberFormat="0" applyBorder="0" applyAlignment="0"/>
    <xf numFmtId="0" fontId="13" fillId="0" borderId="0" applyNumberFormat="0" applyBorder="0" applyAlignment="0"/>
    <xf numFmtId="0" fontId="13" fillId="0" borderId="0" applyNumberFormat="0" applyBorder="0" applyAlignment="0"/>
    <xf numFmtId="0" fontId="13" fillId="0" borderId="0" applyNumberFormat="0" applyBorder="0" applyAlignment="0"/>
    <xf numFmtId="0" fontId="8" fillId="0" borderId="0"/>
    <xf numFmtId="0" fontId="5" fillId="0" borderId="0" applyNumberFormat="0" applyBorder="0" applyAlignment="0"/>
    <xf numFmtId="0" fontId="9" fillId="0" borderId="0"/>
    <xf numFmtId="0" fontId="9" fillId="0" borderId="0"/>
    <xf numFmtId="0" fontId="14" fillId="0" borderId="0" applyNumberFormat="0" applyBorder="0" applyAlignment="0"/>
    <xf numFmtId="0" fontId="14" fillId="0" borderId="0" applyNumberFormat="0" applyBorder="0" applyAlignment="0"/>
    <xf numFmtId="0" fontId="14" fillId="0" borderId="0" applyNumberFormat="0" applyBorder="0" applyAlignment="0"/>
    <xf numFmtId="0" fontId="14" fillId="0" borderId="0" applyNumberFormat="0" applyBorder="0" applyAlignment="0"/>
    <xf numFmtId="0" fontId="14" fillId="0" borderId="0" applyNumberFormat="0" applyBorder="0" applyAlignment="0"/>
    <xf numFmtId="0" fontId="14" fillId="0" borderId="0" applyNumberFormat="0" applyBorder="0" applyAlignment="0"/>
    <xf numFmtId="0" fontId="14" fillId="0" borderId="0" applyNumberFormat="0" applyBorder="0" applyAlignment="0"/>
    <xf numFmtId="0" fontId="9" fillId="0" borderId="0"/>
    <xf numFmtId="0" fontId="6" fillId="0" borderId="0" applyNumberFormat="0" applyBorder="0" applyAlignment="0"/>
    <xf numFmtId="0" fontId="10" fillId="0" borderId="0"/>
    <xf numFmtId="0" fontId="10" fillId="0" borderId="0"/>
    <xf numFmtId="0" fontId="15" fillId="0" borderId="0" applyNumberFormat="0" applyBorder="0" applyAlignment="0"/>
    <xf numFmtId="0" fontId="15" fillId="0" borderId="0" applyNumberFormat="0" applyBorder="0" applyAlignment="0"/>
    <xf numFmtId="0" fontId="15" fillId="0" borderId="0" applyNumberFormat="0" applyBorder="0" applyAlignment="0"/>
    <xf numFmtId="0" fontId="15" fillId="0" borderId="0" applyNumberFormat="0" applyBorder="0" applyAlignment="0"/>
    <xf numFmtId="0" fontId="15" fillId="0" borderId="0" applyNumberFormat="0" applyBorder="0" applyAlignment="0"/>
    <xf numFmtId="0" fontId="15" fillId="0" borderId="0" applyNumberFormat="0" applyBorder="0" applyAlignment="0"/>
    <xf numFmtId="0" fontId="15" fillId="0" borderId="0" applyNumberFormat="0" applyBorder="0" applyAlignment="0"/>
    <xf numFmtId="0" fontId="10" fillId="0" borderId="0"/>
    <xf numFmtId="0" fontId="7" fillId="0" borderId="0" applyNumberFormat="0" applyBorder="0" applyAlignment="0"/>
    <xf numFmtId="0" fontId="7" fillId="0" borderId="0" applyNumberFormat="0" applyBorder="0" applyAlignment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8" fillId="13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3" fontId="0" fillId="0" borderId="0" xfId="1" applyFont="1"/>
    <xf numFmtId="43" fontId="2" fillId="0" borderId="1" xfId="1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0" fontId="3" fillId="0" borderId="0" xfId="58"/>
    <xf numFmtId="0" fontId="3" fillId="0" borderId="0" xfId="58" applyAlignment="1">
      <alignment horizontal="center"/>
    </xf>
    <xf numFmtId="43" fontId="3" fillId="0" borderId="0" xfId="59" applyFont="1" applyAlignment="1">
      <alignment horizontal="center"/>
    </xf>
    <xf numFmtId="0" fontId="3" fillId="0" borderId="0" xfId="58" applyAlignment="1">
      <alignment horizontal="left"/>
    </xf>
    <xf numFmtId="0" fontId="3" fillId="0" borderId="0" xfId="58" quotePrefix="1"/>
    <xf numFmtId="43" fontId="3" fillId="0" borderId="0" xfId="59" applyFont="1" applyBorder="1" applyAlignment="1">
      <alignment horizontal="center"/>
    </xf>
    <xf numFmtId="43" fontId="3" fillId="0" borderId="2" xfId="59" applyFont="1" applyBorder="1" applyAlignment="1">
      <alignment horizontal="center"/>
    </xf>
    <xf numFmtId="0" fontId="3" fillId="0" borderId="0" xfId="58" applyFont="1"/>
    <xf numFmtId="43" fontId="3" fillId="0" borderId="0" xfId="59" applyFont="1" applyAlignment="1">
      <alignment horizontal="right"/>
    </xf>
    <xf numFmtId="43" fontId="3" fillId="0" borderId="0" xfId="59" applyFont="1" applyBorder="1" applyAlignment="1">
      <alignment horizontal="right"/>
    </xf>
    <xf numFmtId="0" fontId="3" fillId="0" borderId="0" xfId="58" applyFont="1" applyAlignment="1">
      <alignment horizontal="center"/>
    </xf>
    <xf numFmtId="0" fontId="3" fillId="0" borderId="0" xfId="58"/>
    <xf numFmtId="164" fontId="0" fillId="0" borderId="2" xfId="1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164" fontId="2" fillId="0" borderId="1" xfId="1" applyNumberFormat="1" applyFont="1" applyBorder="1" applyAlignment="1">
      <alignment horizontal="center" wrapText="1"/>
    </xf>
    <xf numFmtId="43" fontId="2" fillId="0" borderId="1" xfId="1" applyFont="1" applyBorder="1" applyAlignment="1">
      <alignment horizontal="center" wrapText="1"/>
    </xf>
    <xf numFmtId="164" fontId="0" fillId="0" borderId="0" xfId="0" applyNumberFormat="1"/>
    <xf numFmtId="14" fontId="16" fillId="0" borderId="5" xfId="0" applyNumberFormat="1" applyFont="1" applyFill="1" applyBorder="1"/>
    <xf numFmtId="4" fontId="0" fillId="5" borderId="0" xfId="0" applyNumberFormat="1" applyFill="1" applyBorder="1"/>
    <xf numFmtId="4" fontId="16" fillId="0" borderId="0" xfId="0" applyNumberFormat="1" applyFont="1" applyFill="1" applyBorder="1"/>
    <xf numFmtId="4" fontId="0" fillId="6" borderId="0" xfId="0" applyNumberFormat="1" applyFill="1" applyBorder="1"/>
    <xf numFmtId="4" fontId="0" fillId="3" borderId="0" xfId="0" applyNumberFormat="1" applyFill="1" applyBorder="1"/>
    <xf numFmtId="4" fontId="0" fillId="0" borderId="0" xfId="0" applyNumberFormat="1" applyFill="1" applyBorder="1"/>
    <xf numFmtId="4" fontId="0" fillId="7" borderId="0" xfId="0" applyNumberFormat="1" applyFill="1" applyBorder="1"/>
    <xf numFmtId="4" fontId="0" fillId="0" borderId="6" xfId="0" applyNumberFormat="1" applyFill="1" applyBorder="1"/>
    <xf numFmtId="4" fontId="0" fillId="0" borderId="0" xfId="0" applyNumberFormat="1" applyFill="1"/>
    <xf numFmtId="4" fontId="0" fillId="0" borderId="5" xfId="0" applyNumberFormat="1" applyFill="1" applyBorder="1"/>
    <xf numFmtId="4" fontId="0" fillId="7" borderId="6" xfId="0" applyNumberFormat="1" applyFill="1" applyBorder="1"/>
    <xf numFmtId="14" fontId="16" fillId="0" borderId="5" xfId="0" applyNumberFormat="1" applyFont="1" applyBorder="1"/>
    <xf numFmtId="4" fontId="0" fillId="0" borderId="0" xfId="0" applyNumberForma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0" applyNumberFormat="1" applyBorder="1"/>
    <xf numFmtId="14" fontId="16" fillId="0" borderId="7" xfId="0" applyNumberFormat="1" applyFont="1" applyBorder="1"/>
    <xf numFmtId="4" fontId="0" fillId="5" borderId="1" xfId="0" applyNumberFormat="1" applyFill="1" applyBorder="1"/>
    <xf numFmtId="4" fontId="16" fillId="0" borderId="1" xfId="0" applyNumberFormat="1" applyFont="1" applyFill="1" applyBorder="1"/>
    <xf numFmtId="4" fontId="0" fillId="6" borderId="1" xfId="0" applyNumberFormat="1" applyFill="1" applyBorder="1"/>
    <xf numFmtId="4" fontId="0" fillId="3" borderId="1" xfId="0" applyNumberFormat="1" applyFill="1" applyBorder="1"/>
    <xf numFmtId="4" fontId="0" fillId="0" borderId="1" xfId="0" applyNumberFormat="1" applyFill="1" applyBorder="1"/>
    <xf numFmtId="4" fontId="0" fillId="7" borderId="1" xfId="0" applyNumberFormat="1" applyFill="1" applyBorder="1"/>
    <xf numFmtId="0" fontId="2" fillId="0" borderId="0" xfId="0" applyFont="1"/>
    <xf numFmtId="0" fontId="2" fillId="0" borderId="0" xfId="1" quotePrefix="1" applyNumberFormat="1" applyFont="1"/>
    <xf numFmtId="14" fontId="0" fillId="0" borderId="8" xfId="0" applyNumberFormat="1" applyFill="1" applyBorder="1"/>
    <xf numFmtId="4" fontId="0" fillId="5" borderId="9" xfId="0" applyNumberFormat="1" applyFill="1" applyBorder="1"/>
    <xf numFmtId="4" fontId="16" fillId="0" borderId="9" xfId="0" applyNumberFormat="1" applyFont="1" applyFill="1" applyBorder="1"/>
    <xf numFmtId="4" fontId="0" fillId="6" borderId="9" xfId="0" applyNumberFormat="1" applyFill="1" applyBorder="1"/>
    <xf numFmtId="4" fontId="0" fillId="3" borderId="9" xfId="0" applyNumberFormat="1" applyFill="1" applyBorder="1"/>
    <xf numFmtId="4" fontId="0" fillId="0" borderId="9" xfId="0" applyNumberFormat="1" applyFill="1" applyBorder="1"/>
    <xf numFmtId="4" fontId="0" fillId="7" borderId="9" xfId="0" applyNumberFormat="1" applyFill="1" applyBorder="1"/>
    <xf numFmtId="4" fontId="0" fillId="0" borderId="10" xfId="0" applyNumberFormat="1" applyFill="1" applyBorder="1"/>
    <xf numFmtId="4" fontId="2" fillId="0" borderId="5" xfId="0" applyNumberFormat="1" applyFont="1" applyFill="1" applyBorder="1" applyAlignment="1">
      <alignment horizontal="right"/>
    </xf>
    <xf numFmtId="4" fontId="2" fillId="0" borderId="0" xfId="0" applyNumberFormat="1" applyFont="1" applyFill="1" applyBorder="1"/>
    <xf numFmtId="4" fontId="2" fillId="3" borderId="0" xfId="0" applyNumberFormat="1" applyFont="1" applyFill="1" applyBorder="1"/>
    <xf numFmtId="4" fontId="2" fillId="6" borderId="0" xfId="0" applyNumberFormat="1" applyFont="1" applyFill="1" applyBorder="1"/>
    <xf numFmtId="14" fontId="0" fillId="0" borderId="0" xfId="0" applyNumberFormat="1" applyFill="1"/>
    <xf numFmtId="4" fontId="16" fillId="0" borderId="0" xfId="0" applyNumberFormat="1" applyFont="1" applyFill="1"/>
    <xf numFmtId="4" fontId="2" fillId="0" borderId="8" xfId="0" applyNumberFormat="1" applyFont="1" applyFill="1" applyBorder="1" applyAlignment="1">
      <alignment horizontal="right"/>
    </xf>
    <xf numFmtId="4" fontId="2" fillId="0" borderId="9" xfId="0" applyNumberFormat="1" applyFont="1" applyFill="1" applyBorder="1"/>
    <xf numFmtId="4" fontId="2" fillId="3" borderId="9" xfId="0" applyNumberFormat="1" applyFont="1" applyFill="1" applyBorder="1"/>
    <xf numFmtId="4" fontId="2" fillId="6" borderId="9" xfId="0" applyNumberFormat="1" applyFont="1" applyFill="1" applyBorder="1"/>
    <xf numFmtId="4" fontId="0" fillId="7" borderId="10" xfId="0" applyNumberFormat="1" applyFill="1" applyBorder="1"/>
    <xf numFmtId="14" fontId="0" fillId="0" borderId="11" xfId="0" applyNumberFormat="1" applyFill="1" applyBorder="1" applyAlignment="1">
      <alignment horizontal="center" wrapText="1"/>
    </xf>
    <xf numFmtId="0" fontId="0" fillId="5" borderId="12" xfId="0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6" borderId="12" xfId="0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0" fillId="7" borderId="12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11" xfId="0" applyBorder="1"/>
    <xf numFmtId="0" fontId="0" fillId="7" borderId="13" xfId="0" applyFill="1" applyBorder="1" applyAlignment="1">
      <alignment horizontal="center" wrapText="1"/>
    </xf>
    <xf numFmtId="0" fontId="19" fillId="0" borderId="0" xfId="0" applyFont="1"/>
    <xf numFmtId="0" fontId="20" fillId="0" borderId="0" xfId="0" applyNumberFormat="1" applyFont="1"/>
    <xf numFmtId="168" fontId="0" fillId="0" borderId="0" xfId="0" applyNumberFormat="1"/>
    <xf numFmtId="2" fontId="0" fillId="0" borderId="0" xfId="0" applyNumberFormat="1"/>
    <xf numFmtId="168" fontId="0" fillId="0" borderId="0" xfId="0" applyNumberFormat="1" applyFill="1"/>
    <xf numFmtId="0" fontId="24" fillId="0" borderId="0" xfId="0" applyFont="1"/>
    <xf numFmtId="0" fontId="0" fillId="8" borderId="0" xfId="0" applyFill="1"/>
    <xf numFmtId="0" fontId="27" fillId="9" borderId="0" xfId="0" applyFont="1" applyFill="1"/>
    <xf numFmtId="168" fontId="21" fillId="0" borderId="0" xfId="0" applyNumberFormat="1" applyFont="1"/>
    <xf numFmtId="8" fontId="0" fillId="0" borderId="0" xfId="0" applyNumberFormat="1"/>
    <xf numFmtId="0" fontId="22" fillId="10" borderId="0" xfId="0" applyFont="1" applyFill="1"/>
    <xf numFmtId="168" fontId="22" fillId="0" borderId="14" xfId="0" applyNumberFormat="1" applyFont="1" applyBorder="1"/>
    <xf numFmtId="168" fontId="0" fillId="11" borderId="15" xfId="0" applyNumberFormat="1" applyFont="1" applyFill="1" applyBorder="1"/>
    <xf numFmtId="168" fontId="0" fillId="0" borderId="0" xfId="0" applyNumberFormat="1" applyFont="1" applyFill="1" applyBorder="1"/>
    <xf numFmtId="168" fontId="2" fillId="11" borderId="15" xfId="0" applyNumberFormat="1" applyFont="1" applyFill="1" applyBorder="1"/>
    <xf numFmtId="0" fontId="22" fillId="12" borderId="0" xfId="0" applyFont="1" applyFill="1"/>
    <xf numFmtId="0" fontId="22" fillId="0" borderId="0" xfId="0" applyFont="1"/>
    <xf numFmtId="168" fontId="22" fillId="0" borderId="0" xfId="0" applyNumberFormat="1" applyFont="1" applyBorder="1"/>
    <xf numFmtId="0" fontId="0" fillId="0" borderId="0" xfId="0" applyNumberFormat="1"/>
    <xf numFmtId="0" fontId="0" fillId="0" borderId="14" xfId="0" applyBorder="1"/>
    <xf numFmtId="10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Fill="1" applyBorder="1" applyAlignment="1">
      <alignment horizontal="right"/>
    </xf>
    <xf numFmtId="43" fontId="3" fillId="0" borderId="0" xfId="59" applyFont="1" applyFill="1" applyBorder="1" applyAlignment="1">
      <alignment horizontal="center"/>
    </xf>
    <xf numFmtId="43" fontId="3" fillId="0" borderId="0" xfId="59" applyFont="1" applyFill="1" applyAlignment="1">
      <alignment horizontal="center"/>
    </xf>
    <xf numFmtId="43" fontId="3" fillId="0" borderId="0" xfId="59" applyFont="1" applyFill="1" applyBorder="1" applyAlignment="1">
      <alignment horizontal="right"/>
    </xf>
    <xf numFmtId="43" fontId="3" fillId="0" borderId="0" xfId="59" applyFont="1" applyFill="1" applyAlignment="1">
      <alignment horizontal="right"/>
    </xf>
    <xf numFmtId="0" fontId="0" fillId="0" borderId="0" xfId="0" applyFill="1"/>
    <xf numFmtId="0" fontId="29" fillId="0" borderId="0" xfId="0" applyFont="1" applyAlignment="1">
      <alignment horizontal="center"/>
    </xf>
    <xf numFmtId="169" fontId="21" fillId="0" borderId="0" xfId="60" applyNumberFormat="1" applyFont="1" applyFill="1"/>
    <xf numFmtId="43" fontId="29" fillId="0" borderId="16" xfId="0" applyNumberFormat="1" applyFont="1" applyBorder="1"/>
    <xf numFmtId="0" fontId="29" fillId="0" borderId="0" xfId="0" applyFont="1" applyFill="1" applyAlignment="1">
      <alignment horizontal="center"/>
    </xf>
    <xf numFmtId="169" fontId="21" fillId="0" borderId="0" xfId="60" applyNumberFormat="1" applyFont="1" applyFill="1" applyBorder="1"/>
    <xf numFmtId="169" fontId="21" fillId="0" borderId="1" xfId="60" applyNumberFormat="1" applyFont="1" applyFill="1" applyBorder="1"/>
    <xf numFmtId="169" fontId="30" fillId="0" borderId="0" xfId="60" applyNumberFormat="1" applyFont="1" applyFill="1" applyBorder="1"/>
    <xf numFmtId="0" fontId="2" fillId="5" borderId="0" xfId="0" applyFont="1" applyFill="1"/>
    <xf numFmtId="0" fontId="31" fillId="0" borderId="0" xfId="0" applyFont="1"/>
    <xf numFmtId="0" fontId="21" fillId="0" borderId="0" xfId="0" applyFont="1" applyFill="1"/>
    <xf numFmtId="0" fontId="0" fillId="0" borderId="0" xfId="0" applyFont="1"/>
    <xf numFmtId="0" fontId="0" fillId="14" borderId="0" xfId="0" applyFont="1" applyFill="1"/>
    <xf numFmtId="0" fontId="2" fillId="0" borderId="0" xfId="0" applyFont="1" applyBorder="1" applyAlignment="1">
      <alignment horizontal="center"/>
    </xf>
    <xf numFmtId="14" fontId="0" fillId="0" borderId="0" xfId="0" applyNumberFormat="1" applyFont="1"/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14" fontId="0" fillId="0" borderId="2" xfId="0" applyNumberFormat="1" applyFont="1" applyBorder="1" applyAlignment="1">
      <alignment horizontal="center" wrapText="1"/>
    </xf>
    <xf numFmtId="14" fontId="21" fillId="0" borderId="2" xfId="0" applyNumberFormat="1" applyFont="1" applyFill="1" applyBorder="1" applyAlignment="1">
      <alignment horizontal="center" wrapText="1"/>
    </xf>
    <xf numFmtId="43" fontId="21" fillId="2" borderId="2" xfId="1" applyFont="1" applyFill="1" applyBorder="1" applyAlignment="1">
      <alignment horizontal="center" wrapText="1"/>
    </xf>
    <xf numFmtId="43" fontId="21" fillId="0" borderId="2" xfId="1" applyFont="1" applyBorder="1" applyAlignment="1">
      <alignment horizontal="center" wrapText="1"/>
    </xf>
    <xf numFmtId="43" fontId="21" fillId="0" borderId="0" xfId="1" applyFont="1" applyBorder="1" applyAlignment="1">
      <alignment horizontal="center" wrapText="1"/>
    </xf>
    <xf numFmtId="0" fontId="0" fillId="14" borderId="0" xfId="0" applyFont="1" applyFill="1" applyAlignment="1">
      <alignment wrapText="1"/>
    </xf>
    <xf numFmtId="169" fontId="0" fillId="0" borderId="0" xfId="1" applyNumberFormat="1" applyFont="1" applyFill="1"/>
    <xf numFmtId="169" fontId="0" fillId="2" borderId="0" xfId="1" applyNumberFormat="1" applyFont="1" applyFill="1"/>
    <xf numFmtId="169" fontId="0" fillId="0" borderId="0" xfId="1" applyNumberFormat="1" applyFont="1"/>
    <xf numFmtId="0" fontId="21" fillId="0" borderId="0" xfId="0" applyFont="1"/>
    <xf numFmtId="169" fontId="0" fillId="0" borderId="20" xfId="1" applyNumberFormat="1" applyFont="1" applyFill="1" applyBorder="1"/>
    <xf numFmtId="169" fontId="0" fillId="0" borderId="0" xfId="1" applyNumberFormat="1" applyFont="1" applyFill="1" applyBorder="1"/>
    <xf numFmtId="43" fontId="0" fillId="0" borderId="0" xfId="1" applyFont="1" applyFill="1"/>
    <xf numFmtId="43" fontId="21" fillId="0" borderId="0" xfId="1" applyFont="1" applyFill="1"/>
    <xf numFmtId="0" fontId="0" fillId="0" borderId="0" xfId="0" applyFont="1" applyFill="1"/>
    <xf numFmtId="43" fontId="0" fillId="0" borderId="0" xfId="0" applyNumberFormat="1" applyFont="1"/>
    <xf numFmtId="169" fontId="0" fillId="15" borderId="0" xfId="1" applyNumberFormat="1" applyFont="1" applyFill="1"/>
    <xf numFmtId="43" fontId="0" fillId="2" borderId="0" xfId="0" applyNumberFormat="1" applyFont="1" applyFill="1"/>
    <xf numFmtId="169" fontId="0" fillId="15" borderId="20" xfId="1" applyNumberFormat="1" applyFont="1" applyFill="1" applyBorder="1"/>
    <xf numFmtId="169" fontId="21" fillId="0" borderId="20" xfId="1" applyNumberFormat="1" applyFont="1" applyFill="1" applyBorder="1"/>
    <xf numFmtId="0" fontId="0" fillId="0" borderId="22" xfId="0" applyFont="1" applyBorder="1"/>
    <xf numFmtId="0" fontId="0" fillId="0" borderId="0" xfId="0" applyFont="1" applyBorder="1"/>
    <xf numFmtId="10" fontId="21" fillId="0" borderId="0" xfId="1" applyNumberFormat="1" applyFont="1" applyFill="1"/>
    <xf numFmtId="10" fontId="0" fillId="0" borderId="0" xfId="1" applyNumberFormat="1" applyFont="1"/>
    <xf numFmtId="170" fontId="0" fillId="0" borderId="0" xfId="1" applyNumberFormat="1" applyFont="1"/>
    <xf numFmtId="170" fontId="0" fillId="0" borderId="0" xfId="1" applyNumberFormat="1" applyFont="1" applyBorder="1" applyAlignment="1">
      <alignment horizontal="center"/>
    </xf>
    <xf numFmtId="169" fontId="2" fillId="2" borderId="0" xfId="1" applyNumberFormat="1" applyFont="1" applyFill="1"/>
    <xf numFmtId="169" fontId="2" fillId="14" borderId="0" xfId="1" applyNumberFormat="1" applyFont="1" applyFill="1"/>
    <xf numFmtId="169" fontId="0" fillId="14" borderId="20" xfId="1" applyNumberFormat="1" applyFont="1" applyFill="1" applyBorder="1"/>
    <xf numFmtId="43" fontId="0" fillId="0" borderId="0" xfId="0" applyNumberFormat="1" applyFont="1" applyFill="1"/>
    <xf numFmtId="0" fontId="0" fillId="14" borderId="22" xfId="0" applyFont="1" applyFill="1" applyBorder="1"/>
    <xf numFmtId="43" fontId="0" fillId="0" borderId="22" xfId="0" applyNumberFormat="1" applyFont="1" applyBorder="1"/>
    <xf numFmtId="0" fontId="0" fillId="0" borderId="0" xfId="0" applyAlignment="1">
      <alignment horizontal="center" wrapText="1"/>
    </xf>
    <xf numFmtId="43" fontId="2" fillId="0" borderId="2" xfId="1" applyFont="1" applyBorder="1" applyAlignment="1">
      <alignment horizontal="center" wrapText="1"/>
    </xf>
    <xf numFmtId="1" fontId="2" fillId="0" borderId="2" xfId="1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9" fontId="0" fillId="0" borderId="16" xfId="0" applyNumberFormat="1" applyBorder="1"/>
    <xf numFmtId="1" fontId="0" fillId="0" borderId="16" xfId="1" applyNumberFormat="1" applyFont="1" applyBorder="1" applyAlignment="1">
      <alignment horizontal="center"/>
    </xf>
    <xf numFmtId="10" fontId="0" fillId="0" borderId="16" xfId="62" applyNumberFormat="1" applyFont="1" applyBorder="1" applyAlignment="1">
      <alignment horizontal="center"/>
    </xf>
    <xf numFmtId="169" fontId="0" fillId="0" borderId="23" xfId="0" applyNumberFormat="1" applyBorder="1"/>
    <xf numFmtId="169" fontId="0" fillId="0" borderId="0" xfId="0" applyNumberFormat="1" applyBorder="1"/>
    <xf numFmtId="1" fontId="0" fillId="0" borderId="0" xfId="1" applyNumberFormat="1" applyFont="1" applyBorder="1" applyAlignment="1">
      <alignment horizontal="center"/>
    </xf>
    <xf numFmtId="10" fontId="0" fillId="0" borderId="0" xfId="62" applyNumberFormat="1" applyFont="1" applyBorder="1" applyAlignment="1">
      <alignment horizontal="center"/>
    </xf>
    <xf numFmtId="169" fontId="0" fillId="0" borderId="24" xfId="0" applyNumberFormat="1" applyBorder="1"/>
    <xf numFmtId="43" fontId="2" fillId="0" borderId="20" xfId="1" applyFont="1" applyBorder="1"/>
    <xf numFmtId="1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44" fontId="2" fillId="0" borderId="20" xfId="61" applyFont="1" applyBorder="1"/>
    <xf numFmtId="1" fontId="0" fillId="0" borderId="0" xfId="1" applyNumberFormat="1" applyFont="1" applyAlignment="1">
      <alignment horizontal="center"/>
    </xf>
    <xf numFmtId="171" fontId="0" fillId="0" borderId="0" xfId="0" applyNumberFormat="1"/>
    <xf numFmtId="0" fontId="32" fillId="0" borderId="0" xfId="0" applyFont="1"/>
    <xf numFmtId="43" fontId="32" fillId="0" borderId="0" xfId="1" applyFont="1"/>
    <xf numFmtId="14" fontId="0" fillId="0" borderId="11" xfId="0" applyNumberForma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4" fontId="0" fillId="0" borderId="5" xfId="0" applyNumberFormat="1" applyBorder="1"/>
    <xf numFmtId="4" fontId="0" fillId="5" borderId="0" xfId="0" applyNumberFormat="1" applyFill="1"/>
    <xf numFmtId="4" fontId="16" fillId="0" borderId="0" xfId="0" applyNumberFormat="1" applyFont="1"/>
    <xf numFmtId="4" fontId="0" fillId="6" borderId="0" xfId="0" applyNumberFormat="1" applyFill="1"/>
    <xf numFmtId="4" fontId="0" fillId="3" borderId="0" xfId="0" applyNumberFormat="1" applyFill="1"/>
    <xf numFmtId="4" fontId="0" fillId="7" borderId="0" xfId="0" applyNumberFormat="1" applyFill="1"/>
    <xf numFmtId="14" fontId="0" fillId="0" borderId="7" xfId="0" applyNumberFormat="1" applyBorder="1"/>
    <xf numFmtId="4" fontId="16" fillId="0" borderId="1" xfId="0" applyNumberFormat="1" applyFont="1" applyBorder="1"/>
    <xf numFmtId="4" fontId="0" fillId="0" borderId="1" xfId="0" applyNumberFormat="1" applyBorder="1"/>
    <xf numFmtId="4" fontId="2" fillId="0" borderId="5" xfId="0" applyNumberFormat="1" applyFont="1" applyBorder="1" applyAlignment="1">
      <alignment horizontal="right"/>
    </xf>
    <xf numFmtId="4" fontId="2" fillId="0" borderId="0" xfId="0" applyNumberFormat="1" applyFont="1"/>
    <xf numFmtId="4" fontId="2" fillId="3" borderId="0" xfId="0" applyNumberFormat="1" applyFont="1" applyFill="1"/>
    <xf numFmtId="4" fontId="2" fillId="6" borderId="0" xfId="0" applyNumberFormat="1" applyFont="1" applyFill="1"/>
    <xf numFmtId="4" fontId="0" fillId="2" borderId="0" xfId="0" applyNumberFormat="1" applyFill="1"/>
    <xf numFmtId="4" fontId="0" fillId="2" borderId="6" xfId="0" applyNumberFormat="1" applyFill="1" applyBorder="1"/>
    <xf numFmtId="14" fontId="0" fillId="0" borderId="8" xfId="0" applyNumberFormat="1" applyBorder="1"/>
    <xf numFmtId="4" fontId="16" fillId="0" borderId="9" xfId="0" applyNumberFormat="1" applyFont="1" applyBorder="1"/>
    <xf numFmtId="4" fontId="0" fillId="0" borderId="9" xfId="0" applyNumberFormat="1" applyBorder="1"/>
    <xf numFmtId="4" fontId="0" fillId="0" borderId="10" xfId="0" applyNumberFormat="1" applyBorder="1"/>
    <xf numFmtId="0" fontId="0" fillId="0" borderId="5" xfId="0" applyBorder="1"/>
    <xf numFmtId="0" fontId="0" fillId="0" borderId="6" xfId="0" applyBorder="1"/>
    <xf numFmtId="14" fontId="0" fillId="0" borderId="0" xfId="0" applyNumberFormat="1"/>
    <xf numFmtId="4" fontId="2" fillId="0" borderId="8" xfId="0" applyNumberFormat="1" applyFont="1" applyBorder="1" applyAlignment="1">
      <alignment horizontal="right"/>
    </xf>
    <xf numFmtId="4" fontId="2" fillId="0" borderId="9" xfId="0" applyNumberFormat="1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169" fontId="2" fillId="0" borderId="0" xfId="0" applyNumberFormat="1" applyFont="1"/>
    <xf numFmtId="169" fontId="21" fillId="0" borderId="0" xfId="1" applyNumberFormat="1" applyFont="1" applyFill="1" applyAlignment="1"/>
    <xf numFmtId="169" fontId="21" fillId="6" borderId="0" xfId="1" applyNumberFormat="1" applyFont="1" applyFill="1" applyAlignment="1"/>
    <xf numFmtId="169" fontId="30" fillId="16" borderId="0" xfId="1" applyNumberFormat="1" applyFont="1" applyFill="1" applyAlignment="1"/>
    <xf numFmtId="169" fontId="30" fillId="17" borderId="0" xfId="1" applyNumberFormat="1" applyFont="1" applyFill="1" applyAlignment="1"/>
    <xf numFmtId="169" fontId="0" fillId="0" borderId="0" xfId="0" applyNumberFormat="1" applyFont="1"/>
    <xf numFmtId="170" fontId="21" fillId="0" borderId="0" xfId="1" applyNumberFormat="1" applyFont="1" applyFill="1" applyAlignment="1"/>
    <xf numFmtId="169" fontId="30" fillId="0" borderId="20" xfId="1" applyNumberFormat="1" applyFont="1" applyFill="1" applyBorder="1" applyAlignment="1"/>
    <xf numFmtId="169" fontId="30" fillId="0" borderId="0" xfId="1" applyNumberFormat="1" applyFont="1" applyFill="1" applyBorder="1" applyAlignment="1"/>
    <xf numFmtId="170" fontId="30" fillId="0" borderId="0" xfId="1" applyNumberFormat="1" applyFont="1" applyFill="1" applyAlignment="1"/>
    <xf numFmtId="170" fontId="30" fillId="6" borderId="0" xfId="1" applyNumberFormat="1" applyFont="1" applyFill="1" applyAlignment="1"/>
    <xf numFmtId="0" fontId="2" fillId="0" borderId="0" xfId="0" applyFont="1" applyFill="1"/>
    <xf numFmtId="170" fontId="0" fillId="0" borderId="0" xfId="0" applyNumberFormat="1" applyFont="1" applyFill="1"/>
    <xf numFmtId="164" fontId="0" fillId="0" borderId="0" xfId="0" applyNumberFormat="1" applyFill="1"/>
    <xf numFmtId="168" fontId="0" fillId="18" borderId="0" xfId="0" applyNumberFormat="1" applyFill="1"/>
    <xf numFmtId="43" fontId="0" fillId="0" borderId="2" xfId="1" applyFont="1" applyBorder="1"/>
    <xf numFmtId="0" fontId="20" fillId="0" borderId="0" xfId="0" applyNumberFormat="1" applyFont="1" applyAlignment="1">
      <alignment horizontal="center"/>
    </xf>
    <xf numFmtId="43" fontId="3" fillId="0" borderId="2" xfId="59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9" fontId="0" fillId="0" borderId="0" xfId="1" applyNumberFormat="1" applyFont="1" applyFill="1" applyBorder="1" applyAlignment="1"/>
    <xf numFmtId="169" fontId="2" fillId="0" borderId="16" xfId="1" applyNumberFormat="1" applyFont="1" applyFill="1" applyBorder="1" applyAlignment="1"/>
    <xf numFmtId="0" fontId="2" fillId="0" borderId="2" xfId="0" applyFont="1" applyBorder="1"/>
    <xf numFmtId="0" fontId="0" fillId="0" borderId="2" xfId="0" applyBorder="1"/>
    <xf numFmtId="43" fontId="2" fillId="2" borderId="2" xfId="0" applyNumberFormat="1" applyFont="1" applyFill="1" applyBorder="1"/>
    <xf numFmtId="43" fontId="2" fillId="0" borderId="2" xfId="0" applyNumberFormat="1" applyFont="1" applyBorder="1"/>
    <xf numFmtId="0" fontId="2" fillId="0" borderId="0" xfId="0" applyFont="1" applyAlignment="1">
      <alignment horizontal="left"/>
    </xf>
    <xf numFmtId="43" fontId="0" fillId="0" borderId="0" xfId="0" applyNumberFormat="1"/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1" applyNumberFormat="1" applyFont="1" applyFill="1" applyBorder="1" applyAlignment="1">
      <alignment horizontal="center"/>
    </xf>
    <xf numFmtId="0" fontId="2" fillId="4" borderId="2" xfId="1" applyNumberFormat="1" applyFont="1" applyFill="1" applyBorder="1" applyAlignment="1">
      <alignment horizontal="center"/>
    </xf>
    <xf numFmtId="0" fontId="2" fillId="4" borderId="4" xfId="1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4" borderId="0" xfId="0" applyFont="1" applyFill="1" applyAlignment="1">
      <alignment horizontal="center" vertical="center" wrapText="1"/>
    </xf>
    <xf numFmtId="0" fontId="2" fillId="14" borderId="17" xfId="0" applyFont="1" applyFill="1" applyBorder="1" applyAlignment="1">
      <alignment horizontal="center"/>
    </xf>
    <xf numFmtId="0" fontId="2" fillId="14" borderId="18" xfId="0" applyFont="1" applyFill="1" applyBorder="1" applyAlignment="1">
      <alignment horizontal="center"/>
    </xf>
    <xf numFmtId="0" fontId="2" fillId="14" borderId="19" xfId="0" applyFont="1" applyFill="1" applyBorder="1" applyAlignment="1">
      <alignment horizontal="center"/>
    </xf>
    <xf numFmtId="43" fontId="0" fillId="0" borderId="21" xfId="1" applyFont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63">
    <cellStyle name="Comma" xfId="1" builtinId="3"/>
    <cellStyle name="Comma [0] 2" xfId="54"/>
    <cellStyle name="Comma 2" xfId="4"/>
    <cellStyle name="Comma 3" xfId="3"/>
    <cellStyle name="Comma 4" xfId="59"/>
    <cellStyle name="Currency" xfId="61" builtinId="4"/>
    <cellStyle name="Currency 2" xfId="5"/>
    <cellStyle name="Currency 3" xfId="57"/>
    <cellStyle name="FRxAmtStyle" xfId="6"/>
    <cellStyle name="FRxCurrStyle" xfId="7"/>
    <cellStyle name="FRxPcntStyle" xfId="8"/>
    <cellStyle name="Good" xfId="60" builtinId="26"/>
    <cellStyle name="Hyperlink 2" xfId="9"/>
    <cellStyle name="Normal" xfId="0" builtinId="0"/>
    <cellStyle name="Normal 2" xfId="10"/>
    <cellStyle name="Normal 2 2" xfId="11"/>
    <cellStyle name="Normal 2 3" xfId="56"/>
    <cellStyle name="Normal 3" xfId="55"/>
    <cellStyle name="Normal 4" xfId="58"/>
    <cellStyle name="Normal 5" xfId="2"/>
    <cellStyle name="Normal 60" xfId="12"/>
    <cellStyle name="Normal 78" xfId="13"/>
    <cellStyle name="Normal 87" xfId="14"/>
    <cellStyle name="Normal 88" xfId="15"/>
    <cellStyle name="Normal 89" xfId="16"/>
    <cellStyle name="Percent" xfId="62" builtinId="5"/>
    <cellStyle name="Percent 2" xfId="18"/>
    <cellStyle name="Percent 3" xfId="17"/>
    <cellStyle name="STYLE1" xfId="19"/>
    <cellStyle name="STYLE1 10" xfId="20"/>
    <cellStyle name="STYLE1 11" xfId="21"/>
    <cellStyle name="STYLE1 2" xfId="22"/>
    <cellStyle name="STYLE1 3" xfId="23"/>
    <cellStyle name="STYLE1 4" xfId="24"/>
    <cellStyle name="STYLE1 5" xfId="25"/>
    <cellStyle name="STYLE1 6" xfId="26"/>
    <cellStyle name="STYLE1 7" xfId="27"/>
    <cellStyle name="STYLE1 8" xfId="28"/>
    <cellStyle name="STYLE1 9" xfId="29"/>
    <cellStyle name="STYLE2" xfId="30"/>
    <cellStyle name="STYLE2 10" xfId="31"/>
    <cellStyle name="STYLE2 11" xfId="32"/>
    <cellStyle name="STYLE2 2" xfId="33"/>
    <cellStyle name="STYLE2 3" xfId="34"/>
    <cellStyle name="STYLE2 4" xfId="35"/>
    <cellStyle name="STYLE2 5" xfId="36"/>
    <cellStyle name="STYLE2 6" xfId="37"/>
    <cellStyle name="STYLE2 7" xfId="38"/>
    <cellStyle name="STYLE2 8" xfId="39"/>
    <cellStyle name="STYLE2 9" xfId="40"/>
    <cellStyle name="STYLE3" xfId="41"/>
    <cellStyle name="STYLE3 10" xfId="42"/>
    <cellStyle name="STYLE3 11" xfId="43"/>
    <cellStyle name="STYLE3 2" xfId="44"/>
    <cellStyle name="STYLE3 3" xfId="45"/>
    <cellStyle name="STYLE3 4" xfId="46"/>
    <cellStyle name="STYLE3 5" xfId="47"/>
    <cellStyle name="STYLE3 6" xfId="48"/>
    <cellStyle name="STYLE3 7" xfId="49"/>
    <cellStyle name="STYLE3 8" xfId="50"/>
    <cellStyle name="STYLE3 9" xfId="51"/>
    <cellStyle name="STYLE3_FRX GL" xfId="52"/>
    <cellStyle name="STYLE4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/2018%20FINANCIAL/InnPower/Regulatory%20Variance%20Accts/RSVA/GA%20Reconciliation%20for%20JE's%20to%20Adjust%20to%20Actual%20Dec%202018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ciliation"/>
      <sheetName val="2017"/>
      <sheetName val="2018"/>
      <sheetName val="Proposed Journal Entries"/>
    </sheetNames>
    <sheetDataSet>
      <sheetData sheetId="0">
        <row r="38">
          <cell r="E38">
            <v>1494645.3799999997</v>
          </cell>
          <cell r="K38">
            <v>340672.75407199975</v>
          </cell>
        </row>
        <row r="39">
          <cell r="E39">
            <v>1790845.76</v>
          </cell>
          <cell r="K39">
            <v>249041.21576680068</v>
          </cell>
        </row>
        <row r="40">
          <cell r="E40">
            <v>853382.93999999925</v>
          </cell>
          <cell r="K40">
            <v>402453.23857199901</v>
          </cell>
        </row>
        <row r="41">
          <cell r="E41">
            <v>1279253.8800000006</v>
          </cell>
          <cell r="K41">
            <v>532845.4978483998</v>
          </cell>
        </row>
        <row r="42">
          <cell r="E42">
            <v>1726868.4599999997</v>
          </cell>
          <cell r="K42">
            <v>558953.23309840041</v>
          </cell>
        </row>
        <row r="43">
          <cell r="E43">
            <v>1697393.7900000005</v>
          </cell>
          <cell r="K43">
            <v>569269.16375399975</v>
          </cell>
        </row>
        <row r="44">
          <cell r="E44">
            <v>1948929.8800000011</v>
          </cell>
          <cell r="K44">
            <v>498452.35681920085</v>
          </cell>
        </row>
        <row r="45">
          <cell r="E45">
            <v>1842962.47</v>
          </cell>
          <cell r="K45">
            <v>504167.16057299997</v>
          </cell>
        </row>
        <row r="46">
          <cell r="E46">
            <v>1650860.6900000002</v>
          </cell>
          <cell r="K46">
            <v>416067.9785446999</v>
          </cell>
        </row>
        <row r="47">
          <cell r="E47">
            <v>1240326.7200000004</v>
          </cell>
          <cell r="K47">
            <v>470965.45026559953</v>
          </cell>
        </row>
        <row r="48">
          <cell r="E48">
            <v>1524123.1900000002</v>
          </cell>
          <cell r="K48">
            <v>691679.98190800019</v>
          </cell>
        </row>
        <row r="49">
          <cell r="E49">
            <v>2552961.4900000016</v>
          </cell>
          <cell r="K49">
            <v>604416.49338840018</v>
          </cell>
        </row>
        <row r="50">
          <cell r="E50">
            <v>2095657.5099999998</v>
          </cell>
          <cell r="K50">
            <v>617107.81406299968</v>
          </cell>
        </row>
        <row r="51">
          <cell r="E51">
            <v>2385085.9500000007</v>
          </cell>
          <cell r="K51">
            <v>620430.74664900138</v>
          </cell>
        </row>
        <row r="52">
          <cell r="E52">
            <v>1982557.6499999994</v>
          </cell>
          <cell r="K52">
            <v>686059.25982200017</v>
          </cell>
        </row>
        <row r="53">
          <cell r="E53">
            <v>2433886.5800000005</v>
          </cell>
          <cell r="K53">
            <v>676525.8530887987</v>
          </cell>
        </row>
        <row r="54">
          <cell r="E54">
            <v>1984722.1600000006</v>
          </cell>
          <cell r="K54">
            <v>641329.56568560086</v>
          </cell>
        </row>
        <row r="55">
          <cell r="E55">
            <v>2320358.4700000002</v>
          </cell>
          <cell r="K55">
            <v>574945.63687800034</v>
          </cell>
        </row>
        <row r="56">
          <cell r="E56">
            <v>1814305.9900000005</v>
          </cell>
          <cell r="K56">
            <v>531601.34874219948</v>
          </cell>
        </row>
        <row r="57">
          <cell r="E57">
            <v>2111191.9500000011</v>
          </cell>
          <cell r="K57">
            <v>476597.569901001</v>
          </cell>
        </row>
        <row r="58">
          <cell r="E58">
            <v>1369886.3700000006</v>
          </cell>
          <cell r="K58">
            <v>583072.33607009973</v>
          </cell>
        </row>
        <row r="59">
          <cell r="E59">
            <v>1877755.11</v>
          </cell>
          <cell r="K59">
            <v>713202.0302844001</v>
          </cell>
        </row>
        <row r="60">
          <cell r="E60">
            <v>2482941.6599999992</v>
          </cell>
          <cell r="K60">
            <v>714188.15513010032</v>
          </cell>
        </row>
        <row r="61">
          <cell r="E61">
            <v>2581571.180000002</v>
          </cell>
          <cell r="K61">
            <v>573061.52130360052</v>
          </cell>
        </row>
        <row r="62">
          <cell r="E62">
            <v>1653960.5399999996</v>
          </cell>
          <cell r="K62">
            <v>584477.94563910074</v>
          </cell>
        </row>
        <row r="63">
          <cell r="E63">
            <v>2256004.06</v>
          </cell>
          <cell r="K63">
            <v>530181.06090019958</v>
          </cell>
        </row>
        <row r="64">
          <cell r="E64">
            <v>1997640.5600000003</v>
          </cell>
          <cell r="K64">
            <v>504685.85778549977</v>
          </cell>
        </row>
        <row r="65">
          <cell r="E65">
            <v>1316776.2500000005</v>
          </cell>
          <cell r="K65">
            <v>656925.33938420028</v>
          </cell>
        </row>
        <row r="66">
          <cell r="E66">
            <v>2024267.6799999983</v>
          </cell>
          <cell r="K66">
            <v>771296.83242029918</v>
          </cell>
        </row>
        <row r="67">
          <cell r="E67">
            <v>2370229.2700000005</v>
          </cell>
          <cell r="K67">
            <v>748942.24263840041</v>
          </cell>
        </row>
        <row r="68">
          <cell r="E68">
            <v>2339209.3899999997</v>
          </cell>
          <cell r="K68">
            <v>691561.48401600006</v>
          </cell>
        </row>
        <row r="69">
          <cell r="E69">
            <v>2415049.21</v>
          </cell>
          <cell r="K69">
            <v>620986.79211799847</v>
          </cell>
        </row>
        <row r="70">
          <cell r="E70">
            <v>2517811.7799999998</v>
          </cell>
          <cell r="K70">
            <v>531921.7331711998</v>
          </cell>
        </row>
        <row r="71">
          <cell r="E71">
            <v>1949632.9099999988</v>
          </cell>
          <cell r="K71">
            <v>753233.87005809962</v>
          </cell>
        </row>
        <row r="72">
          <cell r="E72">
            <v>2415063.5499999984</v>
          </cell>
          <cell r="K72">
            <v>606139.27320800046</v>
          </cell>
        </row>
        <row r="73">
          <cell r="E73">
            <v>2179335.1800000006</v>
          </cell>
          <cell r="K73">
            <v>601818.52701960108</v>
          </cell>
        </row>
        <row r="74">
          <cell r="E74">
            <v>2365551.0399999972</v>
          </cell>
          <cell r="K74">
            <v>450057.12428959971</v>
          </cell>
        </row>
        <row r="75">
          <cell r="E75">
            <v>1649574.0700000003</v>
          </cell>
          <cell r="K75">
            <v>476417.27837620245</v>
          </cell>
        </row>
        <row r="76">
          <cell r="E76">
            <v>1842661.5000000007</v>
          </cell>
          <cell r="K76">
            <v>596645.47273990035</v>
          </cell>
        </row>
        <row r="77">
          <cell r="E77">
            <v>2109524.5900000012</v>
          </cell>
          <cell r="K77">
            <v>568343.78429330047</v>
          </cell>
        </row>
        <row r="78">
          <cell r="E78">
            <v>1813722.3199999982</v>
          </cell>
          <cell r="K78">
            <v>628168.30597360001</v>
          </cell>
        </row>
        <row r="79">
          <cell r="E79">
            <v>2725922.660000002</v>
          </cell>
          <cell r="K79">
            <v>686736.70498480124</v>
          </cell>
        </row>
        <row r="80">
          <cell r="E80">
            <v>2122977.3199999989</v>
          </cell>
          <cell r="K80">
            <v>466375.98468299996</v>
          </cell>
        </row>
        <row r="81">
          <cell r="E81">
            <v>1919697.19</v>
          </cell>
          <cell r="K81">
            <v>458834.27217600076</v>
          </cell>
        </row>
        <row r="82">
          <cell r="E82">
            <v>1744566.1000000008</v>
          </cell>
          <cell r="K82">
            <v>485766.04402960074</v>
          </cell>
        </row>
        <row r="83">
          <cell r="E83">
            <v>1815240.4400000006</v>
          </cell>
          <cell r="K83">
            <v>681104.45738350321</v>
          </cell>
        </row>
        <row r="84">
          <cell r="E84">
            <v>2723216.0000000009</v>
          </cell>
          <cell r="K84">
            <v>568035.52323749836</v>
          </cell>
        </row>
        <row r="85">
          <cell r="E85">
            <v>2273351.7399999998</v>
          </cell>
          <cell r="K85">
            <v>420563.54581079975</v>
          </cell>
        </row>
      </sheetData>
      <sheetData sheetId="1"/>
      <sheetData sheetId="2">
        <row r="8">
          <cell r="E8">
            <v>-334347.29000000004</v>
          </cell>
          <cell r="F8">
            <v>-321724.31000000006</v>
          </cell>
          <cell r="G8">
            <v>-374222.73</v>
          </cell>
          <cell r="H8">
            <v>-426285.1399999999</v>
          </cell>
          <cell r="I8">
            <v>-418967.92999999993</v>
          </cell>
          <cell r="J8">
            <v>-497949.02</v>
          </cell>
          <cell r="K8">
            <v>-424092.35999999987</v>
          </cell>
          <cell r="L8">
            <v>-382633.51000000024</v>
          </cell>
          <cell r="M8">
            <v>-363271.48</v>
          </cell>
          <cell r="N8">
            <v>-364357.63999999966</v>
          </cell>
          <cell r="O8">
            <v>-548979.94000000041</v>
          </cell>
          <cell r="P8"/>
        </row>
        <row r="51">
          <cell r="E51">
            <v>-292185.33</v>
          </cell>
        </row>
        <row r="52">
          <cell r="F52">
            <v>-106009.60999999999</v>
          </cell>
          <cell r="G52">
            <v>-120538.49999999994</v>
          </cell>
          <cell r="H52">
            <v>-135292.62000000011</v>
          </cell>
          <cell r="I52">
            <v>-124507.85999999999</v>
          </cell>
          <cell r="J52">
            <v>-181287.93999999994</v>
          </cell>
          <cell r="K52">
            <v>-149582.7699999999</v>
          </cell>
          <cell r="L52">
            <v>-125138.05999999982</v>
          </cell>
          <cell r="M52">
            <v>-116170.52000000025</v>
          </cell>
          <cell r="N52">
            <v>-122067.83000000007</v>
          </cell>
          <cell r="O52">
            <v>-176003.8899999999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19"/>
  <sheetViews>
    <sheetView tabSelected="1" zoomScale="55" zoomScaleNormal="55" workbookViewId="0">
      <selection activeCell="B2" sqref="B2"/>
    </sheetView>
  </sheetViews>
  <sheetFormatPr defaultRowHeight="14.5" x14ac:dyDescent="0.35"/>
  <cols>
    <col min="1" max="1" width="2.6328125" customWidth="1"/>
    <col min="2" max="2" width="12.81640625" customWidth="1"/>
    <col min="3" max="3" width="23.08984375" bestFit="1" customWidth="1"/>
    <col min="4" max="5" width="17.6328125" customWidth="1"/>
    <col min="6" max="6" width="18.6328125" customWidth="1"/>
    <col min="7" max="7" width="18.6328125" style="3" customWidth="1"/>
    <col min="8" max="13" width="17.6328125" customWidth="1"/>
    <col min="15" max="15" width="13.1796875" bestFit="1" customWidth="1"/>
    <col min="16" max="16" width="14" bestFit="1" customWidth="1"/>
    <col min="17" max="17" width="12.81640625" bestFit="1" customWidth="1"/>
    <col min="18" max="18" width="14" bestFit="1" customWidth="1"/>
    <col min="19" max="19" width="11.1796875" bestFit="1" customWidth="1"/>
    <col min="21" max="21" width="17.08984375" bestFit="1" customWidth="1"/>
    <col min="22" max="22" width="13.453125" bestFit="1" customWidth="1"/>
  </cols>
  <sheetData>
    <row r="2" spans="2:29" ht="17" x14ac:dyDescent="0.4">
      <c r="B2" s="78" t="s">
        <v>91</v>
      </c>
    </row>
    <row r="4" spans="2:29" ht="29" x14ac:dyDescent="0.35">
      <c r="C4" s="2" t="s">
        <v>0</v>
      </c>
      <c r="D4" s="2" t="s">
        <v>1</v>
      </c>
      <c r="E4" s="2" t="s">
        <v>2</v>
      </c>
      <c r="F4" s="2" t="s">
        <v>3</v>
      </c>
      <c r="G4" s="4" t="s">
        <v>4</v>
      </c>
      <c r="H4" s="2" t="s">
        <v>5</v>
      </c>
    </row>
    <row r="5" spans="2:29" x14ac:dyDescent="0.35">
      <c r="B5" s="1">
        <v>1588</v>
      </c>
      <c r="C5" s="1" t="s">
        <v>6</v>
      </c>
      <c r="D5" s="107">
        <f>F16</f>
        <v>-52682.164417090185</v>
      </c>
      <c r="E5" s="107">
        <f>E47</f>
        <v>-44186.37271483356</v>
      </c>
      <c r="F5" s="107">
        <f>H63</f>
        <v>949322.99477864988</v>
      </c>
      <c r="G5" s="107">
        <f>V117</f>
        <v>200286.95955590019</v>
      </c>
      <c r="H5" s="23">
        <f>SUM(D5:G5)</f>
        <v>1052741.4172026264</v>
      </c>
    </row>
    <row r="6" spans="2:29" x14ac:dyDescent="0.35">
      <c r="B6" s="1">
        <v>1589</v>
      </c>
      <c r="C6" s="1" t="s">
        <v>6</v>
      </c>
      <c r="F6" s="107">
        <f>H72</f>
        <v>-493767.73</v>
      </c>
      <c r="G6" s="107">
        <f>V118</f>
        <v>-200286.95955590019</v>
      </c>
      <c r="H6" s="23">
        <f>SUM(D6:G6)</f>
        <v>-694054.68955590017</v>
      </c>
    </row>
    <row r="7" spans="2:29" x14ac:dyDescent="0.35">
      <c r="G7" s="107"/>
    </row>
    <row r="8" spans="2:29" x14ac:dyDescent="0.35">
      <c r="B8" s="38"/>
      <c r="C8" s="38"/>
      <c r="D8" s="38"/>
      <c r="G8"/>
      <c r="U8" s="3"/>
      <c r="V8" s="3"/>
      <c r="W8" s="3"/>
      <c r="X8" s="3"/>
      <c r="Y8" s="3"/>
      <c r="Z8" s="3"/>
      <c r="AA8" s="3"/>
      <c r="AB8" s="3"/>
      <c r="AC8" s="3"/>
    </row>
    <row r="9" spans="2:29" x14ac:dyDescent="0.35">
      <c r="B9" s="232" t="s">
        <v>89</v>
      </c>
      <c r="C9" s="233"/>
      <c r="D9" s="233"/>
      <c r="E9" s="233"/>
      <c r="F9" s="233"/>
      <c r="G9" s="233"/>
      <c r="H9" s="234"/>
    </row>
    <row r="10" spans="2:29" x14ac:dyDescent="0.35">
      <c r="G10"/>
    </row>
    <row r="11" spans="2:29" x14ac:dyDescent="0.35">
      <c r="B11" s="113" t="s">
        <v>96</v>
      </c>
      <c r="C11" s="113" t="s">
        <v>95</v>
      </c>
      <c r="D11" s="106" t="s">
        <v>92</v>
      </c>
      <c r="E11" s="106" t="s">
        <v>93</v>
      </c>
      <c r="F11" s="109" t="s">
        <v>94</v>
      </c>
      <c r="G11"/>
    </row>
    <row r="12" spans="2:29" x14ac:dyDescent="0.35">
      <c r="F12" s="105"/>
      <c r="G12"/>
    </row>
    <row r="13" spans="2:29" x14ac:dyDescent="0.35">
      <c r="D13" s="107">
        <v>-193405.39516536635</v>
      </c>
      <c r="E13" s="107">
        <v>-158382.22341927537</v>
      </c>
      <c r="F13" s="110">
        <f>D13-E13</f>
        <v>-35023.171746090986</v>
      </c>
      <c r="G13"/>
    </row>
    <row r="14" spans="2:29" x14ac:dyDescent="0.35">
      <c r="D14" s="107">
        <v>97663.532707814127</v>
      </c>
      <c r="E14" s="107">
        <v>106275.43267460284</v>
      </c>
      <c r="F14" s="110">
        <f t="shared" ref="F14:F15" si="0">D14-E14</f>
        <v>-8611.899966788711</v>
      </c>
      <c r="G14"/>
      <c r="J14" s="81"/>
    </row>
    <row r="15" spans="2:29" x14ac:dyDescent="0.35">
      <c r="D15" s="107">
        <v>329663.13763157942</v>
      </c>
      <c r="E15" s="107">
        <v>338710.23033578991</v>
      </c>
      <c r="F15" s="111">
        <f t="shared" si="0"/>
        <v>-9047.0927042104886</v>
      </c>
      <c r="G15"/>
    </row>
    <row r="16" spans="2:29" x14ac:dyDescent="0.35">
      <c r="D16" s="108">
        <v>233921.27517402719</v>
      </c>
      <c r="E16" s="108">
        <v>286603.43959111738</v>
      </c>
      <c r="F16" s="112">
        <f>SUM(F13:F15)</f>
        <v>-52682.164417090185</v>
      </c>
      <c r="G16"/>
    </row>
    <row r="17" spans="2:7" x14ac:dyDescent="0.35">
      <c r="G17"/>
    </row>
    <row r="18" spans="2:7" x14ac:dyDescent="0.35">
      <c r="G18"/>
    </row>
    <row r="19" spans="2:7" x14ac:dyDescent="0.35">
      <c r="B19" s="113" t="s">
        <v>97</v>
      </c>
      <c r="C19" s="113" t="s">
        <v>95</v>
      </c>
      <c r="G19"/>
    </row>
    <row r="20" spans="2:7" x14ac:dyDescent="0.35">
      <c r="G20"/>
    </row>
    <row r="21" spans="2:7" x14ac:dyDescent="0.35">
      <c r="E21" s="221" t="s">
        <v>98</v>
      </c>
      <c r="G21"/>
    </row>
    <row r="22" spans="2:7" x14ac:dyDescent="0.35">
      <c r="G22"/>
    </row>
    <row r="23" spans="2:7" x14ac:dyDescent="0.35">
      <c r="B23" t="s">
        <v>76</v>
      </c>
      <c r="E23" s="80">
        <v>2516116.3678637939</v>
      </c>
      <c r="G23"/>
    </row>
    <row r="24" spans="2:7" x14ac:dyDescent="0.35">
      <c r="E24" s="82"/>
      <c r="G24"/>
    </row>
    <row r="25" spans="2:7" x14ac:dyDescent="0.35">
      <c r="B25" t="s">
        <v>77</v>
      </c>
      <c r="E25" s="80">
        <v>442626.99992562749</v>
      </c>
      <c r="G25"/>
    </row>
    <row r="26" spans="2:7" x14ac:dyDescent="0.35">
      <c r="B26" s="83" t="s">
        <v>78</v>
      </c>
      <c r="E26" s="84">
        <v>1883754.4606529998</v>
      </c>
      <c r="G26"/>
    </row>
    <row r="27" spans="2:7" x14ac:dyDescent="0.35">
      <c r="B27" s="83"/>
      <c r="E27" s="80"/>
      <c r="G27"/>
    </row>
    <row r="28" spans="2:7" x14ac:dyDescent="0.35">
      <c r="B28" s="85" t="s">
        <v>79</v>
      </c>
      <c r="E28" s="86">
        <f>SUM(E25:E27)</f>
        <v>2326381.4605786274</v>
      </c>
      <c r="G28"/>
    </row>
    <row r="29" spans="2:7" x14ac:dyDescent="0.35">
      <c r="B29" s="83"/>
      <c r="E29" s="80"/>
      <c r="G29"/>
    </row>
    <row r="30" spans="2:7" ht="15" thickBot="1" x14ac:dyDescent="0.4">
      <c r="B30" s="88" t="s">
        <v>80</v>
      </c>
      <c r="E30" s="89">
        <f>E23-E28</f>
        <v>189734.90728516644</v>
      </c>
      <c r="G30"/>
    </row>
    <row r="31" spans="2:7" ht="15" thickTop="1" x14ac:dyDescent="0.35">
      <c r="E31" s="80"/>
      <c r="G31"/>
    </row>
    <row r="32" spans="2:7" x14ac:dyDescent="0.35">
      <c r="B32" t="s">
        <v>81</v>
      </c>
      <c r="E32" s="90">
        <v>0</v>
      </c>
      <c r="G32"/>
    </row>
    <row r="33" spans="2:7" x14ac:dyDescent="0.35">
      <c r="E33" s="91"/>
      <c r="G33"/>
    </row>
    <row r="34" spans="2:7" x14ac:dyDescent="0.35">
      <c r="B34" t="s">
        <v>82</v>
      </c>
      <c r="E34" s="92">
        <v>0</v>
      </c>
      <c r="G34"/>
    </row>
    <row r="35" spans="2:7" x14ac:dyDescent="0.35">
      <c r="E35" s="80"/>
      <c r="G35"/>
    </row>
    <row r="36" spans="2:7" ht="15" thickBot="1" x14ac:dyDescent="0.4">
      <c r="B36" s="93" t="s">
        <v>83</v>
      </c>
      <c r="E36" s="89">
        <f>E32-E34</f>
        <v>0</v>
      </c>
      <c r="G36"/>
    </row>
    <row r="37" spans="2:7" ht="15" thickTop="1" x14ac:dyDescent="0.35">
      <c r="B37" s="94"/>
      <c r="E37" s="95"/>
      <c r="G37"/>
    </row>
    <row r="38" spans="2:7" x14ac:dyDescent="0.35">
      <c r="E38" s="80"/>
      <c r="G38"/>
    </row>
    <row r="39" spans="2:7" x14ac:dyDescent="0.35">
      <c r="B39" t="s">
        <v>84</v>
      </c>
      <c r="E39" s="80">
        <f>SUM(E30,E36)</f>
        <v>189734.90728516644</v>
      </c>
      <c r="G39"/>
    </row>
    <row r="40" spans="2:7" x14ac:dyDescent="0.35">
      <c r="E40" s="80"/>
      <c r="G40"/>
    </row>
    <row r="41" spans="2:7" x14ac:dyDescent="0.35">
      <c r="B41" t="s">
        <v>85</v>
      </c>
      <c r="E41" s="96">
        <v>0</v>
      </c>
      <c r="G41"/>
    </row>
    <row r="42" spans="2:7" x14ac:dyDescent="0.35">
      <c r="E42" s="80"/>
      <c r="F42" s="18"/>
      <c r="G42"/>
    </row>
    <row r="43" spans="2:7" x14ac:dyDescent="0.35">
      <c r="B43" t="s">
        <v>86</v>
      </c>
      <c r="E43" s="80">
        <f>SUM(E39:E41)</f>
        <v>189734.90728516644</v>
      </c>
      <c r="G43"/>
    </row>
    <row r="44" spans="2:7" x14ac:dyDescent="0.35">
      <c r="E44" s="80"/>
      <c r="G44"/>
    </row>
    <row r="45" spans="2:7" x14ac:dyDescent="0.35">
      <c r="B45" t="s">
        <v>87</v>
      </c>
      <c r="E45" s="87">
        <v>-233921.28</v>
      </c>
      <c r="G45"/>
    </row>
    <row r="46" spans="2:7" x14ac:dyDescent="0.35">
      <c r="E46" s="80"/>
      <c r="G46"/>
    </row>
    <row r="47" spans="2:7" ht="15" thickBot="1" x14ac:dyDescent="0.4">
      <c r="B47" s="97" t="s">
        <v>88</v>
      </c>
      <c r="E47" s="89">
        <f>SUM(E43:E45)</f>
        <v>-44186.37271483356</v>
      </c>
      <c r="G47"/>
    </row>
    <row r="48" spans="2:7" ht="15" thickTop="1" x14ac:dyDescent="0.35">
      <c r="G48"/>
    </row>
    <row r="49" spans="2:9" x14ac:dyDescent="0.35">
      <c r="C49" s="98"/>
      <c r="G49"/>
    </row>
    <row r="50" spans="2:9" x14ac:dyDescent="0.35">
      <c r="B50" s="232" t="s">
        <v>52</v>
      </c>
      <c r="C50" s="233"/>
      <c r="D50" s="233"/>
      <c r="E50" s="233"/>
      <c r="F50" s="233"/>
      <c r="G50" s="233"/>
      <c r="H50" s="234"/>
    </row>
    <row r="52" spans="2:9" s="20" customFormat="1" ht="29" x14ac:dyDescent="0.35">
      <c r="F52" s="21" t="s">
        <v>54</v>
      </c>
      <c r="G52" s="22" t="s">
        <v>53</v>
      </c>
      <c r="H52" s="22" t="s">
        <v>51</v>
      </c>
    </row>
    <row r="53" spans="2:9" x14ac:dyDescent="0.35">
      <c r="C53" s="8" t="s">
        <v>7</v>
      </c>
      <c r="D53" s="7" t="s">
        <v>8</v>
      </c>
      <c r="E53" s="7"/>
      <c r="F53" s="6">
        <v>-2071687.42</v>
      </c>
      <c r="G53" s="99"/>
      <c r="I53" t="s">
        <v>90</v>
      </c>
    </row>
    <row r="54" spans="2:9" x14ac:dyDescent="0.35">
      <c r="C54" s="8" t="s">
        <v>9</v>
      </c>
      <c r="D54" s="7" t="s">
        <v>10</v>
      </c>
      <c r="E54" s="7"/>
      <c r="F54" s="6">
        <v>0</v>
      </c>
      <c r="G54" s="99"/>
    </row>
    <row r="55" spans="2:9" x14ac:dyDescent="0.35">
      <c r="C55" s="8" t="s">
        <v>11</v>
      </c>
      <c r="D55" s="7" t="s">
        <v>12</v>
      </c>
      <c r="E55" s="7"/>
      <c r="F55" s="6">
        <v>-1034.24</v>
      </c>
      <c r="G55" s="99"/>
    </row>
    <row r="56" spans="2:9" x14ac:dyDescent="0.35">
      <c r="C56" s="8" t="s">
        <v>13</v>
      </c>
      <c r="D56" s="7" t="s">
        <v>14</v>
      </c>
      <c r="E56" s="7"/>
      <c r="F56" s="6">
        <v>-954.94</v>
      </c>
      <c r="G56" s="99"/>
    </row>
    <row r="57" spans="2:9" x14ac:dyDescent="0.35">
      <c r="C57" s="8" t="s">
        <v>15</v>
      </c>
      <c r="D57" s="7" t="s">
        <v>16</v>
      </c>
      <c r="E57" s="7"/>
      <c r="F57" s="6">
        <v>-138705.48000000001</v>
      </c>
      <c r="G57" s="99"/>
    </row>
    <row r="58" spans="2:9" x14ac:dyDescent="0.35">
      <c r="C58" s="8" t="s">
        <v>17</v>
      </c>
      <c r="D58" s="7" t="s">
        <v>18</v>
      </c>
      <c r="E58" s="7"/>
      <c r="F58" s="6">
        <v>-438086.97</v>
      </c>
      <c r="G58" s="99"/>
    </row>
    <row r="59" spans="2:9" x14ac:dyDescent="0.35">
      <c r="C59" s="8" t="s">
        <v>19</v>
      </c>
      <c r="D59" s="7" t="s">
        <v>20</v>
      </c>
      <c r="E59" s="7"/>
      <c r="F59" s="6">
        <v>-4843.8100000000004</v>
      </c>
      <c r="G59" s="99"/>
    </row>
    <row r="60" spans="2:9" x14ac:dyDescent="0.35">
      <c r="C60" s="8" t="s">
        <v>21</v>
      </c>
      <c r="D60" s="7" t="s">
        <v>22</v>
      </c>
      <c r="E60" s="7"/>
      <c r="F60" s="6">
        <v>-28008.179999999993</v>
      </c>
      <c r="G60" s="99"/>
    </row>
    <row r="61" spans="2:9" x14ac:dyDescent="0.35">
      <c r="C61" s="8" t="s">
        <v>23</v>
      </c>
      <c r="D61" s="14" t="s">
        <v>24</v>
      </c>
      <c r="E61" s="7"/>
      <c r="F61" s="16">
        <v>0</v>
      </c>
      <c r="G61" s="99"/>
    </row>
    <row r="62" spans="2:9" x14ac:dyDescent="0.35">
      <c r="C62" s="7"/>
      <c r="D62" s="7" t="s">
        <v>25</v>
      </c>
      <c r="E62" s="7"/>
      <c r="F62" s="15">
        <v>0</v>
      </c>
      <c r="G62" s="99"/>
    </row>
    <row r="63" spans="2:9" x14ac:dyDescent="0.35">
      <c r="C63" s="7"/>
      <c r="D63" s="10" t="s">
        <v>26</v>
      </c>
      <c r="E63" s="7"/>
      <c r="F63" s="5">
        <f>SUM(F53:F62)</f>
        <v>-2683321.04</v>
      </c>
      <c r="G63" s="5">
        <v>-3632644.0347786499</v>
      </c>
      <c r="H63" s="19">
        <f>F63-G63</f>
        <v>949322.99477864988</v>
      </c>
    </row>
    <row r="64" spans="2:9" x14ac:dyDescent="0.35">
      <c r="C64" s="7"/>
      <c r="D64" s="10"/>
      <c r="E64" s="7"/>
      <c r="F64" s="12"/>
      <c r="H64" s="105"/>
    </row>
    <row r="65" spans="3:10" x14ac:dyDescent="0.35">
      <c r="C65" s="7"/>
      <c r="D65" s="8"/>
      <c r="E65" s="7"/>
      <c r="F65" s="9"/>
      <c r="H65" s="105"/>
    </row>
    <row r="66" spans="3:10" x14ac:dyDescent="0.35">
      <c r="C66" s="8" t="s">
        <v>39</v>
      </c>
      <c r="D66" s="7" t="s">
        <v>40</v>
      </c>
      <c r="E66" s="7"/>
      <c r="F66" s="6">
        <v>0</v>
      </c>
      <c r="G66" s="99"/>
      <c r="H66" s="105"/>
    </row>
    <row r="67" spans="3:10" x14ac:dyDescent="0.35">
      <c r="C67" s="8" t="s">
        <v>41</v>
      </c>
      <c r="D67" s="7" t="s">
        <v>42</v>
      </c>
      <c r="E67" s="7"/>
      <c r="F67" s="6">
        <v>0</v>
      </c>
      <c r="G67" s="99"/>
      <c r="H67" s="105"/>
    </row>
    <row r="68" spans="3:10" x14ac:dyDescent="0.35">
      <c r="C68" s="8" t="s">
        <v>43</v>
      </c>
      <c r="D68" s="7" t="s">
        <v>44</v>
      </c>
      <c r="E68" s="7"/>
      <c r="F68" s="6">
        <v>-379479.62</v>
      </c>
      <c r="G68" s="99"/>
      <c r="H68" s="105"/>
    </row>
    <row r="69" spans="3:10" x14ac:dyDescent="0.35">
      <c r="C69" s="8" t="s">
        <v>45</v>
      </c>
      <c r="D69" s="7" t="s">
        <v>46</v>
      </c>
      <c r="E69" s="7"/>
      <c r="F69" s="6">
        <v>0</v>
      </c>
      <c r="G69" s="99"/>
      <c r="H69" s="105"/>
    </row>
    <row r="70" spans="3:10" x14ac:dyDescent="0.35">
      <c r="C70" s="8" t="s">
        <v>47</v>
      </c>
      <c r="D70" s="7" t="s">
        <v>48</v>
      </c>
      <c r="E70" s="7"/>
      <c r="F70" s="6">
        <v>-114288.10999999999</v>
      </c>
      <c r="G70" s="99"/>
      <c r="H70" s="105"/>
    </row>
    <row r="71" spans="3:10" x14ac:dyDescent="0.35">
      <c r="C71" s="7"/>
      <c r="D71" s="7" t="s">
        <v>25</v>
      </c>
      <c r="E71" s="7"/>
      <c r="F71" s="6">
        <v>0</v>
      </c>
      <c r="G71" s="99"/>
      <c r="H71" s="105"/>
    </row>
    <row r="72" spans="3:10" x14ac:dyDescent="0.35">
      <c r="C72" s="11"/>
      <c r="D72" s="7" t="s">
        <v>49</v>
      </c>
      <c r="E72" s="7"/>
      <c r="F72" s="5">
        <f>SUM(F66:F71)</f>
        <v>-493767.73</v>
      </c>
      <c r="G72" s="5">
        <v>0</v>
      </c>
      <c r="H72" s="19">
        <f>F72-G72</f>
        <v>-493767.73</v>
      </c>
    </row>
    <row r="73" spans="3:10" x14ac:dyDescent="0.35">
      <c r="C73" s="11"/>
      <c r="D73" s="18"/>
      <c r="E73" s="18"/>
      <c r="F73" s="6"/>
      <c r="H73" s="105"/>
    </row>
    <row r="74" spans="3:10" x14ac:dyDescent="0.35">
      <c r="C74" s="11"/>
      <c r="D74" s="18"/>
      <c r="E74" s="18" t="s">
        <v>50</v>
      </c>
      <c r="F74" s="5">
        <f>F63+F72</f>
        <v>-3177088.77</v>
      </c>
      <c r="G74" s="5">
        <f t="shared" ref="G74:H74" si="1">G63+G72</f>
        <v>-3632644.0347786499</v>
      </c>
      <c r="H74" s="5">
        <f t="shared" si="1"/>
        <v>455555.2647786499</v>
      </c>
    </row>
    <row r="75" spans="3:10" x14ac:dyDescent="0.35">
      <c r="C75" s="11"/>
      <c r="D75" s="18"/>
      <c r="E75" s="18"/>
      <c r="F75" s="6"/>
      <c r="G75" s="6"/>
      <c r="H75" s="6"/>
      <c r="J75" s="171"/>
    </row>
    <row r="76" spans="3:10" x14ac:dyDescent="0.35">
      <c r="C76" s="11"/>
      <c r="D76" s="18"/>
      <c r="E76" s="18"/>
      <c r="F76" s="6"/>
      <c r="G76" s="6"/>
      <c r="H76" s="6"/>
    </row>
    <row r="77" spans="3:10" x14ac:dyDescent="0.35">
      <c r="C77" s="11"/>
      <c r="D77" s="18"/>
      <c r="E77" s="18"/>
      <c r="F77" s="6"/>
      <c r="G77" s="6"/>
      <c r="H77" s="100"/>
    </row>
    <row r="78" spans="3:10" x14ac:dyDescent="0.35">
      <c r="C78" s="8" t="s">
        <v>27</v>
      </c>
      <c r="D78" s="7" t="s">
        <v>28</v>
      </c>
      <c r="E78" s="7"/>
      <c r="F78" s="5">
        <v>-93173.58</v>
      </c>
      <c r="G78" s="5">
        <v>-93707.529650349301</v>
      </c>
      <c r="H78" s="19">
        <f>F78-G78</f>
        <v>533.94965034929919</v>
      </c>
    </row>
    <row r="79" spans="3:10" x14ac:dyDescent="0.35">
      <c r="C79" s="7"/>
      <c r="D79" s="7"/>
      <c r="E79" s="7"/>
      <c r="F79" s="12"/>
      <c r="G79" s="12"/>
      <c r="H79" s="101"/>
    </row>
    <row r="80" spans="3:10" x14ac:dyDescent="0.35">
      <c r="C80" s="18"/>
      <c r="D80" s="18"/>
      <c r="E80" s="18"/>
      <c r="F80" s="12"/>
      <c r="G80" s="12"/>
      <c r="H80" s="101"/>
    </row>
    <row r="81" spans="3:8" x14ac:dyDescent="0.35">
      <c r="C81" s="1" t="s">
        <v>99</v>
      </c>
      <c r="D81" t="s">
        <v>100</v>
      </c>
      <c r="E81" s="7"/>
      <c r="F81" s="5">
        <v>-150.27000000000001</v>
      </c>
      <c r="G81" s="5">
        <v>-188.31215531816301</v>
      </c>
      <c r="H81" s="19">
        <f>F81-G81</f>
        <v>38.042155318162997</v>
      </c>
    </row>
    <row r="82" spans="3:8" x14ac:dyDescent="0.35">
      <c r="E82" s="18"/>
      <c r="F82" s="9"/>
      <c r="G82" s="9"/>
      <c r="H82" s="102"/>
    </row>
    <row r="83" spans="3:8" x14ac:dyDescent="0.35">
      <c r="E83" s="18"/>
      <c r="F83" s="9"/>
      <c r="G83" s="9"/>
      <c r="H83" s="102"/>
    </row>
    <row r="84" spans="3:8" x14ac:dyDescent="0.35">
      <c r="C84" s="1" t="s">
        <v>101</v>
      </c>
      <c r="D84" t="s">
        <v>102</v>
      </c>
      <c r="E84" s="18"/>
      <c r="F84" s="5">
        <v>-10377.870000000001</v>
      </c>
      <c r="G84" s="5">
        <v>-10370.976020333001</v>
      </c>
      <c r="H84" s="19">
        <f>F84-G84</f>
        <v>-6.893979667000167</v>
      </c>
    </row>
    <row r="85" spans="3:8" x14ac:dyDescent="0.35">
      <c r="C85" s="18"/>
      <c r="D85" s="18"/>
      <c r="E85" s="18"/>
      <c r="F85" s="9"/>
      <c r="G85" s="9"/>
      <c r="H85" s="102"/>
    </row>
    <row r="86" spans="3:8" x14ac:dyDescent="0.35">
      <c r="C86" s="18"/>
      <c r="D86" s="18"/>
      <c r="E86" s="18"/>
      <c r="F86" s="9"/>
      <c r="G86" s="9"/>
      <c r="H86" s="102"/>
    </row>
    <row r="87" spans="3:8" x14ac:dyDescent="0.35">
      <c r="C87" s="8" t="s">
        <v>29</v>
      </c>
      <c r="D87" s="7" t="s">
        <v>30</v>
      </c>
      <c r="E87" s="7"/>
      <c r="F87" s="13"/>
      <c r="G87" s="13"/>
      <c r="H87" s="19">
        <f>F87-G87</f>
        <v>0</v>
      </c>
    </row>
    <row r="88" spans="3:8" x14ac:dyDescent="0.35">
      <c r="C88" s="7"/>
      <c r="D88" s="7"/>
      <c r="E88" s="7"/>
      <c r="F88" s="12"/>
      <c r="G88" s="12"/>
      <c r="H88" s="101"/>
    </row>
    <row r="89" spans="3:8" x14ac:dyDescent="0.35">
      <c r="C89" s="7"/>
      <c r="D89" s="7"/>
      <c r="E89" s="7"/>
      <c r="F89" s="9"/>
      <c r="G89" s="9"/>
      <c r="H89" s="102"/>
    </row>
    <row r="90" spans="3:8" x14ac:dyDescent="0.35">
      <c r="C90" s="8" t="s">
        <v>31</v>
      </c>
      <c r="D90" s="7" t="s">
        <v>32</v>
      </c>
      <c r="E90" s="7"/>
      <c r="F90" s="5">
        <v>-143254.9</v>
      </c>
      <c r="G90" s="5">
        <v>-144533.35</v>
      </c>
      <c r="H90" s="19">
        <f>F90-G90</f>
        <v>1278.4500000000116</v>
      </c>
    </row>
    <row r="91" spans="3:8" x14ac:dyDescent="0.35">
      <c r="C91" s="7"/>
      <c r="D91" s="7"/>
      <c r="E91" s="7"/>
      <c r="F91" s="16"/>
      <c r="G91" s="16"/>
      <c r="H91" s="103"/>
    </row>
    <row r="92" spans="3:8" x14ac:dyDescent="0.35">
      <c r="C92" s="7"/>
      <c r="D92" s="7"/>
      <c r="E92" s="7"/>
      <c r="F92" s="15"/>
      <c r="G92" s="15"/>
      <c r="H92" s="104"/>
    </row>
    <row r="93" spans="3:8" x14ac:dyDescent="0.35">
      <c r="C93" s="8" t="s">
        <v>33</v>
      </c>
      <c r="D93" s="7" t="s">
        <v>34</v>
      </c>
      <c r="E93" s="7"/>
      <c r="F93" s="5">
        <v>-108353.55</v>
      </c>
      <c r="G93" s="5">
        <v>-109831.77</v>
      </c>
      <c r="H93" s="19">
        <f>F93-G93</f>
        <v>1478.2200000000012</v>
      </c>
    </row>
    <row r="94" spans="3:8" x14ac:dyDescent="0.35">
      <c r="C94" s="7"/>
      <c r="D94" s="7"/>
      <c r="E94" s="7"/>
      <c r="F94" s="16"/>
      <c r="G94" s="16"/>
      <c r="H94" s="103"/>
    </row>
    <row r="95" spans="3:8" x14ac:dyDescent="0.35">
      <c r="C95" s="7"/>
      <c r="D95" s="7"/>
      <c r="E95" s="7"/>
      <c r="F95" s="16"/>
      <c r="G95" s="16"/>
      <c r="H95" s="103"/>
    </row>
    <row r="96" spans="3:8" x14ac:dyDescent="0.35">
      <c r="C96" s="8" t="s">
        <v>35</v>
      </c>
      <c r="D96" s="7" t="s">
        <v>36</v>
      </c>
      <c r="E96" s="7"/>
      <c r="F96" s="5">
        <v>-65989</v>
      </c>
      <c r="G96" s="5">
        <v>-67066.44</v>
      </c>
      <c r="H96" s="19">
        <f>F96-G96</f>
        <v>1077.4400000000023</v>
      </c>
    </row>
    <row r="97" spans="2:29" x14ac:dyDescent="0.35">
      <c r="C97" s="7"/>
      <c r="D97" s="7"/>
      <c r="E97" s="7"/>
      <c r="F97" s="16"/>
      <c r="G97" s="16"/>
      <c r="H97" s="103"/>
    </row>
    <row r="98" spans="2:29" x14ac:dyDescent="0.35">
      <c r="C98" s="17" t="s">
        <v>37</v>
      </c>
      <c r="D98" s="14" t="s">
        <v>38</v>
      </c>
      <c r="E98" s="14"/>
      <c r="F98" s="5">
        <v>-11403.6</v>
      </c>
      <c r="G98" s="5">
        <v>-9982.58</v>
      </c>
      <c r="H98" s="19">
        <f>F98-G98</f>
        <v>-1421.0200000000004</v>
      </c>
    </row>
    <row r="99" spans="2:29" x14ac:dyDescent="0.35">
      <c r="C99" s="7"/>
      <c r="D99" s="7"/>
      <c r="E99" s="7"/>
      <c r="F99" s="16"/>
      <c r="H99" s="105"/>
    </row>
    <row r="100" spans="2:29" x14ac:dyDescent="0.35">
      <c r="C100" s="7"/>
      <c r="D100" s="7"/>
      <c r="E100" s="7"/>
      <c r="F100" s="15"/>
    </row>
    <row r="101" spans="2:29" x14ac:dyDescent="0.35">
      <c r="B101" s="232" t="s">
        <v>75</v>
      </c>
      <c r="C101" s="233"/>
      <c r="D101" s="233"/>
      <c r="E101" s="233"/>
      <c r="F101" s="233"/>
      <c r="G101" s="233"/>
      <c r="H101" s="234"/>
    </row>
    <row r="102" spans="2:29" ht="15" thickBot="1" x14ac:dyDescent="0.4"/>
    <row r="103" spans="2:29" ht="116.5" thickTop="1" x14ac:dyDescent="0.35">
      <c r="B103" s="68" t="s">
        <v>60</v>
      </c>
      <c r="C103" s="69" t="s">
        <v>61</v>
      </c>
      <c r="D103" s="70" t="s">
        <v>62</v>
      </c>
      <c r="E103" s="69" t="s">
        <v>63</v>
      </c>
      <c r="F103" s="71" t="s">
        <v>64</v>
      </c>
      <c r="G103" s="72" t="s">
        <v>65</v>
      </c>
      <c r="H103" s="70" t="s">
        <v>66</v>
      </c>
      <c r="I103" s="70" t="s">
        <v>67</v>
      </c>
      <c r="J103" s="73" t="s">
        <v>68</v>
      </c>
      <c r="K103" s="69" t="s">
        <v>69</v>
      </c>
      <c r="L103" s="70" t="s">
        <v>70</v>
      </c>
      <c r="M103" s="74" t="s">
        <v>71</v>
      </c>
      <c r="N103" s="75"/>
      <c r="O103" s="76"/>
      <c r="P103" s="70" t="s">
        <v>72</v>
      </c>
      <c r="Q103" s="72" t="s">
        <v>73</v>
      </c>
      <c r="R103" s="71" t="s">
        <v>74</v>
      </c>
      <c r="S103" s="77" t="s">
        <v>68</v>
      </c>
      <c r="U103" s="3"/>
      <c r="V103" s="3"/>
      <c r="W103" s="3"/>
      <c r="X103" s="3"/>
      <c r="Y103" s="3"/>
      <c r="Z103" s="3"/>
      <c r="AA103" s="3"/>
      <c r="AB103" s="3"/>
      <c r="AC103" s="3"/>
    </row>
    <row r="104" spans="2:29" x14ac:dyDescent="0.35">
      <c r="B104" s="24">
        <v>43800</v>
      </c>
      <c r="C104" s="25">
        <v>-2457891.2799999998</v>
      </c>
      <c r="D104" s="26">
        <v>0</v>
      </c>
      <c r="E104" s="25">
        <v>-2457891.2799999998</v>
      </c>
      <c r="F104" s="27">
        <v>-1720523.9</v>
      </c>
      <c r="G104" s="28">
        <v>737367.37999999989</v>
      </c>
      <c r="H104" s="29">
        <v>-137671.8200000003</v>
      </c>
      <c r="I104" s="29">
        <v>-447280.98000000045</v>
      </c>
      <c r="J104" s="30">
        <v>152414.57999999914</v>
      </c>
      <c r="K104" s="25">
        <v>1779951.83</v>
      </c>
      <c r="L104" s="29">
        <v>-1627537.25</v>
      </c>
      <c r="M104" s="31">
        <v>0</v>
      </c>
      <c r="N104" s="32"/>
      <c r="O104" s="33"/>
      <c r="P104" s="29">
        <v>-2224285.9</v>
      </c>
      <c r="Q104" s="28">
        <v>-537080.4204440997</v>
      </c>
      <c r="R104" s="27">
        <v>-1687205.4795559002</v>
      </c>
      <c r="S104" s="34">
        <v>152414.57999999914</v>
      </c>
      <c r="U104" s="47" t="s">
        <v>55</v>
      </c>
      <c r="V104" s="48">
        <v>2019</v>
      </c>
      <c r="W104" s="3"/>
      <c r="X104" s="3"/>
      <c r="Y104" s="3"/>
      <c r="Z104" s="3"/>
      <c r="AA104" s="3"/>
      <c r="AB104" s="3"/>
      <c r="AC104" s="3"/>
    </row>
    <row r="105" spans="2:29" hidden="1" x14ac:dyDescent="0.35">
      <c r="B105" s="24"/>
      <c r="C105" s="25"/>
      <c r="D105" s="26"/>
      <c r="E105" s="25"/>
      <c r="F105" s="27"/>
      <c r="G105" s="28"/>
      <c r="H105" s="29"/>
      <c r="I105" s="29"/>
      <c r="J105" s="30"/>
      <c r="K105" s="25"/>
      <c r="L105" s="29"/>
      <c r="M105" s="31"/>
      <c r="N105" s="32"/>
      <c r="O105" s="33"/>
      <c r="P105" s="29"/>
      <c r="Q105" s="28"/>
      <c r="R105" s="27"/>
      <c r="S105" s="34"/>
      <c r="V105" s="3"/>
      <c r="W105" s="3"/>
      <c r="X105" s="3"/>
      <c r="Y105" s="3"/>
      <c r="Z105" s="3"/>
      <c r="AA105" s="3"/>
      <c r="AB105" s="3"/>
      <c r="AC105" s="3"/>
    </row>
    <row r="106" spans="2:29" hidden="1" x14ac:dyDescent="0.35">
      <c r="B106" s="24"/>
      <c r="C106" s="25"/>
      <c r="D106" s="26"/>
      <c r="E106" s="25"/>
      <c r="F106" s="27"/>
      <c r="G106" s="28"/>
      <c r="H106" s="29"/>
      <c r="I106" s="29"/>
      <c r="J106" s="30"/>
      <c r="K106" s="25"/>
      <c r="L106" s="29"/>
      <c r="M106" s="31"/>
      <c r="N106" s="32"/>
      <c r="O106" s="33"/>
      <c r="P106" s="29"/>
      <c r="Q106" s="28"/>
      <c r="R106" s="27"/>
      <c r="S106" s="34"/>
      <c r="V106" s="3"/>
      <c r="W106" s="3"/>
      <c r="X106" s="3"/>
      <c r="Y106" s="3"/>
      <c r="Z106" s="3"/>
      <c r="AA106" s="3"/>
      <c r="AB106" s="3"/>
      <c r="AC106" s="3"/>
    </row>
    <row r="107" spans="2:29" hidden="1" x14ac:dyDescent="0.35">
      <c r="B107" s="24"/>
      <c r="C107" s="25"/>
      <c r="D107" s="26"/>
      <c r="E107" s="25"/>
      <c r="F107" s="27"/>
      <c r="G107" s="28"/>
      <c r="H107" s="29"/>
      <c r="I107" s="29"/>
      <c r="J107" s="30"/>
      <c r="K107" s="25"/>
      <c r="L107" s="29"/>
      <c r="M107" s="31"/>
      <c r="N107" s="32"/>
      <c r="O107" s="33"/>
      <c r="P107" s="29"/>
      <c r="Q107" s="28"/>
      <c r="R107" s="27"/>
      <c r="S107" s="34"/>
      <c r="V107" s="3"/>
      <c r="W107" s="3"/>
      <c r="X107" s="3"/>
      <c r="Y107" s="3"/>
      <c r="Z107" s="3"/>
      <c r="AA107" s="3"/>
      <c r="AB107" s="3"/>
      <c r="AC107" s="3"/>
    </row>
    <row r="108" spans="2:29" hidden="1" x14ac:dyDescent="0.35">
      <c r="B108" s="24"/>
      <c r="C108" s="25"/>
      <c r="D108" s="26"/>
      <c r="E108" s="25"/>
      <c r="F108" s="27"/>
      <c r="G108" s="28"/>
      <c r="H108" s="29"/>
      <c r="I108" s="29"/>
      <c r="J108" s="30"/>
      <c r="K108" s="25"/>
      <c r="L108" s="29"/>
      <c r="M108" s="31"/>
      <c r="N108" s="32"/>
      <c r="O108" s="33"/>
      <c r="P108" s="29"/>
      <c r="Q108" s="28"/>
      <c r="R108" s="27"/>
      <c r="S108" s="34"/>
      <c r="V108" s="3"/>
      <c r="W108" s="3"/>
      <c r="X108" s="3"/>
      <c r="Y108" s="3"/>
      <c r="Z108" s="3"/>
      <c r="AA108" s="3"/>
      <c r="AB108" s="3"/>
      <c r="AC108" s="3"/>
    </row>
    <row r="109" spans="2:29" hidden="1" x14ac:dyDescent="0.35">
      <c r="B109" s="24"/>
      <c r="C109" s="25"/>
      <c r="D109" s="26"/>
      <c r="E109" s="25"/>
      <c r="F109" s="27"/>
      <c r="G109" s="28"/>
      <c r="H109" s="29"/>
      <c r="I109" s="29"/>
      <c r="J109" s="30"/>
      <c r="K109" s="25"/>
      <c r="L109" s="29"/>
      <c r="M109" s="31"/>
      <c r="N109" s="32"/>
      <c r="O109" s="33"/>
      <c r="P109" s="29"/>
      <c r="Q109" s="28"/>
      <c r="R109" s="27"/>
      <c r="S109" s="34"/>
      <c r="V109" s="3"/>
      <c r="W109" s="3"/>
      <c r="X109" s="3"/>
      <c r="Y109" s="3"/>
      <c r="Z109" s="3"/>
      <c r="AA109" s="3"/>
      <c r="AB109" s="3"/>
      <c r="AC109" s="3"/>
    </row>
    <row r="110" spans="2:29" hidden="1" x14ac:dyDescent="0.35">
      <c r="B110" s="24"/>
      <c r="C110" s="25"/>
      <c r="D110" s="26"/>
      <c r="E110" s="25"/>
      <c r="F110" s="27"/>
      <c r="G110" s="28"/>
      <c r="H110" s="29"/>
      <c r="I110" s="29"/>
      <c r="J110" s="30"/>
      <c r="K110" s="25"/>
      <c r="L110" s="29"/>
      <c r="M110" s="31"/>
      <c r="N110" s="32"/>
      <c r="O110" s="33"/>
      <c r="P110" s="29"/>
      <c r="Q110" s="28"/>
      <c r="R110" s="27"/>
      <c r="S110" s="34"/>
      <c r="V110" s="3"/>
      <c r="W110" s="3"/>
      <c r="X110" s="3"/>
      <c r="Y110" s="3"/>
      <c r="Z110" s="3"/>
      <c r="AA110" s="3"/>
      <c r="AB110" s="3"/>
      <c r="AC110" s="3"/>
    </row>
    <row r="111" spans="2:29" hidden="1" x14ac:dyDescent="0.35">
      <c r="B111" s="24"/>
      <c r="C111" s="25"/>
      <c r="D111" s="26"/>
      <c r="E111" s="25"/>
      <c r="F111" s="27"/>
      <c r="G111" s="28"/>
      <c r="H111" s="29"/>
      <c r="I111" s="29"/>
      <c r="J111" s="30"/>
      <c r="K111" s="25"/>
      <c r="L111" s="29"/>
      <c r="M111" s="31"/>
      <c r="N111" s="32"/>
      <c r="O111" s="33"/>
      <c r="P111" s="29"/>
      <c r="Q111" s="28"/>
      <c r="R111" s="27"/>
      <c r="S111" s="34"/>
      <c r="V111" s="3"/>
      <c r="W111" s="3"/>
      <c r="X111" s="3"/>
      <c r="Y111" s="3"/>
      <c r="Z111" s="3"/>
      <c r="AA111" s="3"/>
      <c r="AB111" s="3"/>
      <c r="AC111" s="3"/>
    </row>
    <row r="112" spans="2:29" hidden="1" x14ac:dyDescent="0.35">
      <c r="B112" s="24"/>
      <c r="C112" s="25"/>
      <c r="D112" s="26"/>
      <c r="E112" s="25"/>
      <c r="F112" s="27"/>
      <c r="G112" s="28"/>
      <c r="H112" s="29"/>
      <c r="I112" s="29"/>
      <c r="J112" s="30"/>
      <c r="K112" s="25"/>
      <c r="L112" s="29"/>
      <c r="M112" s="31"/>
      <c r="N112" s="32"/>
      <c r="O112" s="33"/>
      <c r="P112" s="29"/>
      <c r="Q112" s="28"/>
      <c r="R112" s="27"/>
      <c r="S112" s="34"/>
      <c r="V112" s="3"/>
      <c r="W112" s="3"/>
      <c r="X112" s="3"/>
      <c r="Y112" s="3"/>
      <c r="Z112" s="3"/>
      <c r="AA112" s="3"/>
      <c r="AB112" s="3"/>
      <c r="AC112" s="3"/>
    </row>
    <row r="113" spans="2:29" hidden="1" x14ac:dyDescent="0.35">
      <c r="B113" s="35"/>
      <c r="C113" s="25"/>
      <c r="D113" s="26"/>
      <c r="E113" s="25"/>
      <c r="F113" s="27"/>
      <c r="G113" s="28"/>
      <c r="H113" s="29"/>
      <c r="I113" s="29"/>
      <c r="J113" s="30"/>
      <c r="K113" s="25"/>
      <c r="L113" s="36"/>
      <c r="M113" s="37"/>
      <c r="N113" s="38"/>
      <c r="O113" s="39"/>
      <c r="P113" s="29"/>
      <c r="Q113" s="28"/>
      <c r="R113" s="27"/>
      <c r="S113" s="34"/>
      <c r="V113" s="3"/>
      <c r="W113" s="3"/>
      <c r="X113" s="3"/>
      <c r="Y113" s="3"/>
      <c r="Z113" s="3"/>
      <c r="AA113" s="3"/>
      <c r="AB113" s="3"/>
      <c r="AC113" s="3"/>
    </row>
    <row r="114" spans="2:29" hidden="1" x14ac:dyDescent="0.35">
      <c r="B114" s="35"/>
      <c r="C114" s="25"/>
      <c r="D114" s="26"/>
      <c r="E114" s="25"/>
      <c r="F114" s="27"/>
      <c r="G114" s="28"/>
      <c r="H114" s="29"/>
      <c r="I114" s="29"/>
      <c r="J114" s="30"/>
      <c r="K114" s="25"/>
      <c r="L114" s="36"/>
      <c r="M114" s="37"/>
      <c r="N114" s="38"/>
      <c r="O114" s="39"/>
      <c r="P114" s="29"/>
      <c r="Q114" s="28"/>
      <c r="R114" s="27"/>
      <c r="S114" s="34"/>
      <c r="V114" s="3"/>
      <c r="W114" s="3"/>
      <c r="X114" s="3"/>
      <c r="Y114" s="3"/>
      <c r="Z114" s="3"/>
      <c r="AA114" s="3"/>
      <c r="AB114" s="3"/>
      <c r="AC114" s="3"/>
    </row>
    <row r="115" spans="2:29" hidden="1" x14ac:dyDescent="0.35">
      <c r="B115" s="40"/>
      <c r="C115" s="41"/>
      <c r="D115" s="42"/>
      <c r="E115" s="41"/>
      <c r="F115" s="43"/>
      <c r="G115" s="44"/>
      <c r="H115" s="45"/>
      <c r="I115" s="45"/>
      <c r="J115" s="46"/>
      <c r="K115" s="25"/>
      <c r="L115" s="36"/>
      <c r="M115" s="37"/>
      <c r="N115" s="32"/>
      <c r="O115" s="39"/>
      <c r="P115" s="29"/>
      <c r="Q115" s="28"/>
      <c r="R115" s="27"/>
      <c r="S115" s="34"/>
      <c r="U115" s="47" t="s">
        <v>55</v>
      </c>
      <c r="V115" s="48">
        <v>43861</v>
      </c>
      <c r="W115" s="3"/>
      <c r="X115" s="3"/>
      <c r="Y115" s="3"/>
      <c r="Z115" s="3"/>
      <c r="AA115" s="3"/>
      <c r="AB115" s="3"/>
      <c r="AC115" s="3"/>
    </row>
    <row r="116" spans="2:29" ht="15" thickBot="1" x14ac:dyDescent="0.4">
      <c r="B116" s="49"/>
      <c r="C116" s="50">
        <v>-25009225.370000001</v>
      </c>
      <c r="D116" s="51">
        <v>0</v>
      </c>
      <c r="E116" s="50">
        <v>-25009225.370000001</v>
      </c>
      <c r="F116" s="52">
        <v>-17513372.120000001</v>
      </c>
      <c r="G116" s="53">
        <v>7495853.2500000009</v>
      </c>
      <c r="H116" s="54">
        <v>-1648784.93</v>
      </c>
      <c r="I116" s="54">
        <v>-4884660.58</v>
      </c>
      <c r="J116" s="55">
        <v>962407.73999999976</v>
      </c>
      <c r="K116" s="50"/>
      <c r="L116" s="54"/>
      <c r="M116" s="56"/>
      <c r="N116" s="32"/>
      <c r="O116" s="57" t="s">
        <v>56</v>
      </c>
      <c r="P116" s="58">
        <v>-2224285.9</v>
      </c>
      <c r="Q116" s="59">
        <v>-537080.4204440997</v>
      </c>
      <c r="R116" s="60">
        <v>-1687205.4795559002</v>
      </c>
      <c r="S116" s="34"/>
      <c r="V116" s="3"/>
      <c r="W116" s="3"/>
      <c r="X116" s="3"/>
      <c r="Y116" s="3"/>
      <c r="Z116" s="3"/>
      <c r="AA116" s="3"/>
      <c r="AB116" s="3"/>
      <c r="AC116" s="3"/>
    </row>
    <row r="117" spans="2:29" ht="15" thickTop="1" x14ac:dyDescent="0.35">
      <c r="B117" s="61"/>
      <c r="C117" s="32"/>
      <c r="D117" s="6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57" t="s">
        <v>57</v>
      </c>
      <c r="P117" s="58">
        <v>-2457891.2799999998</v>
      </c>
      <c r="Q117" s="59">
        <v>-737367.37999999989</v>
      </c>
      <c r="R117" s="60">
        <v>-1720523.9</v>
      </c>
      <c r="S117" s="34"/>
      <c r="U117" t="s">
        <v>58</v>
      </c>
      <c r="V117" s="3">
        <v>200286.95955590019</v>
      </c>
      <c r="W117" s="3"/>
      <c r="X117" s="3"/>
      <c r="Y117" s="3"/>
      <c r="Z117" s="3"/>
      <c r="AA117" s="3"/>
      <c r="AB117" s="3"/>
      <c r="AC117" s="3"/>
    </row>
    <row r="118" spans="2:29" ht="15" thickBot="1" x14ac:dyDescent="0.4">
      <c r="B118" s="61"/>
      <c r="C118" s="32"/>
      <c r="D118" s="62"/>
      <c r="E118" s="32"/>
      <c r="F118" s="32"/>
      <c r="G118" s="32"/>
      <c r="H118" s="32"/>
      <c r="I118" s="32"/>
      <c r="J118" s="32"/>
      <c r="K118" s="32"/>
      <c r="L118" s="32"/>
      <c r="M118" s="38"/>
      <c r="N118" s="38"/>
      <c r="O118" s="63" t="s">
        <v>51</v>
      </c>
      <c r="P118" s="64">
        <v>233605.37999999989</v>
      </c>
      <c r="Q118" s="65">
        <v>200286.95955590019</v>
      </c>
      <c r="R118" s="66">
        <v>33318.420444099698</v>
      </c>
      <c r="S118" s="67"/>
      <c r="U118" t="s">
        <v>59</v>
      </c>
      <c r="V118" s="3">
        <v>-200286.95955590019</v>
      </c>
      <c r="W118" s="3"/>
      <c r="X118" s="3"/>
      <c r="Y118" s="3"/>
      <c r="Z118" s="3"/>
      <c r="AA118" s="3"/>
      <c r="AB118" s="3"/>
      <c r="AC118" s="3"/>
    </row>
    <row r="119" spans="2:29" ht="15" thickTop="1" x14ac:dyDescent="0.35">
      <c r="B119" s="38"/>
      <c r="C119" s="38"/>
      <c r="D119" s="38"/>
      <c r="G119"/>
      <c r="U119" s="3"/>
      <c r="V119" s="3"/>
      <c r="W119" s="3"/>
      <c r="X119" s="3"/>
      <c r="Y119" s="3"/>
      <c r="Z119" s="3"/>
      <c r="AA119" s="3"/>
      <c r="AB119" s="3"/>
      <c r="AC119" s="3"/>
    </row>
  </sheetData>
  <mergeCells count="3">
    <mergeCell ref="B50:H50"/>
    <mergeCell ref="B101:H101"/>
    <mergeCell ref="B9:H9"/>
  </mergeCells>
  <pageMargins left="0.7" right="0.7" top="0.75" bottom="0.75" header="0.3" footer="0.3"/>
  <pageSetup scale="25" orientation="portrait" r:id="rId1"/>
  <rowBreaks count="1" manualBreakCount="1">
    <brk id="49" max="2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8"/>
  <sheetViews>
    <sheetView zoomScale="70" zoomScaleNormal="70" workbookViewId="0">
      <selection activeCell="T46" sqref="T46"/>
    </sheetView>
  </sheetViews>
  <sheetFormatPr defaultColWidth="8.7265625" defaultRowHeight="14.5" x14ac:dyDescent="0.35"/>
  <cols>
    <col min="1" max="1" width="1.6328125" style="116" customWidth="1"/>
    <col min="2" max="2" width="9.1796875" style="116" bestFit="1" customWidth="1"/>
    <col min="3" max="3" width="36.7265625" style="116" bestFit="1" customWidth="1"/>
    <col min="4" max="5" width="13.6328125" style="116" customWidth="1"/>
    <col min="6" max="6" width="1.6328125" style="116" customWidth="1"/>
    <col min="7" max="10" width="13.6328125" style="116" customWidth="1"/>
    <col min="11" max="12" width="13.6328125" style="47" customWidth="1"/>
    <col min="13" max="13" width="1.6328125" style="116" customWidth="1"/>
    <col min="14" max="19" width="13.6328125" style="116" customWidth="1"/>
    <col min="20" max="20" width="1.6328125" style="116" customWidth="1"/>
    <col min="21" max="26" width="13.6328125" style="116" customWidth="1"/>
    <col min="27" max="27" width="1.6328125" style="116" customWidth="1"/>
    <col min="28" max="33" width="13.6328125" style="116" customWidth="1"/>
    <col min="34" max="34" width="1.6328125" style="116" customWidth="1"/>
    <col min="35" max="40" width="13.6328125" style="116" customWidth="1"/>
    <col min="41" max="41" width="1.6328125" style="116" customWidth="1"/>
    <col min="42" max="47" width="13.6328125" style="116" customWidth="1"/>
    <col min="48" max="48" width="1.6328125" style="116" customWidth="1"/>
    <col min="49" max="54" width="13.6328125" style="116" customWidth="1"/>
    <col min="55" max="55" width="1.6328125" style="116" customWidth="1"/>
    <col min="56" max="61" width="13.6328125" style="116" customWidth="1"/>
    <col min="62" max="62" width="1.6328125" style="116" customWidth="1"/>
    <col min="63" max="16384" width="8.7265625" style="116"/>
  </cols>
  <sheetData>
    <row r="2" spans="2:62" x14ac:dyDescent="0.35">
      <c r="B2" s="47" t="s">
        <v>165</v>
      </c>
    </row>
    <row r="3" spans="2:62" ht="15" thickBot="1" x14ac:dyDescent="0.4"/>
    <row r="4" spans="2:62" ht="15" thickBot="1" x14ac:dyDescent="0.4">
      <c r="D4" s="248">
        <v>2015</v>
      </c>
      <c r="E4" s="249"/>
      <c r="F4" s="168"/>
      <c r="G4" s="248">
        <v>2016</v>
      </c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50"/>
      <c r="T4" s="168"/>
      <c r="U4" s="248">
        <v>2017</v>
      </c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50"/>
      <c r="AH4" s="168"/>
      <c r="AI4" s="248">
        <v>2018</v>
      </c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50"/>
      <c r="AV4" s="168"/>
      <c r="AW4" s="248">
        <v>2019</v>
      </c>
      <c r="AX4" s="249"/>
      <c r="AY4" s="249"/>
      <c r="AZ4" s="249"/>
      <c r="BA4" s="249"/>
      <c r="BB4" s="249"/>
      <c r="BC4" s="249"/>
      <c r="BD4" s="249"/>
      <c r="BE4" s="249"/>
      <c r="BF4" s="249"/>
      <c r="BG4" s="249"/>
      <c r="BH4" s="249"/>
      <c r="BI4" s="250"/>
      <c r="BJ4" s="168"/>
    </row>
    <row r="5" spans="2:62" s="136" customFormat="1" x14ac:dyDescent="0.35">
      <c r="D5" s="201"/>
      <c r="E5" s="201"/>
      <c r="F5" s="202"/>
      <c r="G5" s="246" t="s">
        <v>166</v>
      </c>
      <c r="H5" s="246"/>
      <c r="I5" s="246"/>
      <c r="J5" s="246"/>
      <c r="K5" s="246"/>
      <c r="L5" s="246"/>
      <c r="M5" s="201"/>
      <c r="N5" s="246" t="s">
        <v>167</v>
      </c>
      <c r="O5" s="246"/>
      <c r="P5" s="246"/>
      <c r="Q5" s="246"/>
      <c r="R5" s="246"/>
      <c r="S5" s="246"/>
      <c r="T5" s="202"/>
      <c r="U5" s="246" t="s">
        <v>166</v>
      </c>
      <c r="V5" s="246"/>
      <c r="W5" s="246"/>
      <c r="X5" s="246"/>
      <c r="Y5" s="246"/>
      <c r="Z5" s="246"/>
      <c r="AA5" s="201"/>
      <c r="AB5" s="246" t="s">
        <v>167</v>
      </c>
      <c r="AC5" s="246"/>
      <c r="AD5" s="246"/>
      <c r="AE5" s="246"/>
      <c r="AF5" s="246"/>
      <c r="AG5" s="246"/>
      <c r="AH5" s="202"/>
      <c r="AI5" s="246" t="s">
        <v>166</v>
      </c>
      <c r="AJ5" s="246"/>
      <c r="AK5" s="246"/>
      <c r="AL5" s="246"/>
      <c r="AM5" s="246"/>
      <c r="AN5" s="246"/>
      <c r="AO5" s="201"/>
      <c r="AP5" s="246" t="s">
        <v>167</v>
      </c>
      <c r="AQ5" s="246"/>
      <c r="AR5" s="246"/>
      <c r="AS5" s="246"/>
      <c r="AT5" s="246"/>
      <c r="AU5" s="246"/>
      <c r="AV5" s="202"/>
      <c r="AW5" s="246" t="s">
        <v>166</v>
      </c>
      <c r="AX5" s="246"/>
      <c r="AY5" s="246"/>
      <c r="AZ5" s="246"/>
      <c r="BA5" s="246"/>
      <c r="BB5" s="246"/>
      <c r="BC5" s="201"/>
      <c r="BD5" s="246" t="s">
        <v>167</v>
      </c>
      <c r="BE5" s="246"/>
      <c r="BF5" s="246"/>
      <c r="BG5" s="246"/>
      <c r="BH5" s="246"/>
      <c r="BI5" s="246"/>
      <c r="BJ5" s="202"/>
    </row>
    <row r="6" spans="2:62" s="121" customFormat="1" ht="29" x14ac:dyDescent="0.35">
      <c r="D6" s="203" t="s">
        <v>166</v>
      </c>
      <c r="E6" s="203" t="s">
        <v>167</v>
      </c>
      <c r="F6" s="203"/>
      <c r="G6" s="203" t="s">
        <v>168</v>
      </c>
      <c r="H6" s="203" t="s">
        <v>166</v>
      </c>
      <c r="I6" s="203" t="s">
        <v>169</v>
      </c>
      <c r="J6" s="204" t="s">
        <v>170</v>
      </c>
      <c r="K6" s="203" t="s">
        <v>171</v>
      </c>
      <c r="L6" s="203" t="s">
        <v>172</v>
      </c>
      <c r="M6" s="203"/>
      <c r="N6" s="203" t="s">
        <v>168</v>
      </c>
      <c r="O6" s="203" t="s">
        <v>167</v>
      </c>
      <c r="P6" s="203" t="s">
        <v>169</v>
      </c>
      <c r="Q6" s="204" t="s">
        <v>170</v>
      </c>
      <c r="R6" s="203" t="s">
        <v>171</v>
      </c>
      <c r="S6" s="203" t="s">
        <v>172</v>
      </c>
      <c r="T6" s="203"/>
      <c r="U6" s="203" t="s">
        <v>168</v>
      </c>
      <c r="V6" s="203" t="s">
        <v>166</v>
      </c>
      <c r="W6" s="203" t="s">
        <v>169</v>
      </c>
      <c r="X6" s="204" t="s">
        <v>170</v>
      </c>
      <c r="Y6" s="203" t="s">
        <v>171</v>
      </c>
      <c r="Z6" s="203" t="s">
        <v>172</v>
      </c>
      <c r="AA6" s="203"/>
      <c r="AB6" s="203" t="s">
        <v>168</v>
      </c>
      <c r="AC6" s="203" t="s">
        <v>167</v>
      </c>
      <c r="AD6" s="203" t="s">
        <v>169</v>
      </c>
      <c r="AE6" s="204" t="s">
        <v>170</v>
      </c>
      <c r="AF6" s="203" t="s">
        <v>171</v>
      </c>
      <c r="AG6" s="203" t="s">
        <v>172</v>
      </c>
      <c r="AH6" s="203"/>
      <c r="AI6" s="203" t="s">
        <v>168</v>
      </c>
      <c r="AJ6" s="203" t="s">
        <v>166</v>
      </c>
      <c r="AK6" s="203" t="s">
        <v>169</v>
      </c>
      <c r="AL6" s="204" t="s">
        <v>170</v>
      </c>
      <c r="AM6" s="203" t="s">
        <v>171</v>
      </c>
      <c r="AN6" s="203" t="s">
        <v>172</v>
      </c>
      <c r="AO6" s="203"/>
      <c r="AP6" s="203" t="s">
        <v>168</v>
      </c>
      <c r="AQ6" s="203" t="s">
        <v>167</v>
      </c>
      <c r="AR6" s="203" t="s">
        <v>169</v>
      </c>
      <c r="AS6" s="204" t="s">
        <v>170</v>
      </c>
      <c r="AT6" s="203" t="s">
        <v>171</v>
      </c>
      <c r="AU6" s="203" t="s">
        <v>172</v>
      </c>
      <c r="AV6" s="203"/>
      <c r="AW6" s="203" t="s">
        <v>168</v>
      </c>
      <c r="AX6" s="203" t="s">
        <v>166</v>
      </c>
      <c r="AY6" s="203" t="s">
        <v>169</v>
      </c>
      <c r="AZ6" s="204" t="s">
        <v>170</v>
      </c>
      <c r="BA6" s="203" t="s">
        <v>171</v>
      </c>
      <c r="BB6" s="203" t="s">
        <v>172</v>
      </c>
      <c r="BC6" s="203"/>
      <c r="BD6" s="203" t="s">
        <v>168</v>
      </c>
      <c r="BE6" s="203" t="s">
        <v>167</v>
      </c>
      <c r="BF6" s="203" t="s">
        <v>169</v>
      </c>
      <c r="BG6" s="204" t="s">
        <v>170</v>
      </c>
      <c r="BH6" s="203" t="s">
        <v>171</v>
      </c>
      <c r="BI6" s="203" t="s">
        <v>172</v>
      </c>
      <c r="BJ6" s="203"/>
    </row>
    <row r="7" spans="2:62" s="210" customFormat="1" x14ac:dyDescent="0.35">
      <c r="B7" s="247">
        <v>1580</v>
      </c>
      <c r="C7" s="205" t="s">
        <v>173</v>
      </c>
      <c r="D7" s="206">
        <v>-520686.19</v>
      </c>
      <c r="E7" s="206">
        <v>-463.9</v>
      </c>
      <c r="F7" s="206"/>
      <c r="G7" s="206">
        <f>D7</f>
        <v>-520686.19</v>
      </c>
      <c r="H7" s="206">
        <v>-317937.87</v>
      </c>
      <c r="I7" s="206">
        <v>-6164</v>
      </c>
      <c r="J7" s="207">
        <v>10131.120000000001</v>
      </c>
      <c r="K7" s="208">
        <f>SUM(G7:J7)</f>
        <v>-834656.94000000006</v>
      </c>
      <c r="L7" s="209">
        <f>SUM(G7:I7)</f>
        <v>-844788.06</v>
      </c>
      <c r="M7" s="206"/>
      <c r="N7" s="206">
        <f>E7</f>
        <v>-463.9</v>
      </c>
      <c r="O7" s="206">
        <v>-7598.87</v>
      </c>
      <c r="P7" s="206">
        <v>-2148</v>
      </c>
      <c r="Q7" s="207">
        <v>60.66</v>
      </c>
      <c r="R7" s="208">
        <f>SUM(N7:Q7)</f>
        <v>-10150.11</v>
      </c>
      <c r="S7" s="209">
        <f>SUM(N7:P7)</f>
        <v>-10210.77</v>
      </c>
      <c r="T7" s="206"/>
      <c r="U7" s="206">
        <f>K7</f>
        <v>-834656.94000000006</v>
      </c>
      <c r="V7" s="206">
        <v>-275006.18</v>
      </c>
      <c r="W7" s="206"/>
      <c r="X7" s="207">
        <f>-SUM(X8:X9)</f>
        <v>1668.8</v>
      </c>
      <c r="Y7" s="208">
        <f>SUM(U7:X7)</f>
        <v>-1107994.32</v>
      </c>
      <c r="Z7" s="209">
        <f>L7+V7</f>
        <v>-1119794.24</v>
      </c>
      <c r="AA7" s="206"/>
      <c r="AB7" s="206">
        <f>R7</f>
        <v>-10150.11</v>
      </c>
      <c r="AC7" s="206">
        <f>-2502+0.33</f>
        <v>-2501.67</v>
      </c>
      <c r="AD7" s="206"/>
      <c r="AE7" s="207">
        <f>130.1-25964.87-334.66</f>
        <v>-26169.43</v>
      </c>
      <c r="AF7" s="208">
        <f>SUM(AB7:AE7)</f>
        <v>-38821.21</v>
      </c>
      <c r="AG7" s="209">
        <f>S7+AC7</f>
        <v>-12712.44</v>
      </c>
      <c r="AH7" s="206"/>
      <c r="AI7" s="206">
        <f>Y7</f>
        <v>-1107994.32</v>
      </c>
      <c r="AJ7" s="206">
        <v>-35849.93</v>
      </c>
      <c r="AK7" s="206">
        <v>526850</v>
      </c>
      <c r="AL7" s="207">
        <f>-SUM(AL8:AL9)</f>
        <v>5270.1699999999992</v>
      </c>
      <c r="AM7" s="208">
        <f>SUM(AI7:AL7)</f>
        <v>-611724.07999999996</v>
      </c>
      <c r="AN7" s="209">
        <f>Z7+AJ7+AK7</f>
        <v>-628794.16999999993</v>
      </c>
      <c r="AO7" s="206"/>
      <c r="AP7" s="206">
        <f>AF7</f>
        <v>-38821.21</v>
      </c>
      <c r="AQ7" s="206">
        <v>-3651.99</v>
      </c>
      <c r="AR7" s="206">
        <v>14729</v>
      </c>
      <c r="AS7" s="207">
        <f>312.83-9437.34-1015.39</f>
        <v>-10139.9</v>
      </c>
      <c r="AT7" s="208">
        <f>SUM(AP7:AS7)</f>
        <v>-37884.1</v>
      </c>
      <c r="AU7" s="209">
        <f>AG7+AQ7+AR7</f>
        <v>-1635.4300000000003</v>
      </c>
      <c r="AV7" s="206"/>
      <c r="AW7" s="206">
        <f>AM7</f>
        <v>-611724.07999999996</v>
      </c>
      <c r="AX7" s="206">
        <f>-37927.48</f>
        <v>-37927.480000000003</v>
      </c>
      <c r="AY7" s="206"/>
      <c r="AZ7" s="207"/>
      <c r="BA7" s="208">
        <f>SUM(AW7:AY7)</f>
        <v>-649651.55999999994</v>
      </c>
      <c r="BB7" s="209">
        <f>BA7</f>
        <v>-649651.55999999994</v>
      </c>
      <c r="BC7" s="206"/>
      <c r="BD7" s="206">
        <f>AT7</f>
        <v>-37884.1</v>
      </c>
      <c r="BE7" s="206">
        <f>-12883.08+1346.47+486.09-8.75-489.85+12+0.51</f>
        <v>-11536.61</v>
      </c>
      <c r="BF7" s="206"/>
      <c r="BG7" s="207"/>
      <c r="BH7" s="208">
        <f>SUM(BD7:BF7)</f>
        <v>-49420.71</v>
      </c>
      <c r="BI7" s="209">
        <f>BH7</f>
        <v>-49420.71</v>
      </c>
      <c r="BJ7" s="206"/>
    </row>
    <row r="8" spans="2:62" s="210" customFormat="1" x14ac:dyDescent="0.35">
      <c r="B8" s="247"/>
      <c r="C8" s="205" t="s">
        <v>174</v>
      </c>
      <c r="D8" s="206"/>
      <c r="E8" s="206"/>
      <c r="F8" s="206"/>
      <c r="G8" s="206">
        <f>D8</f>
        <v>0</v>
      </c>
      <c r="H8" s="206"/>
      <c r="I8" s="206"/>
      <c r="J8" s="207"/>
      <c r="K8" s="208">
        <f t="shared" ref="K8:K9" si="0">SUM(G8:J8)</f>
        <v>0</v>
      </c>
      <c r="L8" s="209">
        <f t="shared" ref="L8:L9" si="1">SUM(G8:I8)</f>
        <v>0</v>
      </c>
      <c r="M8" s="206"/>
      <c r="N8" s="206">
        <f>E8</f>
        <v>0</v>
      </c>
      <c r="O8" s="206"/>
      <c r="P8" s="206"/>
      <c r="Q8" s="207"/>
      <c r="R8" s="208">
        <f>SUM(N8:Q8)</f>
        <v>0</v>
      </c>
      <c r="S8" s="209">
        <v>0</v>
      </c>
      <c r="T8" s="206"/>
      <c r="U8" s="206">
        <f>K8</f>
        <v>0</v>
      </c>
      <c r="V8" s="206"/>
      <c r="W8" s="206"/>
      <c r="X8" s="207">
        <v>62.91</v>
      </c>
      <c r="Y8" s="208">
        <f>SUM(U8:X8)</f>
        <v>62.91</v>
      </c>
      <c r="Z8" s="209">
        <v>0</v>
      </c>
      <c r="AA8" s="206"/>
      <c r="AB8" s="206">
        <f>R8</f>
        <v>0</v>
      </c>
      <c r="AC8" s="206"/>
      <c r="AD8" s="206"/>
      <c r="AE8" s="207">
        <v>0.47</v>
      </c>
      <c r="AF8" s="208">
        <f t="shared" ref="AF8:AF9" si="2">SUM(AB8:AE8)</f>
        <v>0.47</v>
      </c>
      <c r="AG8" s="209">
        <v>0</v>
      </c>
      <c r="AH8" s="206"/>
      <c r="AI8" s="206">
        <f t="shared" ref="AI8:AI9" si="3">Y8</f>
        <v>62.91</v>
      </c>
      <c r="AJ8" s="206"/>
      <c r="AK8" s="206"/>
      <c r="AL8" s="207">
        <v>201.27</v>
      </c>
      <c r="AM8" s="208">
        <f t="shared" ref="AM8:AM9" si="4">SUM(AI8:AL8)</f>
        <v>264.18</v>
      </c>
      <c r="AN8" s="209">
        <v>0</v>
      </c>
      <c r="AO8" s="206"/>
      <c r="AP8" s="206">
        <f t="shared" ref="AP8:AP9" si="5">AF8</f>
        <v>0.47</v>
      </c>
      <c r="AQ8" s="206"/>
      <c r="AR8" s="206"/>
      <c r="AS8" s="207">
        <v>3.11</v>
      </c>
      <c r="AT8" s="208">
        <f t="shared" ref="AT8:AT9" si="6">SUM(AP8:AS8)</f>
        <v>3.58</v>
      </c>
      <c r="AU8" s="209">
        <v>0</v>
      </c>
      <c r="AV8" s="206"/>
      <c r="AW8" s="206">
        <f t="shared" ref="AW8:AW9" si="7">AM8</f>
        <v>264.18</v>
      </c>
      <c r="AX8" s="206">
        <v>-281.27</v>
      </c>
      <c r="AY8" s="206"/>
      <c r="AZ8" s="207"/>
      <c r="BA8" s="208">
        <f>SUM(AW8:AY8)</f>
        <v>-17.089999999999975</v>
      </c>
      <c r="BB8" s="209">
        <f t="shared" ref="BB8:BB9" si="8">BA8</f>
        <v>-17.089999999999975</v>
      </c>
      <c r="BC8" s="206"/>
      <c r="BD8" s="206">
        <f t="shared" ref="BD8:BD9" si="9">AT8</f>
        <v>3.58</v>
      </c>
      <c r="BE8" s="206">
        <f>3.76-0.54</f>
        <v>3.2199999999999998</v>
      </c>
      <c r="BF8" s="206"/>
      <c r="BG8" s="207"/>
      <c r="BH8" s="208">
        <f t="shared" ref="BH8" si="10">SUM(BD8:BF8)</f>
        <v>6.8</v>
      </c>
      <c r="BI8" s="209">
        <f t="shared" ref="BI8:BI9" si="11">BH8</f>
        <v>6.8</v>
      </c>
      <c r="BJ8" s="206"/>
    </row>
    <row r="9" spans="2:62" s="210" customFormat="1" x14ac:dyDescent="0.35">
      <c r="B9" s="247"/>
      <c r="C9" s="205" t="s">
        <v>175</v>
      </c>
      <c r="D9" s="206"/>
      <c r="E9" s="206"/>
      <c r="F9" s="206"/>
      <c r="G9" s="206">
        <f>D9</f>
        <v>0</v>
      </c>
      <c r="H9" s="206"/>
      <c r="I9" s="206"/>
      <c r="J9" s="207">
        <v>-10131.120000000001</v>
      </c>
      <c r="K9" s="208">
        <f t="shared" si="0"/>
        <v>-10131.120000000001</v>
      </c>
      <c r="L9" s="209">
        <f t="shared" si="1"/>
        <v>0</v>
      </c>
      <c r="M9" s="206"/>
      <c r="N9" s="206">
        <f>E9</f>
        <v>0</v>
      </c>
      <c r="O9" s="206"/>
      <c r="P9" s="206"/>
      <c r="Q9" s="207">
        <v>-60.66</v>
      </c>
      <c r="R9" s="208">
        <f>SUM(N9:Q9)</f>
        <v>-60.66</v>
      </c>
      <c r="S9" s="209">
        <v>0</v>
      </c>
      <c r="T9" s="206"/>
      <c r="U9" s="206">
        <f>K9</f>
        <v>-10131.120000000001</v>
      </c>
      <c r="V9" s="206"/>
      <c r="W9" s="206"/>
      <c r="X9" s="207">
        <v>-1731.71</v>
      </c>
      <c r="Y9" s="208">
        <f>SUM(U9:X9)</f>
        <v>-11862.830000000002</v>
      </c>
      <c r="Z9" s="209">
        <v>0</v>
      </c>
      <c r="AA9" s="206"/>
      <c r="AB9" s="206">
        <f>R9</f>
        <v>-60.66</v>
      </c>
      <c r="AC9" s="206"/>
      <c r="AD9" s="206"/>
      <c r="AE9" s="207">
        <f>-130.1+334.19</f>
        <v>204.09</v>
      </c>
      <c r="AF9" s="208">
        <f t="shared" si="2"/>
        <v>143.43</v>
      </c>
      <c r="AG9" s="209">
        <v>0</v>
      </c>
      <c r="AH9" s="206"/>
      <c r="AI9" s="206">
        <f t="shared" si="3"/>
        <v>-11862.830000000002</v>
      </c>
      <c r="AJ9" s="206"/>
      <c r="AK9" s="206"/>
      <c r="AL9" s="207">
        <v>-5471.44</v>
      </c>
      <c r="AM9" s="208">
        <f t="shared" si="4"/>
        <v>-17334.27</v>
      </c>
      <c r="AN9" s="209">
        <v>0</v>
      </c>
      <c r="AO9" s="206"/>
      <c r="AP9" s="206">
        <f t="shared" si="5"/>
        <v>143.43</v>
      </c>
      <c r="AQ9" s="206"/>
      <c r="AR9" s="206"/>
      <c r="AS9" s="207">
        <f>1012.28-312.83</f>
        <v>699.45</v>
      </c>
      <c r="AT9" s="208">
        <f t="shared" si="6"/>
        <v>842.88000000000011</v>
      </c>
      <c r="AU9" s="209">
        <v>0</v>
      </c>
      <c r="AV9" s="206"/>
      <c r="AW9" s="206">
        <f t="shared" si="7"/>
        <v>-17334.27</v>
      </c>
      <c r="AX9" s="206">
        <v>-31037.45</v>
      </c>
      <c r="AY9" s="206"/>
      <c r="AZ9" s="207"/>
      <c r="BA9" s="208">
        <f>SUM(AW9:AY9)</f>
        <v>-48371.72</v>
      </c>
      <c r="BB9" s="209">
        <f t="shared" si="8"/>
        <v>-48371.72</v>
      </c>
      <c r="BC9" s="206"/>
      <c r="BD9" s="206">
        <f t="shared" si="9"/>
        <v>842.88000000000011</v>
      </c>
      <c r="BE9" s="206">
        <f>-1346.47-489.85-207.8</f>
        <v>-2044.1200000000001</v>
      </c>
      <c r="BF9" s="206"/>
      <c r="BG9" s="207"/>
      <c r="BH9" s="208">
        <f>SUM(BD9:BG9)</f>
        <v>-1201.24</v>
      </c>
      <c r="BI9" s="209">
        <f t="shared" si="11"/>
        <v>-1201.24</v>
      </c>
      <c r="BJ9" s="206"/>
    </row>
    <row r="10" spans="2:62" ht="15" thickBot="1" x14ac:dyDescent="0.4">
      <c r="D10" s="211"/>
      <c r="E10" s="211"/>
      <c r="F10" s="211"/>
      <c r="G10" s="211"/>
      <c r="H10" s="211"/>
      <c r="I10" s="211"/>
      <c r="J10" s="211"/>
      <c r="K10" s="212">
        <f>SUM(K7:K9)</f>
        <v>-844788.06</v>
      </c>
      <c r="L10" s="213"/>
      <c r="M10" s="211"/>
      <c r="N10" s="211"/>
      <c r="O10" s="211"/>
      <c r="P10" s="211"/>
      <c r="Q10" s="211"/>
      <c r="R10" s="212">
        <f>SUM(R7:R9)</f>
        <v>-10210.77</v>
      </c>
      <c r="S10" s="213"/>
      <c r="T10" s="211"/>
      <c r="U10" s="211"/>
      <c r="V10" s="211"/>
      <c r="X10" s="136"/>
      <c r="Y10" s="212">
        <f>SUM(Y7:Y9)</f>
        <v>-1119794.2400000002</v>
      </c>
      <c r="Z10" s="213"/>
      <c r="AA10" s="211"/>
      <c r="AB10" s="211"/>
      <c r="AC10" s="211"/>
      <c r="AD10" s="211"/>
      <c r="AE10" s="211"/>
      <c r="AF10" s="212">
        <f>SUM(AF7:AF9)</f>
        <v>-38677.31</v>
      </c>
      <c r="AG10" s="213"/>
      <c r="AH10" s="211"/>
      <c r="AI10" s="211"/>
      <c r="AJ10" s="211"/>
      <c r="AK10" s="211"/>
      <c r="AL10" s="211"/>
      <c r="AM10" s="212">
        <f>SUM(AM7:AM9)</f>
        <v>-628794.16999999993</v>
      </c>
      <c r="AN10" s="213"/>
      <c r="AO10" s="211"/>
      <c r="AP10" s="211"/>
      <c r="AQ10" s="211"/>
      <c r="AR10" s="211"/>
      <c r="AS10" s="211"/>
      <c r="AT10" s="212">
        <f>SUM(AT7:AT9)</f>
        <v>-37037.64</v>
      </c>
      <c r="AU10" s="213"/>
      <c r="AV10" s="211"/>
      <c r="AW10" s="211"/>
      <c r="AX10" s="211"/>
      <c r="AY10" s="211"/>
      <c r="AZ10" s="211"/>
      <c r="BA10" s="212">
        <f>SUM(BA7:BA9)</f>
        <v>-698040.36999999988</v>
      </c>
      <c r="BB10" s="213"/>
      <c r="BC10" s="211"/>
      <c r="BD10" s="211"/>
      <c r="BE10" s="211"/>
      <c r="BF10" s="211"/>
      <c r="BG10" s="211"/>
      <c r="BH10" s="212">
        <f>SUM(BH7:BH9)</f>
        <v>-50615.149999999994</v>
      </c>
      <c r="BI10" s="213"/>
      <c r="BJ10" s="211"/>
    </row>
    <row r="11" spans="2:62" ht="15" thickTop="1" x14ac:dyDescent="0.35">
      <c r="D11" s="211"/>
      <c r="E11" s="211"/>
      <c r="F11" s="211"/>
      <c r="G11" s="211"/>
      <c r="H11" s="211"/>
      <c r="I11" s="211"/>
      <c r="J11" s="211"/>
      <c r="K11" s="214"/>
      <c r="L11" s="214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  <c r="BI11" s="211"/>
      <c r="BJ11" s="211"/>
    </row>
    <row r="12" spans="2:62" x14ac:dyDescent="0.35">
      <c r="C12" s="215" t="s">
        <v>190</v>
      </c>
      <c r="D12" s="215"/>
      <c r="E12" s="215"/>
      <c r="F12" s="211"/>
      <c r="G12" s="211"/>
      <c r="I12" s="211"/>
      <c r="J12" s="211"/>
      <c r="K12" s="214"/>
      <c r="L12" s="214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06"/>
      <c r="BI12" s="211"/>
      <c r="BJ12" s="211"/>
    </row>
    <row r="13" spans="2:62" x14ac:dyDescent="0.35">
      <c r="D13" s="136"/>
      <c r="E13" s="136"/>
      <c r="F13" s="136"/>
      <c r="G13" s="136"/>
      <c r="H13" s="136"/>
      <c r="I13" s="136"/>
      <c r="J13" s="136"/>
      <c r="K13" s="216"/>
      <c r="L13" s="21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217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51"/>
      <c r="BB13" s="136"/>
      <c r="BC13" s="136"/>
      <c r="BD13" s="136"/>
      <c r="BE13" s="136"/>
      <c r="BF13" s="136"/>
      <c r="BG13" s="136"/>
      <c r="BH13" s="136"/>
      <c r="BI13" s="136"/>
      <c r="BJ13" s="136"/>
    </row>
    <row r="14" spans="2:62" x14ac:dyDescent="0.35">
      <c r="D14" s="136"/>
      <c r="E14" s="136"/>
      <c r="F14" s="136"/>
      <c r="G14" s="136"/>
      <c r="H14" s="136"/>
      <c r="I14" s="136"/>
      <c r="J14" s="136"/>
      <c r="K14" s="216"/>
      <c r="L14" s="21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217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</row>
    <row r="15" spans="2:62" x14ac:dyDescent="0.35">
      <c r="D15" s="136"/>
      <c r="E15" s="136"/>
      <c r="F15" s="136"/>
      <c r="G15" s="136"/>
      <c r="H15" s="136"/>
      <c r="I15" s="136"/>
      <c r="J15" s="136"/>
      <c r="K15" s="216"/>
      <c r="L15" s="21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</row>
    <row r="16" spans="2:62" x14ac:dyDescent="0.35">
      <c r="D16" s="136"/>
      <c r="E16" s="136"/>
      <c r="F16" s="136"/>
      <c r="G16" s="136"/>
      <c r="H16" s="136"/>
      <c r="I16" s="136"/>
      <c r="J16" s="136"/>
      <c r="K16" s="216"/>
      <c r="L16" s="21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</row>
    <row r="17" spans="4:62" x14ac:dyDescent="0.35">
      <c r="D17" s="136"/>
      <c r="E17" s="136"/>
      <c r="F17" s="136"/>
      <c r="G17" s="136"/>
      <c r="H17" s="136"/>
      <c r="I17" s="136"/>
      <c r="J17" s="136"/>
      <c r="K17" s="216"/>
      <c r="L17" s="21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51"/>
      <c r="BF17" s="136"/>
      <c r="BG17" s="136"/>
      <c r="BH17" s="136"/>
      <c r="BI17" s="136"/>
      <c r="BJ17" s="136"/>
    </row>
    <row r="18" spans="4:62" x14ac:dyDescent="0.35">
      <c r="D18" s="136"/>
      <c r="E18" s="136"/>
      <c r="F18" s="136"/>
      <c r="G18" s="136"/>
      <c r="H18" s="136"/>
      <c r="I18" s="136"/>
      <c r="J18" s="136"/>
      <c r="K18" s="216"/>
      <c r="L18" s="21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</row>
  </sheetData>
  <mergeCells count="14">
    <mergeCell ref="AP5:AU5"/>
    <mergeCell ref="AW5:BB5"/>
    <mergeCell ref="BD5:BI5"/>
    <mergeCell ref="B7:B9"/>
    <mergeCell ref="D4:E4"/>
    <mergeCell ref="G4:S4"/>
    <mergeCell ref="U4:AG4"/>
    <mergeCell ref="AI4:AU4"/>
    <mergeCell ref="AW4:BI4"/>
    <mergeCell ref="G5:L5"/>
    <mergeCell ref="N5:S5"/>
    <mergeCell ref="U5:Z5"/>
    <mergeCell ref="AB5:AG5"/>
    <mergeCell ref="AI5:AN5"/>
  </mergeCells>
  <pageMargins left="0.7" right="0.7" top="0.75" bottom="0.75" header="0.3" footer="0.3"/>
  <pageSetup scale="54" orientation="portrait" verticalDpi="0" r:id="rId1"/>
  <colBreaks count="2" manualBreakCount="2">
    <brk id="5" max="1048575" man="1"/>
    <brk id="1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2"/>
  <sheetViews>
    <sheetView zoomScaleNormal="100" workbookViewId="0">
      <pane xSplit="5" ySplit="7" topLeftCell="H8" activePane="bottomRight" state="frozen"/>
      <selection activeCell="T46" sqref="T46"/>
      <selection pane="topRight" activeCell="T46" sqref="T46"/>
      <selection pane="bottomLeft" activeCell="T46" sqref="T46"/>
      <selection pane="bottomRight" activeCell="T46" sqref="T46"/>
    </sheetView>
  </sheetViews>
  <sheetFormatPr defaultRowHeight="14.5" x14ac:dyDescent="0.35"/>
  <cols>
    <col min="1" max="1" width="8.7265625" hidden="1" customWidth="1"/>
    <col min="2" max="2" width="2.6328125" customWidth="1"/>
    <col min="3" max="3" width="11.54296875" bestFit="1" customWidth="1"/>
    <col min="4" max="5" width="16.08984375" bestFit="1" customWidth="1"/>
    <col min="6" max="6" width="2.6328125" customWidth="1"/>
    <col min="7" max="10" width="16.08984375" bestFit="1" customWidth="1"/>
    <col min="11" max="11" width="2.6328125" customWidth="1"/>
    <col min="12" max="15" width="16.08984375" bestFit="1" customWidth="1"/>
    <col min="16" max="16" width="2.6328125" customWidth="1"/>
    <col min="17" max="20" width="16.08984375" bestFit="1" customWidth="1"/>
    <col min="21" max="21" width="2.6328125" customWidth="1"/>
    <col min="22" max="25" width="16.08984375" bestFit="1" customWidth="1"/>
    <col min="26" max="26" width="2.6328125" customWidth="1"/>
  </cols>
  <sheetData>
    <row r="1" spans="1:25" hidden="1" x14ac:dyDescent="0.35">
      <c r="A1" t="s">
        <v>191</v>
      </c>
    </row>
    <row r="3" spans="1:25" x14ac:dyDescent="0.35">
      <c r="C3" s="47" t="s">
        <v>192</v>
      </c>
    </row>
    <row r="6" spans="1:25" x14ac:dyDescent="0.35">
      <c r="G6" s="251">
        <v>2016</v>
      </c>
      <c r="H6" s="251"/>
      <c r="I6" s="251"/>
      <c r="J6" s="251"/>
      <c r="L6" s="251">
        <v>2017</v>
      </c>
      <c r="M6" s="251"/>
      <c r="N6" s="251"/>
      <c r="O6" s="251"/>
      <c r="Q6" s="251">
        <v>2018</v>
      </c>
      <c r="R6" s="251"/>
      <c r="S6" s="251"/>
      <c r="T6" s="251"/>
      <c r="V6" s="251">
        <v>2019</v>
      </c>
      <c r="W6" s="251"/>
      <c r="X6" s="251"/>
      <c r="Y6" s="251"/>
    </row>
    <row r="7" spans="1:25" x14ac:dyDescent="0.35">
      <c r="D7" s="223" t="s">
        <v>193</v>
      </c>
      <c r="E7" s="223" t="s">
        <v>194</v>
      </c>
      <c r="F7" s="223"/>
      <c r="G7" s="223" t="s">
        <v>193</v>
      </c>
      <c r="H7" s="223" t="s">
        <v>194</v>
      </c>
      <c r="I7" s="223" t="s">
        <v>195</v>
      </c>
      <c r="J7" s="223" t="s">
        <v>196</v>
      </c>
      <c r="K7" s="223"/>
      <c r="L7" s="223" t="s">
        <v>193</v>
      </c>
      <c r="M7" s="223" t="s">
        <v>194</v>
      </c>
      <c r="N7" s="223" t="s">
        <v>195</v>
      </c>
      <c r="O7" s="223" t="s">
        <v>196</v>
      </c>
      <c r="Q7" s="223" t="s">
        <v>193</v>
      </c>
      <c r="R7" s="223" t="s">
        <v>194</v>
      </c>
      <c r="S7" s="223" t="s">
        <v>195</v>
      </c>
      <c r="T7" s="223" t="s">
        <v>196</v>
      </c>
      <c r="V7" s="223" t="s">
        <v>193</v>
      </c>
      <c r="W7" s="223" t="s">
        <v>194</v>
      </c>
      <c r="X7" s="223" t="s">
        <v>195</v>
      </c>
      <c r="Y7" s="223" t="s">
        <v>196</v>
      </c>
    </row>
    <row r="8" spans="1:25" x14ac:dyDescent="0.35"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Q8" s="118"/>
      <c r="R8" s="118"/>
      <c r="S8" s="118"/>
      <c r="T8" s="118"/>
      <c r="V8" s="118"/>
      <c r="W8" s="118"/>
      <c r="X8" s="118"/>
      <c r="Y8" s="118"/>
    </row>
    <row r="9" spans="1:25" x14ac:dyDescent="0.35">
      <c r="C9" t="s">
        <v>197</v>
      </c>
      <c r="D9" t="s">
        <v>27</v>
      </c>
      <c r="E9" t="s">
        <v>198</v>
      </c>
      <c r="G9" s="224">
        <v>-1283801.2</v>
      </c>
      <c r="H9" s="224">
        <v>936887.08</v>
      </c>
      <c r="I9" s="224">
        <f>G9+H9</f>
        <v>-346914.12</v>
      </c>
      <c r="J9" s="224"/>
      <c r="L9" s="224">
        <v>-1201926.99</v>
      </c>
      <c r="M9" s="224">
        <v>895298.09</v>
      </c>
      <c r="N9" s="224">
        <f>L9+M9</f>
        <v>-306628.90000000002</v>
      </c>
      <c r="O9" s="224"/>
      <c r="Q9" s="224">
        <v>-991849.33</v>
      </c>
      <c r="R9" s="224">
        <v>961453.84</v>
      </c>
      <c r="S9" s="224">
        <f>Q9+R9</f>
        <v>-30395.489999999991</v>
      </c>
      <c r="T9" s="224"/>
      <c r="V9" s="224">
        <v>-976444.21</v>
      </c>
      <c r="W9" s="224">
        <v>939094.35</v>
      </c>
      <c r="X9" s="224">
        <f>V9+W9</f>
        <v>-37349.859999999986</v>
      </c>
      <c r="Y9" s="224"/>
    </row>
    <row r="10" spans="1:25" x14ac:dyDescent="0.35">
      <c r="C10" t="s">
        <v>199</v>
      </c>
      <c r="D10" t="s">
        <v>200</v>
      </c>
      <c r="E10" t="s">
        <v>201</v>
      </c>
      <c r="G10" s="224">
        <v>-259748.17</v>
      </c>
      <c r="H10" s="224">
        <v>288724.42</v>
      </c>
      <c r="I10" s="224">
        <f>G10+H10</f>
        <v>28976.249999999971</v>
      </c>
      <c r="J10" s="224">
        <f>SUM(I9:I10)</f>
        <v>-317937.87</v>
      </c>
      <c r="L10" s="224">
        <v>-125926.8</v>
      </c>
      <c r="M10" s="224">
        <v>98297.45</v>
      </c>
      <c r="N10" s="224">
        <f>L10+M10</f>
        <v>-27629.350000000006</v>
      </c>
      <c r="O10" s="224">
        <f>SUM(N9:N10)</f>
        <v>-334258.25</v>
      </c>
      <c r="Q10" s="224">
        <v>-184.46</v>
      </c>
      <c r="R10" s="224">
        <v>0</v>
      </c>
      <c r="S10" s="224">
        <f>Q10+R10</f>
        <v>-184.46</v>
      </c>
      <c r="T10" s="224">
        <f>SUM(S9:S10)</f>
        <v>-30579.94999999999</v>
      </c>
      <c r="V10" s="224">
        <v>-577.62</v>
      </c>
      <c r="W10" s="224">
        <v>0</v>
      </c>
      <c r="X10" s="224">
        <f>V10+W10</f>
        <v>-577.62</v>
      </c>
      <c r="Y10" s="224">
        <f>SUM(X9:X10)</f>
        <v>-37927.479999999989</v>
      </c>
    </row>
    <row r="11" spans="1:25" x14ac:dyDescent="0.35">
      <c r="C11" t="s">
        <v>100</v>
      </c>
      <c r="D11" t="s">
        <v>99</v>
      </c>
      <c r="E11" t="s">
        <v>202</v>
      </c>
      <c r="G11" s="224">
        <v>0</v>
      </c>
      <c r="H11" s="224">
        <v>0</v>
      </c>
      <c r="I11" s="224">
        <f>G11+H11</f>
        <v>0</v>
      </c>
      <c r="J11" s="224">
        <f>I11</f>
        <v>0</v>
      </c>
      <c r="L11" s="224">
        <v>-432.75</v>
      </c>
      <c r="M11" s="224">
        <v>495.66</v>
      </c>
      <c r="N11" s="224">
        <f>L11+M11</f>
        <v>62.910000000000025</v>
      </c>
      <c r="O11" s="224">
        <f>N11</f>
        <v>62.910000000000025</v>
      </c>
      <c r="Q11" s="224">
        <v>-1862.76</v>
      </c>
      <c r="R11" s="224">
        <v>2064.0300000000002</v>
      </c>
      <c r="S11" s="224">
        <f>Q11+R11</f>
        <v>201.27000000000021</v>
      </c>
      <c r="T11" s="224">
        <f>S11</f>
        <v>201.27000000000021</v>
      </c>
      <c r="V11" s="224">
        <v>-2587.0100000000002</v>
      </c>
      <c r="W11" s="224">
        <v>2305.7399999999998</v>
      </c>
      <c r="X11" s="224">
        <f>V11+W11</f>
        <v>-281.27000000000044</v>
      </c>
      <c r="Y11" s="224">
        <f>X11</f>
        <v>-281.27000000000044</v>
      </c>
    </row>
    <row r="12" spans="1:25" x14ac:dyDescent="0.35">
      <c r="C12" t="s">
        <v>102</v>
      </c>
      <c r="D12" t="s">
        <v>101</v>
      </c>
      <c r="E12" t="s">
        <v>203</v>
      </c>
      <c r="G12" s="224">
        <v>0</v>
      </c>
      <c r="H12" s="224">
        <v>0</v>
      </c>
      <c r="I12" s="224">
        <f>G12+H12</f>
        <v>0</v>
      </c>
      <c r="J12" s="224">
        <f>I12</f>
        <v>0</v>
      </c>
      <c r="L12" s="224">
        <v>-102066.95</v>
      </c>
      <c r="M12" s="224">
        <v>100335.24</v>
      </c>
      <c r="N12" s="224">
        <f>L12+M12</f>
        <v>-1731.7099999999919</v>
      </c>
      <c r="O12" s="224">
        <f>N12</f>
        <v>-1731.7099999999919</v>
      </c>
      <c r="Q12" s="224">
        <v>-109440.6</v>
      </c>
      <c r="R12" s="224">
        <v>103969.16</v>
      </c>
      <c r="S12" s="224">
        <f>Q12+R12</f>
        <v>-5471.4400000000023</v>
      </c>
      <c r="T12" s="224">
        <f>S12</f>
        <v>-5471.4400000000023</v>
      </c>
      <c r="V12" s="224">
        <v>-118787.9</v>
      </c>
      <c r="W12" s="224">
        <v>87750.45</v>
      </c>
      <c r="X12" s="224">
        <f>V12+W12</f>
        <v>-31037.449999999997</v>
      </c>
      <c r="Y12" s="224">
        <f>X12</f>
        <v>-31037.449999999997</v>
      </c>
    </row>
    <row r="13" spans="1:25" x14ac:dyDescent="0.35">
      <c r="G13" s="225">
        <f>SUM(G9:G12)</f>
        <v>-1543549.3699999999</v>
      </c>
      <c r="H13" s="225">
        <f>SUM(H9:H12)</f>
        <v>1225611.5</v>
      </c>
      <c r="I13" s="225">
        <f>SUM(I9:I12)</f>
        <v>-317937.87</v>
      </c>
      <c r="J13" s="225">
        <f>SUM(J9:J12)</f>
        <v>-317937.87</v>
      </c>
      <c r="L13" s="225">
        <f>SUM(L9:L12)</f>
        <v>-1430353.49</v>
      </c>
      <c r="M13" s="225">
        <f>SUM(M9:M12)</f>
        <v>1094426.44</v>
      </c>
      <c r="N13" s="225">
        <f>SUM(N9:N12)</f>
        <v>-335927.05000000005</v>
      </c>
      <c r="O13" s="225">
        <f>SUM(O9:O12)</f>
        <v>-335927.05000000005</v>
      </c>
      <c r="Q13" s="225">
        <f>SUM(Q9:Q12)</f>
        <v>-1103337.1499999999</v>
      </c>
      <c r="R13" s="225">
        <f>SUM(R9:R12)</f>
        <v>1067487.03</v>
      </c>
      <c r="S13" s="225">
        <f>SUM(S9:S12)</f>
        <v>-35850.119999999995</v>
      </c>
      <c r="T13" s="225">
        <f>SUM(T9:T12)</f>
        <v>-35850.119999999995</v>
      </c>
      <c r="V13" s="225">
        <f>SUM(V9:V12)</f>
        <v>-1098396.74</v>
      </c>
      <c r="W13" s="225">
        <f>SUM(W9:W12)</f>
        <v>1029150.5399999999</v>
      </c>
      <c r="X13" s="225">
        <f>SUM(X9:X12)</f>
        <v>-69246.199999999983</v>
      </c>
      <c r="Y13" s="225">
        <f>SUM(Y9:Y12)</f>
        <v>-69246.199999999983</v>
      </c>
    </row>
    <row r="15" spans="1:25" x14ac:dyDescent="0.35">
      <c r="B15" t="s">
        <v>204</v>
      </c>
      <c r="C15" t="s">
        <v>205</v>
      </c>
      <c r="D15" t="s">
        <v>206</v>
      </c>
      <c r="J15" s="224">
        <v>-324101.87</v>
      </c>
      <c r="O15" s="224">
        <v>-275006.18</v>
      </c>
      <c r="T15" s="224">
        <v>491000.07</v>
      </c>
      <c r="Y15" s="224">
        <v>-20857.39</v>
      </c>
    </row>
    <row r="16" spans="1:25" x14ac:dyDescent="0.35">
      <c r="D16" t="s">
        <v>207</v>
      </c>
      <c r="J16" s="224"/>
      <c r="O16" s="224"/>
      <c r="T16" s="224"/>
      <c r="Y16" s="224">
        <v>-17.09</v>
      </c>
    </row>
    <row r="17" spans="3:25" x14ac:dyDescent="0.35">
      <c r="D17" t="s">
        <v>208</v>
      </c>
      <c r="J17" s="224"/>
      <c r="O17" s="224"/>
      <c r="T17" s="224"/>
      <c r="Y17" s="224">
        <v>-48371.72</v>
      </c>
    </row>
    <row r="19" spans="3:25" x14ac:dyDescent="0.35">
      <c r="C19" s="47"/>
      <c r="D19" s="47"/>
      <c r="E19" s="47" t="s">
        <v>141</v>
      </c>
      <c r="F19" s="47"/>
      <c r="G19" s="226"/>
      <c r="H19" s="226"/>
      <c r="I19" s="227"/>
      <c r="J19" s="228">
        <f>J13-J15</f>
        <v>6164</v>
      </c>
      <c r="K19" s="47"/>
      <c r="L19" s="226"/>
      <c r="M19" s="226"/>
      <c r="N19" s="227"/>
      <c r="O19" s="229">
        <f>O13-O15</f>
        <v>-60920.870000000054</v>
      </c>
      <c r="P19" s="227"/>
      <c r="Q19" s="226"/>
      <c r="R19" s="226"/>
      <c r="S19" s="227"/>
      <c r="T19" s="228">
        <f>T13-T15</f>
        <v>-526850.18999999994</v>
      </c>
      <c r="U19" s="227"/>
      <c r="V19" s="226"/>
      <c r="W19" s="226"/>
      <c r="X19" s="227"/>
      <c r="Y19" s="229">
        <f>Y13-Y15-Y16-Y17</f>
        <v>0</v>
      </c>
    </row>
    <row r="20" spans="3:25" x14ac:dyDescent="0.35">
      <c r="J20" s="230" t="s">
        <v>209</v>
      </c>
      <c r="T20" s="230" t="s">
        <v>209</v>
      </c>
    </row>
    <row r="21" spans="3:25" x14ac:dyDescent="0.35">
      <c r="T21" s="231"/>
    </row>
    <row r="22" spans="3:25" x14ac:dyDescent="0.35">
      <c r="T22" s="231"/>
    </row>
  </sheetData>
  <mergeCells count="4">
    <mergeCell ref="G6:J6"/>
    <mergeCell ref="L6:O6"/>
    <mergeCell ref="Q6:T6"/>
    <mergeCell ref="V6:Y6"/>
  </mergeCells>
  <pageMargins left="0.7" right="0.7" top="0.75" bottom="0.75" header="0.3" footer="0.3"/>
  <pageSetup orientation="portrait" verticalDpi="0" r:id="rId1"/>
  <colBreaks count="3" manualBreakCount="3">
    <brk id="10" max="1048575" man="1"/>
    <brk id="15" max="1048575" man="1"/>
    <brk id="2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C107"/>
  <sheetViews>
    <sheetView zoomScale="55" zoomScaleNormal="55" workbookViewId="0">
      <selection activeCell="T46" sqref="T46"/>
    </sheetView>
  </sheetViews>
  <sheetFormatPr defaultRowHeight="14.5" x14ac:dyDescent="0.35"/>
  <cols>
    <col min="1" max="1" width="2.6328125" customWidth="1"/>
    <col min="3" max="5" width="17.6328125" customWidth="1"/>
    <col min="6" max="6" width="18.6328125" customWidth="1"/>
    <col min="7" max="7" width="18.6328125" style="3" customWidth="1"/>
    <col min="8" max="13" width="17.6328125" customWidth="1"/>
    <col min="15" max="15" width="13.1796875" bestFit="1" customWidth="1"/>
    <col min="16" max="16" width="14" bestFit="1" customWidth="1"/>
    <col min="17" max="17" width="12.81640625" bestFit="1" customWidth="1"/>
    <col min="18" max="18" width="14" bestFit="1" customWidth="1"/>
    <col min="19" max="19" width="11.1796875" bestFit="1" customWidth="1"/>
    <col min="21" max="21" width="17.08984375" bestFit="1" customWidth="1"/>
    <col min="22" max="22" width="13.453125" bestFit="1" customWidth="1"/>
  </cols>
  <sheetData>
    <row r="2" spans="2:29" ht="17" x14ac:dyDescent="0.4">
      <c r="B2" s="78" t="s">
        <v>103</v>
      </c>
    </row>
    <row r="4" spans="2:29" ht="43.5" x14ac:dyDescent="0.35">
      <c r="C4" s="2" t="s">
        <v>0</v>
      </c>
      <c r="D4" s="2" t="s">
        <v>1</v>
      </c>
      <c r="E4" s="2" t="s">
        <v>2</v>
      </c>
      <c r="F4" s="2" t="s">
        <v>3</v>
      </c>
      <c r="G4" s="4" t="s">
        <v>4</v>
      </c>
      <c r="H4" s="2" t="s">
        <v>5</v>
      </c>
    </row>
    <row r="5" spans="2:29" x14ac:dyDescent="0.35">
      <c r="B5" s="1">
        <v>1588</v>
      </c>
      <c r="C5" s="1" t="s">
        <v>6</v>
      </c>
      <c r="E5" s="218">
        <f>E42</f>
        <v>128747.020302238</v>
      </c>
      <c r="F5" s="23">
        <f>H57</f>
        <v>1254638.0836976997</v>
      </c>
      <c r="G5" s="218"/>
      <c r="H5" s="23">
        <f>SUM(D5:G5)</f>
        <v>1383385.1039999377</v>
      </c>
    </row>
    <row r="6" spans="2:29" x14ac:dyDescent="0.35">
      <c r="B6" s="1">
        <v>1589</v>
      </c>
      <c r="C6" s="1" t="s">
        <v>6</v>
      </c>
      <c r="F6" s="23">
        <f>H66</f>
        <v>-522607.33000000007</v>
      </c>
      <c r="G6" s="218"/>
      <c r="H6" s="23">
        <f>SUM(D6:F6)</f>
        <v>-522607.33000000007</v>
      </c>
    </row>
    <row r="8" spans="2:29" x14ac:dyDescent="0.35">
      <c r="B8" s="38"/>
      <c r="C8" s="38"/>
      <c r="D8" s="38"/>
      <c r="G8"/>
      <c r="U8" s="3"/>
      <c r="V8" s="3"/>
      <c r="W8" s="3"/>
      <c r="X8" s="3"/>
      <c r="Y8" s="3"/>
      <c r="Z8" s="3"/>
      <c r="AA8" s="3"/>
      <c r="AB8" s="3"/>
      <c r="AC8" s="3"/>
    </row>
    <row r="9" spans="2:29" x14ac:dyDescent="0.35">
      <c r="B9" s="232" t="s">
        <v>89</v>
      </c>
      <c r="C9" s="233"/>
      <c r="D9" s="233"/>
      <c r="E9" s="233"/>
      <c r="F9" s="233"/>
      <c r="G9" s="233"/>
      <c r="H9" s="234"/>
    </row>
    <row r="10" spans="2:29" x14ac:dyDescent="0.35">
      <c r="B10" s="114" t="s">
        <v>104</v>
      </c>
      <c r="G10"/>
    </row>
    <row r="11" spans="2:29" x14ac:dyDescent="0.35">
      <c r="G11"/>
    </row>
    <row r="12" spans="2:29" x14ac:dyDescent="0.35">
      <c r="E12" s="221" t="s">
        <v>105</v>
      </c>
      <c r="G12"/>
    </row>
    <row r="13" spans="2:29" x14ac:dyDescent="0.35">
      <c r="G13" s="115"/>
    </row>
    <row r="14" spans="2:29" x14ac:dyDescent="0.35">
      <c r="B14" t="s">
        <v>76</v>
      </c>
      <c r="E14" s="80">
        <v>4130362.3697393755</v>
      </c>
      <c r="G14"/>
      <c r="J14" s="81"/>
    </row>
    <row r="15" spans="2:29" x14ac:dyDescent="0.35">
      <c r="E15" s="82"/>
      <c r="G15"/>
    </row>
    <row r="16" spans="2:29" x14ac:dyDescent="0.35">
      <c r="B16" t="s">
        <v>77</v>
      </c>
      <c r="E16" s="80">
        <v>1157217.9197286367</v>
      </c>
      <c r="G16"/>
    </row>
    <row r="17" spans="2:7" x14ac:dyDescent="0.35">
      <c r="B17" s="83" t="s">
        <v>78</v>
      </c>
      <c r="E17" s="84">
        <v>4779459.4497085009</v>
      </c>
      <c r="G17"/>
    </row>
    <row r="18" spans="2:7" x14ac:dyDescent="0.35">
      <c r="B18" s="83"/>
      <c r="E18" s="80"/>
      <c r="G18"/>
    </row>
    <row r="19" spans="2:7" x14ac:dyDescent="0.35">
      <c r="B19" s="85" t="s">
        <v>79</v>
      </c>
      <c r="E19" s="86">
        <f>SUM(E16:E18)</f>
        <v>5936677.3694371376</v>
      </c>
      <c r="G19"/>
    </row>
    <row r="20" spans="2:7" x14ac:dyDescent="0.35">
      <c r="B20" s="83"/>
      <c r="E20" s="80"/>
      <c r="G20"/>
    </row>
    <row r="21" spans="2:7" ht="15" thickBot="1" x14ac:dyDescent="0.4">
      <c r="B21" s="88" t="s">
        <v>80</v>
      </c>
      <c r="E21" s="89">
        <f>E14-E19</f>
        <v>-1806314.9996977621</v>
      </c>
      <c r="G21"/>
    </row>
    <row r="22" spans="2:7" ht="15" thickTop="1" x14ac:dyDescent="0.35">
      <c r="E22" s="80"/>
      <c r="G22"/>
    </row>
    <row r="23" spans="2:7" x14ac:dyDescent="0.35">
      <c r="B23" t="s">
        <v>81</v>
      </c>
      <c r="E23" s="90">
        <v>0</v>
      </c>
      <c r="G23"/>
    </row>
    <row r="24" spans="2:7" x14ac:dyDescent="0.35">
      <c r="E24" s="91"/>
      <c r="G24"/>
    </row>
    <row r="25" spans="2:7" x14ac:dyDescent="0.35">
      <c r="B25" t="s">
        <v>82</v>
      </c>
      <c r="E25" s="92">
        <v>0</v>
      </c>
      <c r="G25"/>
    </row>
    <row r="26" spans="2:7" x14ac:dyDescent="0.35">
      <c r="E26" s="80"/>
      <c r="G26"/>
    </row>
    <row r="27" spans="2:7" ht="15" thickBot="1" x14ac:dyDescent="0.4">
      <c r="B27" s="93" t="s">
        <v>83</v>
      </c>
      <c r="E27" s="89">
        <f>E23-E25</f>
        <v>0</v>
      </c>
      <c r="G27"/>
    </row>
    <row r="28" spans="2:7" ht="15" thickTop="1" x14ac:dyDescent="0.35">
      <c r="B28" s="94"/>
      <c r="E28" s="95"/>
      <c r="G28"/>
    </row>
    <row r="29" spans="2:7" x14ac:dyDescent="0.35">
      <c r="E29" s="80"/>
      <c r="G29"/>
    </row>
    <row r="30" spans="2:7" x14ac:dyDescent="0.35">
      <c r="B30" t="s">
        <v>84</v>
      </c>
      <c r="E30" s="80">
        <f>SUM(E21,E27)</f>
        <v>-1806314.9996977621</v>
      </c>
      <c r="G30"/>
    </row>
    <row r="31" spans="2:7" x14ac:dyDescent="0.35">
      <c r="E31" s="80"/>
      <c r="G31"/>
    </row>
    <row r="32" spans="2:7" x14ac:dyDescent="0.35">
      <c r="B32" t="s">
        <v>85</v>
      </c>
      <c r="E32" s="96">
        <v>0</v>
      </c>
      <c r="G32"/>
    </row>
    <row r="33" spans="2:9" x14ac:dyDescent="0.35">
      <c r="E33" s="80"/>
      <c r="F33" s="18"/>
      <c r="G33"/>
    </row>
    <row r="34" spans="2:9" x14ac:dyDescent="0.35">
      <c r="B34" t="s">
        <v>86</v>
      </c>
      <c r="E34" s="80">
        <f>SUM(E30:E32)</f>
        <v>-1806314.9996977621</v>
      </c>
      <c r="G34"/>
    </row>
    <row r="35" spans="2:9" x14ac:dyDescent="0.35">
      <c r="E35" s="80"/>
      <c r="G35"/>
    </row>
    <row r="36" spans="2:9" x14ac:dyDescent="0.35">
      <c r="B36" t="s">
        <v>87</v>
      </c>
      <c r="E36" s="87">
        <v>1938921.83</v>
      </c>
      <c r="G36"/>
    </row>
    <row r="37" spans="2:9" x14ac:dyDescent="0.35">
      <c r="E37" s="80"/>
      <c r="G37"/>
    </row>
    <row r="38" spans="2:9" ht="15" thickBot="1" x14ac:dyDescent="0.4">
      <c r="B38" s="97" t="s">
        <v>88</v>
      </c>
      <c r="E38" s="89">
        <f>SUM(E34:E36)</f>
        <v>132606.830302238</v>
      </c>
      <c r="G38"/>
    </row>
    <row r="39" spans="2:9" ht="15" thickTop="1" x14ac:dyDescent="0.35">
      <c r="G39"/>
    </row>
    <row r="40" spans="2:9" x14ac:dyDescent="0.35">
      <c r="B40" t="s">
        <v>183</v>
      </c>
      <c r="E40" s="80">
        <v>-3859.81</v>
      </c>
      <c r="G40"/>
    </row>
    <row r="41" spans="2:9" x14ac:dyDescent="0.35">
      <c r="E41" s="98"/>
      <c r="G41"/>
    </row>
    <row r="42" spans="2:9" ht="15" thickBot="1" x14ac:dyDescent="0.4">
      <c r="B42" t="s">
        <v>181</v>
      </c>
      <c r="E42" s="89">
        <f>E38+E40</f>
        <v>128747.020302238</v>
      </c>
      <c r="G42"/>
    </row>
    <row r="43" spans="2:9" ht="15" thickTop="1" x14ac:dyDescent="0.35">
      <c r="C43" s="98"/>
      <c r="G43"/>
    </row>
    <row r="44" spans="2:9" x14ac:dyDescent="0.35">
      <c r="B44" s="232" t="s">
        <v>52</v>
      </c>
      <c r="C44" s="233"/>
      <c r="D44" s="233"/>
      <c r="E44" s="233"/>
      <c r="F44" s="233"/>
      <c r="G44" s="233"/>
      <c r="H44" s="234"/>
    </row>
    <row r="46" spans="2:9" s="20" customFormat="1" ht="29" x14ac:dyDescent="0.35">
      <c r="F46" s="21" t="s">
        <v>54</v>
      </c>
      <c r="G46" s="22" t="s">
        <v>53</v>
      </c>
      <c r="H46" s="22" t="s">
        <v>51</v>
      </c>
    </row>
    <row r="47" spans="2:9" x14ac:dyDescent="0.35">
      <c r="C47" s="8" t="s">
        <v>7</v>
      </c>
      <c r="D47" s="18" t="s">
        <v>8</v>
      </c>
      <c r="E47" s="18"/>
      <c r="F47" s="6">
        <v>-1242351</v>
      </c>
      <c r="G47" s="99"/>
      <c r="I47" t="s">
        <v>90</v>
      </c>
    </row>
    <row r="48" spans="2:9" x14ac:dyDescent="0.35">
      <c r="C48" s="8" t="s">
        <v>9</v>
      </c>
      <c r="D48" s="18" t="s">
        <v>10</v>
      </c>
      <c r="E48" s="18"/>
      <c r="F48" s="6">
        <v>0</v>
      </c>
      <c r="G48" s="99"/>
    </row>
    <row r="49" spans="3:8" x14ac:dyDescent="0.35">
      <c r="C49" s="8" t="s">
        <v>11</v>
      </c>
      <c r="D49" s="18" t="s">
        <v>12</v>
      </c>
      <c r="E49" s="18"/>
      <c r="F49" s="6">
        <v>-1397.45</v>
      </c>
      <c r="G49" s="99"/>
    </row>
    <row r="50" spans="3:8" x14ac:dyDescent="0.35">
      <c r="C50" s="8" t="s">
        <v>13</v>
      </c>
      <c r="D50" s="18" t="s">
        <v>14</v>
      </c>
      <c r="E50" s="18"/>
      <c r="F50" s="6">
        <v>-648.21</v>
      </c>
      <c r="G50" s="99"/>
    </row>
    <row r="51" spans="3:8" x14ac:dyDescent="0.35">
      <c r="C51" s="8" t="s">
        <v>15</v>
      </c>
      <c r="D51" s="18" t="s">
        <v>16</v>
      </c>
      <c r="E51" s="18"/>
      <c r="F51" s="6">
        <v>-159238.88</v>
      </c>
      <c r="G51" s="99"/>
    </row>
    <row r="52" spans="3:8" x14ac:dyDescent="0.35">
      <c r="C52" s="8" t="s">
        <v>17</v>
      </c>
      <c r="D52" s="18" t="s">
        <v>18</v>
      </c>
      <c r="E52" s="18"/>
      <c r="F52" s="6">
        <v>-255799.14</v>
      </c>
      <c r="G52" s="99"/>
    </row>
    <row r="53" spans="3:8" x14ac:dyDescent="0.35">
      <c r="C53" s="8" t="s">
        <v>19</v>
      </c>
      <c r="D53" s="18" t="s">
        <v>20</v>
      </c>
      <c r="E53" s="18"/>
      <c r="F53" s="6">
        <v>-3193.24</v>
      </c>
      <c r="G53" s="99"/>
    </row>
    <row r="54" spans="3:8" x14ac:dyDescent="0.35">
      <c r="C54" s="8" t="s">
        <v>21</v>
      </c>
      <c r="D54" s="18" t="s">
        <v>22</v>
      </c>
      <c r="E54" s="18"/>
      <c r="F54" s="6">
        <v>-38618.229999999996</v>
      </c>
      <c r="G54" s="99"/>
    </row>
    <row r="55" spans="3:8" x14ac:dyDescent="0.35">
      <c r="C55" s="8" t="s">
        <v>23</v>
      </c>
      <c r="D55" s="14" t="s">
        <v>24</v>
      </c>
      <c r="E55" s="18"/>
      <c r="F55" s="16">
        <v>0</v>
      </c>
      <c r="G55" s="99"/>
    </row>
    <row r="56" spans="3:8" x14ac:dyDescent="0.35">
      <c r="C56" s="18"/>
      <c r="D56" s="18" t="s">
        <v>25</v>
      </c>
      <c r="E56" s="18"/>
      <c r="F56" s="15">
        <v>0</v>
      </c>
      <c r="G56" s="99"/>
    </row>
    <row r="57" spans="3:8" x14ac:dyDescent="0.35">
      <c r="C57" s="18"/>
      <c r="D57" s="10" t="s">
        <v>26</v>
      </c>
      <c r="E57" s="18"/>
      <c r="F57" s="5">
        <f>SUM(F47:F56)</f>
        <v>-1701246.1500000001</v>
      </c>
      <c r="G57" s="5">
        <v>-2955884.2336976998</v>
      </c>
      <c r="H57" s="19">
        <f>F57-G57</f>
        <v>1254638.0836976997</v>
      </c>
    </row>
    <row r="58" spans="3:8" x14ac:dyDescent="0.35">
      <c r="C58" s="18"/>
      <c r="D58" s="10"/>
      <c r="E58" s="18"/>
      <c r="F58" s="12"/>
      <c r="H58" s="105"/>
    </row>
    <row r="59" spans="3:8" x14ac:dyDescent="0.35">
      <c r="C59" s="18"/>
      <c r="D59" s="8"/>
      <c r="E59" s="18"/>
      <c r="F59" s="9"/>
      <c r="H59" s="105"/>
    </row>
    <row r="60" spans="3:8" x14ac:dyDescent="0.35">
      <c r="C60" s="8" t="s">
        <v>39</v>
      </c>
      <c r="D60" s="18" t="s">
        <v>40</v>
      </c>
      <c r="E60" s="18"/>
      <c r="F60" s="6">
        <v>0</v>
      </c>
      <c r="G60" s="99"/>
      <c r="H60" s="105"/>
    </row>
    <row r="61" spans="3:8" x14ac:dyDescent="0.35">
      <c r="C61" s="8" t="s">
        <v>41</v>
      </c>
      <c r="D61" s="18" t="s">
        <v>42</v>
      </c>
      <c r="E61" s="18"/>
      <c r="F61" s="6">
        <v>0</v>
      </c>
      <c r="G61" s="99"/>
      <c r="H61" s="105"/>
    </row>
    <row r="62" spans="3:8" x14ac:dyDescent="0.35">
      <c r="C62" s="8" t="s">
        <v>43</v>
      </c>
      <c r="D62" s="18" t="s">
        <v>44</v>
      </c>
      <c r="E62" s="18"/>
      <c r="F62" s="6">
        <v>-388597.53</v>
      </c>
      <c r="G62" s="99"/>
      <c r="H62" s="105"/>
    </row>
    <row r="63" spans="3:8" x14ac:dyDescent="0.35">
      <c r="C63" s="8" t="s">
        <v>45</v>
      </c>
      <c r="D63" s="18" t="s">
        <v>46</v>
      </c>
      <c r="E63" s="18"/>
      <c r="F63" s="6">
        <v>0</v>
      </c>
      <c r="G63" s="99"/>
      <c r="H63" s="105"/>
    </row>
    <row r="64" spans="3:8" x14ac:dyDescent="0.35">
      <c r="C64" s="8" t="s">
        <v>47</v>
      </c>
      <c r="D64" s="18" t="s">
        <v>48</v>
      </c>
      <c r="E64" s="18"/>
      <c r="F64" s="6">
        <v>-134009.80000000002</v>
      </c>
      <c r="G64" s="99"/>
      <c r="H64" s="105"/>
    </row>
    <row r="65" spans="3:8" x14ac:dyDescent="0.35">
      <c r="C65" s="18"/>
      <c r="D65" s="18" t="s">
        <v>25</v>
      </c>
      <c r="E65" s="18"/>
      <c r="F65" s="6">
        <v>0</v>
      </c>
      <c r="G65" s="99"/>
      <c r="H65" s="105"/>
    </row>
    <row r="66" spans="3:8" x14ac:dyDescent="0.35">
      <c r="C66" s="11"/>
      <c r="D66" s="18" t="s">
        <v>49</v>
      </c>
      <c r="E66" s="18"/>
      <c r="F66" s="5">
        <f>SUM(F60:F65)</f>
        <v>-522607.33000000007</v>
      </c>
      <c r="G66" s="220">
        <v>0</v>
      </c>
      <c r="H66" s="19">
        <f>F66-G66</f>
        <v>-522607.33000000007</v>
      </c>
    </row>
    <row r="67" spans="3:8" x14ac:dyDescent="0.35">
      <c r="C67" s="11"/>
      <c r="D67" s="18"/>
      <c r="E67" s="18"/>
      <c r="F67" s="6"/>
      <c r="H67" s="105"/>
    </row>
    <row r="68" spans="3:8" x14ac:dyDescent="0.35">
      <c r="C68" s="11"/>
      <c r="D68" s="18"/>
      <c r="E68" s="18" t="s">
        <v>50</v>
      </c>
      <c r="F68" s="5">
        <f>F57+F66</f>
        <v>-2223853.4800000004</v>
      </c>
      <c r="G68" s="19">
        <f>G57+G66</f>
        <v>-2955884.2336976998</v>
      </c>
      <c r="H68" s="19">
        <f>F68-G68</f>
        <v>732030.7536976994</v>
      </c>
    </row>
    <row r="69" spans="3:8" x14ac:dyDescent="0.35">
      <c r="C69" s="11"/>
      <c r="D69" s="18"/>
      <c r="E69" s="18"/>
      <c r="F69" s="6"/>
      <c r="G69" s="6"/>
      <c r="H69" s="6"/>
    </row>
    <row r="70" spans="3:8" x14ac:dyDescent="0.35">
      <c r="C70" s="11"/>
      <c r="D70" s="18"/>
      <c r="E70" s="18"/>
      <c r="F70" s="6"/>
      <c r="G70" s="6"/>
      <c r="H70" s="6"/>
    </row>
    <row r="71" spans="3:8" x14ac:dyDescent="0.35">
      <c r="C71" s="11"/>
      <c r="D71" s="18"/>
      <c r="E71" s="18"/>
      <c r="F71" s="6"/>
      <c r="G71" s="6"/>
      <c r="H71" s="100"/>
    </row>
    <row r="72" spans="3:8" x14ac:dyDescent="0.35">
      <c r="C72" s="8" t="s">
        <v>27</v>
      </c>
      <c r="D72" s="18" t="s">
        <v>28</v>
      </c>
      <c r="E72" s="18"/>
      <c r="F72" s="5">
        <v>-119661.04</v>
      </c>
      <c r="G72" s="5">
        <v>-100424.632195874</v>
      </c>
      <c r="H72" s="19">
        <f>F72-G72</f>
        <v>-19236.407804125993</v>
      </c>
    </row>
    <row r="73" spans="3:8" x14ac:dyDescent="0.35">
      <c r="C73" s="18"/>
      <c r="D73" s="18"/>
      <c r="E73" s="18"/>
      <c r="F73" s="12"/>
      <c r="G73" s="12"/>
      <c r="H73" s="101"/>
    </row>
    <row r="74" spans="3:8" x14ac:dyDescent="0.35">
      <c r="C74" s="18"/>
      <c r="D74" s="18"/>
      <c r="E74" s="18"/>
      <c r="F74" s="9"/>
      <c r="G74" s="9"/>
      <c r="H74" s="102"/>
    </row>
    <row r="75" spans="3:8" x14ac:dyDescent="0.35">
      <c r="C75" s="8" t="s">
        <v>29</v>
      </c>
      <c r="D75" s="18" t="s">
        <v>30</v>
      </c>
      <c r="E75" s="18"/>
      <c r="F75" s="13"/>
      <c r="G75" s="13">
        <v>0</v>
      </c>
      <c r="H75" s="19">
        <f>F75-G75</f>
        <v>0</v>
      </c>
    </row>
    <row r="76" spans="3:8" x14ac:dyDescent="0.35">
      <c r="C76" s="18"/>
      <c r="D76" s="18"/>
      <c r="E76" s="18"/>
      <c r="F76" s="12"/>
      <c r="G76" s="12"/>
      <c r="H76" s="101"/>
    </row>
    <row r="77" spans="3:8" x14ac:dyDescent="0.35">
      <c r="C77" s="18"/>
      <c r="D77" s="18"/>
      <c r="E77" s="18"/>
      <c r="F77" s="9"/>
      <c r="G77" s="9"/>
      <c r="H77" s="102"/>
    </row>
    <row r="78" spans="3:8" x14ac:dyDescent="0.35">
      <c r="C78" s="8" t="s">
        <v>31</v>
      </c>
      <c r="D78" s="18" t="s">
        <v>32</v>
      </c>
      <c r="E78" s="18"/>
      <c r="F78" s="5">
        <v>-165946.5</v>
      </c>
      <c r="G78" s="5">
        <v>-160906.81</v>
      </c>
      <c r="H78" s="19">
        <f>F78-G78</f>
        <v>-5039.6900000000023</v>
      </c>
    </row>
    <row r="79" spans="3:8" x14ac:dyDescent="0.35">
      <c r="C79" s="18"/>
      <c r="D79" s="18"/>
      <c r="E79" s="18"/>
      <c r="F79" s="16"/>
      <c r="G79" s="16"/>
      <c r="H79" s="103"/>
    </row>
    <row r="80" spans="3:8" x14ac:dyDescent="0.35">
      <c r="C80" s="18"/>
      <c r="D80" s="18"/>
      <c r="E80" s="18"/>
      <c r="F80" s="15"/>
      <c r="G80" s="15"/>
      <c r="H80" s="104"/>
    </row>
    <row r="81" spans="2:29" x14ac:dyDescent="0.35">
      <c r="C81" s="8" t="s">
        <v>33</v>
      </c>
      <c r="D81" s="18" t="s">
        <v>34</v>
      </c>
      <c r="E81" s="18"/>
      <c r="F81" s="5">
        <v>-123881.92</v>
      </c>
      <c r="G81" s="5">
        <v>-132258.98000000001</v>
      </c>
      <c r="H81" s="19">
        <f>F81-G81</f>
        <v>8377.0600000000122</v>
      </c>
    </row>
    <row r="82" spans="2:29" x14ac:dyDescent="0.35">
      <c r="C82" s="18"/>
      <c r="D82" s="18"/>
      <c r="E82" s="18"/>
      <c r="F82" s="16"/>
      <c r="G82" s="16"/>
      <c r="H82" s="103"/>
    </row>
    <row r="83" spans="2:29" x14ac:dyDescent="0.35">
      <c r="C83" s="18"/>
      <c r="D83" s="18"/>
      <c r="E83" s="18"/>
      <c r="F83" s="16"/>
      <c r="G83" s="16"/>
      <c r="H83" s="103"/>
    </row>
    <row r="84" spans="2:29" x14ac:dyDescent="0.35">
      <c r="C84" s="8" t="s">
        <v>35</v>
      </c>
      <c r="D84" s="18" t="s">
        <v>36</v>
      </c>
      <c r="E84" s="18"/>
      <c r="F84" s="5">
        <v>-75221.759999999995</v>
      </c>
      <c r="G84" s="5">
        <v>-64484.46</v>
      </c>
      <c r="H84" s="19">
        <f>F84-G84</f>
        <v>-10737.299999999996</v>
      </c>
    </row>
    <row r="85" spans="2:29" x14ac:dyDescent="0.35">
      <c r="C85" s="18"/>
      <c r="D85" s="18"/>
      <c r="E85" s="18"/>
      <c r="F85" s="16"/>
      <c r="G85" s="16"/>
      <c r="H85" s="103"/>
    </row>
    <row r="86" spans="2:29" x14ac:dyDescent="0.35">
      <c r="C86" s="17" t="s">
        <v>37</v>
      </c>
      <c r="D86" s="14" t="s">
        <v>38</v>
      </c>
      <c r="E86" s="14"/>
      <c r="F86" s="5">
        <v>-10517.47</v>
      </c>
      <c r="G86" s="5">
        <v>-10144.01</v>
      </c>
      <c r="H86" s="19">
        <f>F86-G86</f>
        <v>-373.45999999999913</v>
      </c>
    </row>
    <row r="87" spans="2:29" x14ac:dyDescent="0.35">
      <c r="C87" s="18"/>
      <c r="D87" s="18"/>
      <c r="E87" s="18"/>
      <c r="F87" s="16"/>
      <c r="H87" s="105"/>
    </row>
    <row r="88" spans="2:29" x14ac:dyDescent="0.35">
      <c r="C88" s="18"/>
      <c r="D88" s="18"/>
      <c r="E88" s="18"/>
      <c r="F88" s="15"/>
    </row>
    <row r="89" spans="2:29" x14ac:dyDescent="0.35">
      <c r="B89" s="232" t="s">
        <v>75</v>
      </c>
      <c r="C89" s="233"/>
      <c r="D89" s="233"/>
      <c r="E89" s="233"/>
      <c r="F89" s="233"/>
      <c r="G89" s="233"/>
      <c r="H89" s="234"/>
    </row>
    <row r="90" spans="2:29" ht="15" thickBot="1" x14ac:dyDescent="0.4"/>
    <row r="91" spans="2:29" ht="116.5" thickTop="1" x14ac:dyDescent="0.35">
      <c r="B91" s="68" t="s">
        <v>60</v>
      </c>
      <c r="C91" s="69" t="s">
        <v>61</v>
      </c>
      <c r="D91" s="70" t="s">
        <v>62</v>
      </c>
      <c r="E91" s="69" t="s">
        <v>63</v>
      </c>
      <c r="F91" s="71" t="s">
        <v>64</v>
      </c>
      <c r="G91" s="72" t="s">
        <v>65</v>
      </c>
      <c r="H91" s="70" t="s">
        <v>66</v>
      </c>
      <c r="I91" s="70" t="s">
        <v>67</v>
      </c>
      <c r="J91" s="73" t="s">
        <v>68</v>
      </c>
      <c r="K91" s="69" t="s">
        <v>69</v>
      </c>
      <c r="L91" s="70" t="s">
        <v>70</v>
      </c>
      <c r="M91" s="74" t="s">
        <v>71</v>
      </c>
      <c r="N91" s="75"/>
      <c r="O91" s="76"/>
      <c r="P91" s="70" t="s">
        <v>72</v>
      </c>
      <c r="Q91" s="72" t="s">
        <v>73</v>
      </c>
      <c r="R91" s="71" t="s">
        <v>74</v>
      </c>
      <c r="S91" s="77" t="s">
        <v>68</v>
      </c>
      <c r="U91" s="3"/>
      <c r="V91" s="3"/>
      <c r="W91" s="3"/>
      <c r="X91" s="3"/>
      <c r="Y91" s="3"/>
      <c r="Z91" s="3"/>
      <c r="AA91" s="3"/>
      <c r="AB91" s="3"/>
      <c r="AC91" s="3"/>
    </row>
    <row r="92" spans="2:29" x14ac:dyDescent="0.35">
      <c r="B92" s="24">
        <v>43101</v>
      </c>
      <c r="C92" s="25">
        <v>-1833536.93</v>
      </c>
      <c r="D92" s="26">
        <v>0</v>
      </c>
      <c r="E92" s="25">
        <v>-1833536.93</v>
      </c>
      <c r="F92" s="27">
        <v>-1280502.3799999999</v>
      </c>
      <c r="G92" s="28">
        <v>553034.55000000005</v>
      </c>
      <c r="H92" s="29">
        <v>-143065</v>
      </c>
      <c r="I92" s="29">
        <v>-427829.23</v>
      </c>
      <c r="J92" s="30">
        <v>-17859.679999999935</v>
      </c>
      <c r="K92" s="25">
        <v>-17859.68</v>
      </c>
      <c r="L92" s="29">
        <v>0</v>
      </c>
      <c r="M92" s="31">
        <v>6.5483618527650833E-11</v>
      </c>
      <c r="N92" s="32"/>
      <c r="O92" s="33"/>
      <c r="P92" s="29">
        <v>-2365551.0399999972</v>
      </c>
      <c r="Q92" s="28">
        <v>-450057.12428959971</v>
      </c>
      <c r="R92" s="27">
        <v>-1915493.9157103975</v>
      </c>
      <c r="S92" s="34">
        <v>-17859.679999999935</v>
      </c>
      <c r="V92" s="3"/>
      <c r="W92" s="3"/>
      <c r="X92" s="3"/>
      <c r="Y92" s="3"/>
      <c r="Z92" s="3"/>
      <c r="AA92" s="3"/>
      <c r="AB92" s="3"/>
      <c r="AC92" s="3"/>
    </row>
    <row r="93" spans="2:29" x14ac:dyDescent="0.35">
      <c r="B93" s="24">
        <v>43132</v>
      </c>
      <c r="C93" s="25">
        <v>-1850558.22</v>
      </c>
      <c r="D93" s="26">
        <v>0</v>
      </c>
      <c r="E93" s="25">
        <v>-1850558.22</v>
      </c>
      <c r="F93" s="27">
        <v>-1498428.67</v>
      </c>
      <c r="G93" s="28">
        <v>352129.55000000005</v>
      </c>
      <c r="H93" s="29">
        <v>-149120.33000000002</v>
      </c>
      <c r="I93" s="29">
        <v>-334347.29000000004</v>
      </c>
      <c r="J93" s="30">
        <v>-131338.07</v>
      </c>
      <c r="K93" s="25">
        <v>-298395.5</v>
      </c>
      <c r="L93" s="29">
        <v>17859.68</v>
      </c>
      <c r="M93" s="31">
        <v>149197.75</v>
      </c>
      <c r="N93" s="32"/>
      <c r="O93" s="33"/>
      <c r="P93" s="29">
        <v>-1649574.0700000003</v>
      </c>
      <c r="Q93" s="28">
        <v>-476417.27837620245</v>
      </c>
      <c r="R93" s="27">
        <v>-1173156.7916237977</v>
      </c>
      <c r="S93" s="34">
        <v>-131338.07</v>
      </c>
      <c r="V93" s="3"/>
      <c r="W93" s="3"/>
      <c r="X93" s="3"/>
      <c r="Y93" s="3"/>
      <c r="Z93" s="3"/>
      <c r="AA93" s="3"/>
      <c r="AB93" s="3"/>
      <c r="AC93" s="3"/>
    </row>
    <row r="94" spans="2:29" x14ac:dyDescent="0.35">
      <c r="B94" s="24">
        <v>43160</v>
      </c>
      <c r="C94" s="25">
        <v>-2229320.84</v>
      </c>
      <c r="D94" s="26">
        <v>0</v>
      </c>
      <c r="E94" s="25">
        <v>-2229320.84</v>
      </c>
      <c r="F94" s="27">
        <v>-1428974.72</v>
      </c>
      <c r="G94" s="28">
        <v>800346.11999999988</v>
      </c>
      <c r="H94" s="29">
        <v>-106009.60999999999</v>
      </c>
      <c r="I94" s="29">
        <v>-321724.31000000006</v>
      </c>
      <c r="J94" s="30">
        <v>372612.19999999984</v>
      </c>
      <c r="K94" s="25">
        <v>223414.45</v>
      </c>
      <c r="L94" s="29">
        <v>298395.5</v>
      </c>
      <c r="M94" s="31">
        <v>-149197.75000000017</v>
      </c>
      <c r="N94" s="32"/>
      <c r="O94" s="33"/>
      <c r="P94" s="29">
        <v>-1842661.5000000007</v>
      </c>
      <c r="Q94" s="28">
        <v>-596645.47273990035</v>
      </c>
      <c r="R94" s="27">
        <v>-1246016.0272601005</v>
      </c>
      <c r="S94" s="34">
        <v>372612.19999999984</v>
      </c>
      <c r="V94" s="3"/>
      <c r="W94" s="3"/>
      <c r="X94" s="3"/>
      <c r="Y94" s="3"/>
      <c r="Z94" s="3"/>
      <c r="AA94" s="3"/>
      <c r="AB94" s="3"/>
      <c r="AC94" s="3"/>
    </row>
    <row r="95" spans="2:29" x14ac:dyDescent="0.35">
      <c r="B95" s="24">
        <v>43191</v>
      </c>
      <c r="C95" s="25">
        <v>-2168680.0699999998</v>
      </c>
      <c r="D95" s="26">
        <v>0</v>
      </c>
      <c r="E95" s="25">
        <v>-2168680.0699999998</v>
      </c>
      <c r="F95" s="27">
        <v>-1505845.04</v>
      </c>
      <c r="G95" s="28">
        <v>662835.0299999998</v>
      </c>
      <c r="H95" s="29">
        <v>-120538.49999999994</v>
      </c>
      <c r="I95" s="29">
        <v>-374222.73</v>
      </c>
      <c r="J95" s="30">
        <v>168073.79999999981</v>
      </c>
      <c r="K95" s="25">
        <v>513443.32</v>
      </c>
      <c r="L95" s="29">
        <v>-223414.45</v>
      </c>
      <c r="M95" s="31">
        <v>-121955.07000000018</v>
      </c>
      <c r="N95" s="32"/>
      <c r="O95" s="33"/>
      <c r="P95" s="29">
        <v>-2109524.5900000012</v>
      </c>
      <c r="Q95" s="28">
        <v>-568343.78429330047</v>
      </c>
      <c r="R95" s="27">
        <v>-1541180.8057067008</v>
      </c>
      <c r="S95" s="34">
        <v>168073.79999999981</v>
      </c>
      <c r="V95" s="3"/>
      <c r="W95" s="3"/>
      <c r="X95" s="3"/>
      <c r="Y95" s="3"/>
      <c r="Z95" s="3"/>
      <c r="AA95" s="3"/>
      <c r="AB95" s="3"/>
      <c r="AC95" s="3"/>
    </row>
    <row r="96" spans="2:29" x14ac:dyDescent="0.35">
      <c r="B96" s="24">
        <v>43221</v>
      </c>
      <c r="C96" s="25">
        <v>-2128050.29</v>
      </c>
      <c r="D96" s="26">
        <v>0</v>
      </c>
      <c r="E96" s="25">
        <v>-2128050.29</v>
      </c>
      <c r="F96" s="27">
        <v>-1715976.68</v>
      </c>
      <c r="G96" s="28">
        <v>412073.6100000001</v>
      </c>
      <c r="H96" s="29">
        <v>-135292.62000000011</v>
      </c>
      <c r="I96" s="29">
        <v>-426285.1399999999</v>
      </c>
      <c r="J96" s="30">
        <v>-149504.14999999991</v>
      </c>
      <c r="K96" s="25">
        <v>241984.1</v>
      </c>
      <c r="L96" s="29">
        <v>-513443.32</v>
      </c>
      <c r="M96" s="31">
        <v>121955.07000000012</v>
      </c>
      <c r="N96" s="32"/>
      <c r="O96" s="33"/>
      <c r="P96" s="29">
        <v>-1813722.3199999982</v>
      </c>
      <c r="Q96" s="28">
        <v>-628168.30597360001</v>
      </c>
      <c r="R96" s="27">
        <v>-1185554.0140263983</v>
      </c>
      <c r="S96" s="34">
        <v>-149504.14999999991</v>
      </c>
      <c r="V96" s="3"/>
      <c r="W96" s="3"/>
      <c r="X96" s="3"/>
      <c r="Y96" s="3"/>
      <c r="Z96" s="3"/>
      <c r="AA96" s="3"/>
      <c r="AB96" s="3"/>
      <c r="AC96" s="3"/>
    </row>
    <row r="97" spans="2:29" x14ac:dyDescent="0.35">
      <c r="B97" s="24">
        <v>43252</v>
      </c>
      <c r="C97" s="25">
        <v>-2497247.59</v>
      </c>
      <c r="D97" s="26">
        <v>0</v>
      </c>
      <c r="E97" s="25">
        <v>-2497247.59</v>
      </c>
      <c r="F97" s="27">
        <v>-1472362.62</v>
      </c>
      <c r="G97" s="28">
        <v>1024884.9699999997</v>
      </c>
      <c r="H97" s="29">
        <v>-124507.85999999999</v>
      </c>
      <c r="I97" s="29">
        <v>-418967.92999999993</v>
      </c>
      <c r="J97" s="30">
        <v>481409.17999999982</v>
      </c>
      <c r="K97" s="25">
        <v>410748.99000000005</v>
      </c>
      <c r="L97" s="29">
        <v>-241984.1</v>
      </c>
      <c r="M97" s="31">
        <v>312644.2899999998</v>
      </c>
      <c r="N97" s="32"/>
      <c r="O97" s="33"/>
      <c r="P97" s="29">
        <v>-2725922.660000002</v>
      </c>
      <c r="Q97" s="28">
        <v>-686736.70498480124</v>
      </c>
      <c r="R97" s="27">
        <v>-2039185.9550152007</v>
      </c>
      <c r="S97" s="34">
        <v>481409.17999999982</v>
      </c>
      <c r="V97" s="3"/>
      <c r="W97" s="3"/>
      <c r="X97" s="3"/>
      <c r="Y97" s="3"/>
      <c r="Z97" s="3"/>
      <c r="AA97" s="3"/>
      <c r="AB97" s="3"/>
      <c r="AC97" s="3"/>
    </row>
    <row r="98" spans="2:29" x14ac:dyDescent="0.35">
      <c r="B98" s="24">
        <v>43282</v>
      </c>
      <c r="C98" s="25">
        <v>-1982587.9</v>
      </c>
      <c r="D98" s="26">
        <v>0</v>
      </c>
      <c r="E98" s="25">
        <v>-1982587.9</v>
      </c>
      <c r="F98" s="27">
        <v>-1387811.53</v>
      </c>
      <c r="G98" s="28">
        <v>594776.36999999988</v>
      </c>
      <c r="H98" s="29">
        <v>-181287.93999999994</v>
      </c>
      <c r="I98" s="29">
        <v>-497949.02</v>
      </c>
      <c r="J98" s="30">
        <v>-84460.590000000084</v>
      </c>
      <c r="K98" s="25">
        <v>638932.69000000006</v>
      </c>
      <c r="L98" s="29">
        <v>-410748.99000000005</v>
      </c>
      <c r="M98" s="31">
        <v>-312644.2900000001</v>
      </c>
      <c r="N98" s="32"/>
      <c r="O98" s="33"/>
      <c r="P98" s="29">
        <v>-2122977.3199999989</v>
      </c>
      <c r="Q98" s="28">
        <v>-466375.98468299996</v>
      </c>
      <c r="R98" s="27">
        <v>-1656601.3353169989</v>
      </c>
      <c r="S98" s="34">
        <v>-84460.590000000084</v>
      </c>
      <c r="V98" s="3"/>
      <c r="W98" s="3"/>
      <c r="X98" s="3"/>
      <c r="Y98" s="3"/>
      <c r="Z98" s="3"/>
      <c r="AA98" s="3"/>
      <c r="AB98" s="3"/>
      <c r="AC98" s="3"/>
    </row>
    <row r="99" spans="2:29" x14ac:dyDescent="0.35">
      <c r="B99" s="24">
        <v>43313</v>
      </c>
      <c r="C99" s="25">
        <v>-1884742.13</v>
      </c>
      <c r="D99" s="26">
        <v>0</v>
      </c>
      <c r="E99" s="25">
        <v>-1884742.13</v>
      </c>
      <c r="F99" s="27">
        <v>-1319319.49</v>
      </c>
      <c r="G99" s="28">
        <v>565422.6399999999</v>
      </c>
      <c r="H99" s="29">
        <v>-149582.7699999999</v>
      </c>
      <c r="I99" s="29">
        <v>-424092.35999999987</v>
      </c>
      <c r="J99" s="30">
        <v>-8252.4899999998743</v>
      </c>
      <c r="K99" s="25">
        <v>561946.05000000005</v>
      </c>
      <c r="L99" s="29">
        <v>-570198.54</v>
      </c>
      <c r="M99" s="31">
        <v>0</v>
      </c>
      <c r="N99" s="32"/>
      <c r="O99" s="33"/>
      <c r="P99" s="29">
        <v>-1919697.19</v>
      </c>
      <c r="Q99" s="28">
        <v>-458834.27217600076</v>
      </c>
      <c r="R99" s="27">
        <v>-1460862.9178239992</v>
      </c>
      <c r="S99" s="34">
        <v>-8252.4899999998743</v>
      </c>
      <c r="V99" s="3"/>
      <c r="W99" s="3"/>
      <c r="X99" s="3"/>
      <c r="Y99" s="3"/>
      <c r="Z99" s="3"/>
      <c r="AA99" s="3"/>
      <c r="AB99" s="3"/>
      <c r="AC99" s="3"/>
    </row>
    <row r="100" spans="2:29" x14ac:dyDescent="0.35">
      <c r="B100" s="24">
        <v>43344</v>
      </c>
      <c r="C100" s="25">
        <v>-1811530.55</v>
      </c>
      <c r="D100" s="26">
        <v>0</v>
      </c>
      <c r="E100" s="25">
        <v>-1811530.55</v>
      </c>
      <c r="F100" s="27">
        <v>-1268071.3899999999</v>
      </c>
      <c r="G100" s="28">
        <v>543459.16000000015</v>
      </c>
      <c r="H100" s="29">
        <v>-125138.05999999982</v>
      </c>
      <c r="I100" s="29">
        <v>-382633.51000000024</v>
      </c>
      <c r="J100" s="30">
        <v>35687.590000000084</v>
      </c>
      <c r="K100" s="25">
        <v>597633.64</v>
      </c>
      <c r="L100" s="29">
        <v>-561946.05000000005</v>
      </c>
      <c r="M100" s="31">
        <v>0</v>
      </c>
      <c r="N100" s="32"/>
      <c r="O100" s="33"/>
      <c r="P100" s="29">
        <v>-1744566.1000000008</v>
      </c>
      <c r="Q100" s="28">
        <v>-485766.04402960074</v>
      </c>
      <c r="R100" s="27">
        <v>-1258800.0559704001</v>
      </c>
      <c r="S100" s="34">
        <v>35687.590000000084</v>
      </c>
      <c r="V100" s="3"/>
      <c r="W100" s="3"/>
      <c r="X100" s="3"/>
      <c r="Y100" s="3"/>
      <c r="Z100" s="3"/>
      <c r="AA100" s="3"/>
      <c r="AB100" s="3"/>
      <c r="AC100" s="3"/>
    </row>
    <row r="101" spans="2:29" x14ac:dyDescent="0.35">
      <c r="B101" s="35">
        <v>43374</v>
      </c>
      <c r="C101" s="25">
        <v>-2500775.9500000002</v>
      </c>
      <c r="D101" s="26">
        <v>0</v>
      </c>
      <c r="E101" s="25">
        <v>-2500775.9500000002</v>
      </c>
      <c r="F101" s="27">
        <v>-1750543.17</v>
      </c>
      <c r="G101" s="28">
        <v>750232.78000000026</v>
      </c>
      <c r="H101" s="29">
        <v>-116170.52000000025</v>
      </c>
      <c r="I101" s="29">
        <v>-363271.48</v>
      </c>
      <c r="J101" s="30">
        <v>270790.78000000003</v>
      </c>
      <c r="K101" s="25">
        <v>868424.41999999993</v>
      </c>
      <c r="L101" s="36">
        <v>-597633.64</v>
      </c>
      <c r="M101" s="37">
        <v>0</v>
      </c>
      <c r="N101" s="38"/>
      <c r="O101" s="39"/>
      <c r="P101" s="29">
        <v>-1815240.4400000006</v>
      </c>
      <c r="Q101" s="28">
        <v>-681104.45738350321</v>
      </c>
      <c r="R101" s="27">
        <v>-1134135.9826164974</v>
      </c>
      <c r="S101" s="34">
        <v>270790.78000000003</v>
      </c>
      <c r="V101" s="3"/>
      <c r="W101" s="3"/>
      <c r="X101" s="3"/>
      <c r="Y101" s="3"/>
      <c r="Z101" s="3"/>
      <c r="AA101" s="3"/>
      <c r="AB101" s="3"/>
      <c r="AC101" s="3"/>
    </row>
    <row r="102" spans="2:29" x14ac:dyDescent="0.35">
      <c r="B102" s="35">
        <v>43405</v>
      </c>
      <c r="C102" s="25">
        <v>-2252262.7000000002</v>
      </c>
      <c r="D102" s="26">
        <v>0</v>
      </c>
      <c r="E102" s="25">
        <v>-2252262.7000000002</v>
      </c>
      <c r="F102" s="27">
        <v>-1576583.89</v>
      </c>
      <c r="G102" s="28">
        <v>675678.81000000029</v>
      </c>
      <c r="H102" s="29">
        <v>-122067.83000000007</v>
      </c>
      <c r="I102" s="29">
        <v>-364357.63999999966</v>
      </c>
      <c r="J102" s="30">
        <v>189253.34000000055</v>
      </c>
      <c r="K102" s="25">
        <v>1057677.76</v>
      </c>
      <c r="L102" s="36">
        <v>-868424.41999999993</v>
      </c>
      <c r="M102" s="37">
        <v>0</v>
      </c>
      <c r="N102" s="38"/>
      <c r="O102" s="39"/>
      <c r="P102" s="29">
        <v>-2723216.0000000009</v>
      </c>
      <c r="Q102" s="28">
        <v>-568035.52323749836</v>
      </c>
      <c r="R102" s="27">
        <v>-2155180.4767625025</v>
      </c>
      <c r="S102" s="34">
        <v>189253.34000000055</v>
      </c>
      <c r="V102" s="3"/>
      <c r="W102" s="3"/>
      <c r="X102" s="3"/>
      <c r="Y102" s="3"/>
      <c r="Z102" s="3"/>
      <c r="AA102" s="3"/>
      <c r="AB102" s="3"/>
      <c r="AC102" s="3"/>
    </row>
    <row r="103" spans="2:29" x14ac:dyDescent="0.35">
      <c r="B103" s="40">
        <v>43435</v>
      </c>
      <c r="C103" s="41">
        <v>-1869932.2</v>
      </c>
      <c r="D103" s="42">
        <v>0</v>
      </c>
      <c r="E103" s="41">
        <v>-1869932.2</v>
      </c>
      <c r="F103" s="43">
        <v>-1308952.54</v>
      </c>
      <c r="G103" s="44">
        <v>560979.65999999992</v>
      </c>
      <c r="H103" s="45">
        <v>-176003.8899999999</v>
      </c>
      <c r="I103" s="45">
        <v>-548979.94000000041</v>
      </c>
      <c r="J103" s="46">
        <v>-164004.17000000039</v>
      </c>
      <c r="K103" s="25">
        <v>893673.59</v>
      </c>
      <c r="L103" s="36">
        <v>-1057677.76</v>
      </c>
      <c r="M103" s="37">
        <v>0</v>
      </c>
      <c r="N103" s="32"/>
      <c r="O103" s="39"/>
      <c r="P103" s="29">
        <v>-2273351.7399999998</v>
      </c>
      <c r="Q103" s="28">
        <v>-420563.54581079975</v>
      </c>
      <c r="R103" s="27">
        <v>-1852788.1941891999</v>
      </c>
      <c r="S103" s="34">
        <v>-164004.17000000039</v>
      </c>
      <c r="U103" s="47" t="s">
        <v>55</v>
      </c>
      <c r="V103" s="48">
        <v>2018</v>
      </c>
      <c r="W103" s="3"/>
      <c r="X103" s="3"/>
      <c r="Y103" s="3"/>
      <c r="Z103" s="3"/>
      <c r="AA103" s="3"/>
      <c r="AB103" s="3"/>
      <c r="AC103" s="3"/>
    </row>
    <row r="104" spans="2:29" ht="15" thickBot="1" x14ac:dyDescent="0.4">
      <c r="B104" s="49"/>
      <c r="C104" s="50">
        <v>-25009225.370000001</v>
      </c>
      <c r="D104" s="51">
        <v>0</v>
      </c>
      <c r="E104" s="50">
        <v>-25009225.370000001</v>
      </c>
      <c r="F104" s="52">
        <v>-17513372.120000001</v>
      </c>
      <c r="G104" s="53">
        <v>7495853.2500000009</v>
      </c>
      <c r="H104" s="54">
        <v>-1648784.93</v>
      </c>
      <c r="I104" s="54">
        <v>-4884660.58</v>
      </c>
      <c r="J104" s="55">
        <v>962407.73999999976</v>
      </c>
      <c r="K104" s="50"/>
      <c r="L104" s="54"/>
      <c r="M104" s="56"/>
      <c r="N104" s="32"/>
      <c r="O104" s="57" t="s">
        <v>56</v>
      </c>
      <c r="P104" s="58">
        <v>-25106004.969999999</v>
      </c>
      <c r="Q104" s="59">
        <v>-6487048.4979778072</v>
      </c>
      <c r="R104" s="60">
        <v>-18618956.472022191</v>
      </c>
      <c r="S104" s="34"/>
      <c r="V104" s="3"/>
      <c r="W104" s="3"/>
      <c r="X104" s="3"/>
      <c r="Y104" s="3"/>
      <c r="Z104" s="3"/>
      <c r="AA104" s="3"/>
      <c r="AB104" s="3"/>
      <c r="AC104" s="3"/>
    </row>
    <row r="105" spans="2:29" ht="15" thickTop="1" x14ac:dyDescent="0.35">
      <c r="B105" s="61"/>
      <c r="C105" s="32"/>
      <c r="D105" s="6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57" t="s">
        <v>57</v>
      </c>
      <c r="P105" s="58">
        <v>-25009225.370000001</v>
      </c>
      <c r="Q105" s="59">
        <v>-7495853.2500000009</v>
      </c>
      <c r="R105" s="60">
        <v>-17513372.120000001</v>
      </c>
      <c r="S105" s="34"/>
      <c r="U105" t="s">
        <v>58</v>
      </c>
      <c r="V105" s="3">
        <v>1008804.7520221937</v>
      </c>
      <c r="W105" s="3"/>
      <c r="X105" s="3"/>
      <c r="Y105" s="3"/>
      <c r="Z105" s="3"/>
      <c r="AA105" s="3"/>
      <c r="AB105" s="3"/>
      <c r="AC105" s="3"/>
    </row>
    <row r="106" spans="2:29" ht="15" thickBot="1" x14ac:dyDescent="0.4">
      <c r="B106" s="61"/>
      <c r="C106" s="32"/>
      <c r="D106" s="62"/>
      <c r="E106" s="32"/>
      <c r="F106" s="32"/>
      <c r="G106" s="32"/>
      <c r="H106" s="32"/>
      <c r="I106" s="32"/>
      <c r="J106" s="32"/>
      <c r="K106" s="32"/>
      <c r="L106" s="32"/>
      <c r="M106" s="38"/>
      <c r="N106" s="38"/>
      <c r="O106" s="63" t="s">
        <v>51</v>
      </c>
      <c r="P106" s="64">
        <v>-96779.599999997765</v>
      </c>
      <c r="Q106" s="65">
        <v>1008804.7520221937</v>
      </c>
      <c r="R106" s="66">
        <v>-1105584.3520221896</v>
      </c>
      <c r="S106" s="67"/>
      <c r="U106" t="s">
        <v>59</v>
      </c>
      <c r="V106" s="3">
        <v>-1008804.7520221937</v>
      </c>
      <c r="W106" s="3"/>
      <c r="X106" s="3"/>
      <c r="Y106" s="3"/>
      <c r="Z106" s="3"/>
      <c r="AA106" s="3"/>
      <c r="AB106" s="3"/>
      <c r="AC106" s="3"/>
    </row>
    <row r="107" spans="2:29" ht="15" thickTop="1" x14ac:dyDescent="0.35">
      <c r="B107" s="38"/>
      <c r="C107" s="38"/>
      <c r="D107" s="38"/>
      <c r="G107"/>
      <c r="U107" s="3"/>
      <c r="V107" s="3"/>
      <c r="W107" s="3"/>
      <c r="X107" s="3"/>
      <c r="Y107" s="3"/>
      <c r="Z107" s="3"/>
      <c r="AA107" s="3"/>
      <c r="AB107" s="3"/>
      <c r="AC107" s="3"/>
    </row>
  </sheetData>
  <mergeCells count="3">
    <mergeCell ref="B9:H9"/>
    <mergeCell ref="B44:H44"/>
    <mergeCell ref="B89:H89"/>
  </mergeCells>
  <pageMargins left="0.7" right="0.7" top="0.75" bottom="0.75" header="0.3" footer="0.3"/>
  <pageSetup scale="27" orientation="portrait" r:id="rId1"/>
  <rowBreaks count="1" manualBreakCount="1">
    <brk id="43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C105"/>
  <sheetViews>
    <sheetView zoomScale="55" zoomScaleNormal="55" workbookViewId="0">
      <selection activeCell="T46" sqref="T46"/>
    </sheetView>
  </sheetViews>
  <sheetFormatPr defaultRowHeight="14.5" x14ac:dyDescent="0.35"/>
  <cols>
    <col min="1" max="1" width="2.6328125" customWidth="1"/>
    <col min="3" max="5" width="17.6328125" customWidth="1"/>
    <col min="6" max="6" width="18.6328125" customWidth="1"/>
    <col min="7" max="7" width="18.6328125" style="3" customWidth="1"/>
    <col min="8" max="13" width="17.6328125" customWidth="1"/>
    <col min="15" max="15" width="13.1796875" bestFit="1" customWidth="1"/>
    <col min="16" max="16" width="14" bestFit="1" customWidth="1"/>
    <col min="17" max="17" width="12.81640625" bestFit="1" customWidth="1"/>
    <col min="18" max="18" width="14" bestFit="1" customWidth="1"/>
    <col min="19" max="19" width="11.1796875" bestFit="1" customWidth="1"/>
    <col min="21" max="21" width="17.08984375" bestFit="1" customWidth="1"/>
    <col min="22" max="22" width="13.453125" bestFit="1" customWidth="1"/>
  </cols>
  <sheetData>
    <row r="2" spans="2:29" ht="17" x14ac:dyDescent="0.4">
      <c r="B2" s="78" t="s">
        <v>184</v>
      </c>
    </row>
    <row r="4" spans="2:29" ht="43.5" x14ac:dyDescent="0.35">
      <c r="C4" s="2" t="s">
        <v>0</v>
      </c>
      <c r="D4" s="2" t="s">
        <v>1</v>
      </c>
      <c r="E4" s="2" t="s">
        <v>2</v>
      </c>
      <c r="F4" s="2" t="s">
        <v>3</v>
      </c>
      <c r="G4" s="4" t="s">
        <v>4</v>
      </c>
      <c r="H4" s="2" t="s">
        <v>5</v>
      </c>
    </row>
    <row r="5" spans="2:29" x14ac:dyDescent="0.35">
      <c r="B5" s="1">
        <v>1588</v>
      </c>
      <c r="C5" s="1" t="s">
        <v>6</v>
      </c>
      <c r="E5" s="218">
        <f>E38</f>
        <v>-31538.34208742925</v>
      </c>
      <c r="F5" s="23">
        <f>H55</f>
        <v>976919.00920506008</v>
      </c>
      <c r="G5" s="218">
        <f>V103</f>
        <v>509306.36164139956</v>
      </c>
      <c r="H5" s="23">
        <f>SUM(D5:G5)</f>
        <v>1454687.0287590304</v>
      </c>
    </row>
    <row r="6" spans="2:29" x14ac:dyDescent="0.35">
      <c r="B6" s="1">
        <v>1589</v>
      </c>
      <c r="C6" s="1" t="s">
        <v>6</v>
      </c>
      <c r="F6" s="23">
        <f>H64</f>
        <v>-570894.23</v>
      </c>
      <c r="G6" s="218">
        <f>V104</f>
        <v>-509306.36164139956</v>
      </c>
      <c r="H6" s="23">
        <f>SUM(D6:G6)</f>
        <v>-1080200.5916413995</v>
      </c>
    </row>
    <row r="8" spans="2:29" x14ac:dyDescent="0.35">
      <c r="B8" s="38"/>
      <c r="C8" s="38"/>
      <c r="D8" s="38"/>
      <c r="G8"/>
      <c r="U8" s="3"/>
      <c r="V8" s="3"/>
      <c r="W8" s="3"/>
      <c r="X8" s="3"/>
      <c r="Y8" s="3"/>
      <c r="Z8" s="3"/>
      <c r="AA8" s="3"/>
      <c r="AB8" s="3"/>
      <c r="AC8" s="3"/>
    </row>
    <row r="9" spans="2:29" x14ac:dyDescent="0.35">
      <c r="B9" s="232" t="s">
        <v>89</v>
      </c>
      <c r="C9" s="233"/>
      <c r="D9" s="233"/>
      <c r="E9" s="233"/>
      <c r="F9" s="233"/>
      <c r="G9" s="233"/>
      <c r="H9" s="234"/>
    </row>
    <row r="10" spans="2:29" x14ac:dyDescent="0.35">
      <c r="B10" s="114" t="s">
        <v>104</v>
      </c>
      <c r="G10"/>
    </row>
    <row r="11" spans="2:29" x14ac:dyDescent="0.35">
      <c r="G11"/>
    </row>
    <row r="12" spans="2:29" x14ac:dyDescent="0.35">
      <c r="E12" s="221" t="s">
        <v>182</v>
      </c>
      <c r="G12"/>
    </row>
    <row r="13" spans="2:29" x14ac:dyDescent="0.35">
      <c r="G13" s="115"/>
    </row>
    <row r="14" spans="2:29" x14ac:dyDescent="0.35">
      <c r="B14" t="s">
        <v>76</v>
      </c>
      <c r="E14" s="80">
        <v>3913434.7922499059</v>
      </c>
      <c r="G14"/>
      <c r="J14" s="81"/>
    </row>
    <row r="15" spans="2:29" x14ac:dyDescent="0.35">
      <c r="E15" s="82"/>
      <c r="G15"/>
    </row>
    <row r="16" spans="2:29" x14ac:dyDescent="0.35">
      <c r="B16" t="s">
        <v>77</v>
      </c>
      <c r="E16" s="80">
        <v>750338.01422853733</v>
      </c>
      <c r="G16"/>
    </row>
    <row r="17" spans="2:7" x14ac:dyDescent="0.35">
      <c r="B17" s="83" t="s">
        <v>78</v>
      </c>
      <c r="E17" s="84">
        <v>4927981.1901087975</v>
      </c>
      <c r="G17"/>
    </row>
    <row r="18" spans="2:7" x14ac:dyDescent="0.35">
      <c r="B18" s="83"/>
      <c r="E18" s="80"/>
      <c r="G18"/>
    </row>
    <row r="19" spans="2:7" x14ac:dyDescent="0.35">
      <c r="B19" s="85" t="s">
        <v>79</v>
      </c>
      <c r="E19" s="86">
        <v>5678319.2043373352</v>
      </c>
      <c r="G19"/>
    </row>
    <row r="20" spans="2:7" x14ac:dyDescent="0.35">
      <c r="B20" s="83"/>
      <c r="E20" s="80"/>
      <c r="G20"/>
    </row>
    <row r="21" spans="2:7" ht="15" thickBot="1" x14ac:dyDescent="0.4">
      <c r="B21" s="88" t="s">
        <v>80</v>
      </c>
      <c r="E21" s="89">
        <v>-1764884.4120874293</v>
      </c>
      <c r="G21"/>
    </row>
    <row r="22" spans="2:7" ht="15" thickTop="1" x14ac:dyDescent="0.35">
      <c r="E22" s="80"/>
      <c r="G22"/>
    </row>
    <row r="23" spans="2:7" x14ac:dyDescent="0.35">
      <c r="B23" t="s">
        <v>81</v>
      </c>
      <c r="E23" s="90">
        <v>0</v>
      </c>
      <c r="G23"/>
    </row>
    <row r="24" spans="2:7" x14ac:dyDescent="0.35">
      <c r="E24" s="91"/>
      <c r="G24"/>
    </row>
    <row r="25" spans="2:7" x14ac:dyDescent="0.35">
      <c r="B25" t="s">
        <v>82</v>
      </c>
      <c r="E25" s="92">
        <v>0</v>
      </c>
      <c r="G25"/>
    </row>
    <row r="26" spans="2:7" x14ac:dyDescent="0.35">
      <c r="E26" s="80"/>
      <c r="G26"/>
    </row>
    <row r="27" spans="2:7" ht="15" thickBot="1" x14ac:dyDescent="0.4">
      <c r="B27" s="93" t="s">
        <v>83</v>
      </c>
      <c r="E27" s="89">
        <v>0</v>
      </c>
      <c r="G27"/>
    </row>
    <row r="28" spans="2:7" ht="15" thickTop="1" x14ac:dyDescent="0.35">
      <c r="B28" s="94"/>
      <c r="E28" s="95"/>
      <c r="G28"/>
    </row>
    <row r="29" spans="2:7" x14ac:dyDescent="0.35">
      <c r="E29" s="80"/>
      <c r="G29"/>
    </row>
    <row r="30" spans="2:7" x14ac:dyDescent="0.35">
      <c r="B30" t="s">
        <v>84</v>
      </c>
      <c r="E30" s="80">
        <v>-1764884.4120874293</v>
      </c>
      <c r="G30"/>
    </row>
    <row r="31" spans="2:7" x14ac:dyDescent="0.35">
      <c r="E31" s="80"/>
      <c r="G31"/>
    </row>
    <row r="32" spans="2:7" x14ac:dyDescent="0.35">
      <c r="B32" t="s">
        <v>85</v>
      </c>
      <c r="E32" s="96">
        <v>0</v>
      </c>
      <c r="G32"/>
    </row>
    <row r="33" spans="2:9" x14ac:dyDescent="0.35">
      <c r="E33" s="80"/>
      <c r="F33" s="18"/>
      <c r="G33"/>
    </row>
    <row r="34" spans="2:9" x14ac:dyDescent="0.35">
      <c r="B34" t="s">
        <v>86</v>
      </c>
      <c r="E34" s="80">
        <v>-1764884.4120874293</v>
      </c>
      <c r="G34"/>
    </row>
    <row r="35" spans="2:9" x14ac:dyDescent="0.35">
      <c r="E35" s="80"/>
      <c r="G35"/>
    </row>
    <row r="36" spans="2:9" x14ac:dyDescent="0.35">
      <c r="B36" t="s">
        <v>87</v>
      </c>
      <c r="E36" s="87">
        <v>1733346.07</v>
      </c>
      <c r="G36"/>
    </row>
    <row r="37" spans="2:9" x14ac:dyDescent="0.35">
      <c r="E37" s="80"/>
      <c r="G37"/>
    </row>
    <row r="38" spans="2:9" ht="15" thickBot="1" x14ac:dyDescent="0.4">
      <c r="B38" s="97" t="s">
        <v>88</v>
      </c>
      <c r="E38" s="89">
        <v>-31538.34208742925</v>
      </c>
      <c r="G38"/>
    </row>
    <row r="39" spans="2:9" ht="15" thickTop="1" x14ac:dyDescent="0.35">
      <c r="G39"/>
    </row>
    <row r="40" spans="2:9" x14ac:dyDescent="0.35">
      <c r="E40" s="98"/>
      <c r="G40"/>
    </row>
    <row r="41" spans="2:9" x14ac:dyDescent="0.35">
      <c r="C41" s="98"/>
      <c r="G41"/>
    </row>
    <row r="42" spans="2:9" x14ac:dyDescent="0.35">
      <c r="B42" s="232" t="s">
        <v>52</v>
      </c>
      <c r="C42" s="233"/>
      <c r="D42" s="233"/>
      <c r="E42" s="233"/>
      <c r="F42" s="233"/>
      <c r="G42" s="233"/>
      <c r="H42" s="234"/>
    </row>
    <row r="44" spans="2:9" s="20" customFormat="1" ht="29" x14ac:dyDescent="0.35">
      <c r="F44" s="21" t="s">
        <v>54</v>
      </c>
      <c r="G44" s="22" t="s">
        <v>53</v>
      </c>
      <c r="H44" s="22" t="s">
        <v>51</v>
      </c>
    </row>
    <row r="45" spans="2:9" x14ac:dyDescent="0.35">
      <c r="C45" s="8" t="s">
        <v>7</v>
      </c>
      <c r="D45" s="18" t="s">
        <v>8</v>
      </c>
      <c r="E45" s="18"/>
      <c r="F45" s="6">
        <v>-1324967.17</v>
      </c>
      <c r="G45" s="99"/>
      <c r="I45" t="s">
        <v>90</v>
      </c>
    </row>
    <row r="46" spans="2:9" x14ac:dyDescent="0.35">
      <c r="C46" s="8" t="s">
        <v>9</v>
      </c>
      <c r="D46" s="18" t="s">
        <v>10</v>
      </c>
      <c r="E46" s="18"/>
      <c r="F46" s="6">
        <v>0</v>
      </c>
      <c r="G46" s="99"/>
    </row>
    <row r="47" spans="2:9" x14ac:dyDescent="0.35">
      <c r="C47" s="8" t="s">
        <v>11</v>
      </c>
      <c r="D47" s="18" t="s">
        <v>12</v>
      </c>
      <c r="E47" s="18"/>
      <c r="F47" s="6">
        <v>-902.08</v>
      </c>
      <c r="G47" s="99"/>
    </row>
    <row r="48" spans="2:9" x14ac:dyDescent="0.35">
      <c r="C48" s="8" t="s">
        <v>13</v>
      </c>
      <c r="D48" s="18" t="s">
        <v>14</v>
      </c>
      <c r="E48" s="18"/>
      <c r="F48" s="6">
        <v>-686.95</v>
      </c>
      <c r="G48" s="99"/>
    </row>
    <row r="49" spans="3:8" x14ac:dyDescent="0.35">
      <c r="C49" s="8" t="s">
        <v>15</v>
      </c>
      <c r="D49" s="18" t="s">
        <v>16</v>
      </c>
      <c r="E49" s="18"/>
      <c r="F49" s="6">
        <v>-123950.55</v>
      </c>
      <c r="G49" s="99"/>
    </row>
    <row r="50" spans="3:8" x14ac:dyDescent="0.35">
      <c r="C50" s="8" t="s">
        <v>17</v>
      </c>
      <c r="D50" s="18" t="s">
        <v>18</v>
      </c>
      <c r="E50" s="18"/>
      <c r="F50" s="6">
        <v>-214413.51</v>
      </c>
      <c r="G50" s="99"/>
    </row>
    <row r="51" spans="3:8" x14ac:dyDescent="0.35">
      <c r="C51" s="8" t="s">
        <v>19</v>
      </c>
      <c r="D51" s="18" t="s">
        <v>20</v>
      </c>
      <c r="E51" s="18"/>
      <c r="F51" s="6">
        <v>-3015.66</v>
      </c>
      <c r="G51" s="99"/>
    </row>
    <row r="52" spans="3:8" x14ac:dyDescent="0.35">
      <c r="C52" s="8" t="s">
        <v>21</v>
      </c>
      <c r="D52" s="18" t="s">
        <v>22</v>
      </c>
      <c r="E52" s="18"/>
      <c r="F52" s="6">
        <v>-41983.37999999999</v>
      </c>
      <c r="G52" s="99"/>
    </row>
    <row r="53" spans="3:8" x14ac:dyDescent="0.35">
      <c r="C53" s="8" t="s">
        <v>23</v>
      </c>
      <c r="D53" s="14" t="s">
        <v>24</v>
      </c>
      <c r="E53" s="18"/>
      <c r="F53" s="16">
        <v>0</v>
      </c>
      <c r="G53" s="99"/>
    </row>
    <row r="54" spans="3:8" x14ac:dyDescent="0.35">
      <c r="C54" s="18"/>
      <c r="D54" s="18" t="s">
        <v>25</v>
      </c>
      <c r="E54" s="18"/>
      <c r="F54" s="104">
        <v>0</v>
      </c>
      <c r="G54" s="99"/>
    </row>
    <row r="55" spans="3:8" x14ac:dyDescent="0.35">
      <c r="C55" s="18"/>
      <c r="D55" s="10" t="s">
        <v>26</v>
      </c>
      <c r="E55" s="18"/>
      <c r="F55" s="19">
        <f>SUM(F45:F54)</f>
        <v>-1709919.2999999998</v>
      </c>
      <c r="G55" s="5">
        <v>-2686838.3092050599</v>
      </c>
      <c r="H55" s="19">
        <f>F55-G55</f>
        <v>976919.00920506008</v>
      </c>
    </row>
    <row r="56" spans="3:8" x14ac:dyDescent="0.35">
      <c r="C56" s="18"/>
      <c r="D56" s="10"/>
      <c r="E56" s="18"/>
      <c r="F56" s="101"/>
      <c r="H56" s="105"/>
    </row>
    <row r="57" spans="3:8" x14ac:dyDescent="0.35">
      <c r="C57" s="18"/>
      <c r="D57" s="8"/>
      <c r="E57" s="18"/>
      <c r="F57" s="102"/>
      <c r="H57" s="105"/>
    </row>
    <row r="58" spans="3:8" x14ac:dyDescent="0.35">
      <c r="C58" s="8" t="s">
        <v>39</v>
      </c>
      <c r="D58" s="18" t="s">
        <v>40</v>
      </c>
      <c r="E58" s="18"/>
      <c r="F58" s="100">
        <v>0</v>
      </c>
      <c r="G58" s="99"/>
      <c r="H58" s="105"/>
    </row>
    <row r="59" spans="3:8" x14ac:dyDescent="0.35">
      <c r="C59" s="8" t="s">
        <v>41</v>
      </c>
      <c r="D59" s="18" t="s">
        <v>42</v>
      </c>
      <c r="E59" s="18"/>
      <c r="F59" s="100">
        <v>0</v>
      </c>
      <c r="G59" s="99"/>
      <c r="H59" s="105"/>
    </row>
    <row r="60" spans="3:8" x14ac:dyDescent="0.35">
      <c r="C60" s="8" t="s">
        <v>43</v>
      </c>
      <c r="D60" s="18" t="s">
        <v>44</v>
      </c>
      <c r="E60" s="18"/>
      <c r="F60" s="100">
        <v>-427829.23</v>
      </c>
      <c r="G60" s="99"/>
      <c r="H60" s="105"/>
    </row>
    <row r="61" spans="3:8" x14ac:dyDescent="0.35">
      <c r="C61" s="8" t="s">
        <v>45</v>
      </c>
      <c r="D61" s="18" t="s">
        <v>46</v>
      </c>
      <c r="E61" s="18"/>
      <c r="F61" s="100">
        <v>0</v>
      </c>
      <c r="G61" s="99"/>
      <c r="H61" s="105"/>
    </row>
    <row r="62" spans="3:8" x14ac:dyDescent="0.35">
      <c r="C62" s="8" t="s">
        <v>47</v>
      </c>
      <c r="D62" s="18" t="s">
        <v>48</v>
      </c>
      <c r="E62" s="18"/>
      <c r="F62" s="100">
        <v>-143065</v>
      </c>
      <c r="G62" s="99"/>
      <c r="H62" s="105"/>
    </row>
    <row r="63" spans="3:8" x14ac:dyDescent="0.35">
      <c r="C63" s="18"/>
      <c r="D63" s="18" t="s">
        <v>25</v>
      </c>
      <c r="E63" s="18"/>
      <c r="F63" s="100">
        <v>0</v>
      </c>
      <c r="G63" s="99"/>
      <c r="H63" s="105"/>
    </row>
    <row r="64" spans="3:8" x14ac:dyDescent="0.35">
      <c r="C64" s="11"/>
      <c r="D64" s="18" t="s">
        <v>49</v>
      </c>
      <c r="E64" s="18"/>
      <c r="F64" s="19">
        <f>SUM(F58:F63)</f>
        <v>-570894.23</v>
      </c>
      <c r="G64" s="220">
        <v>0</v>
      </c>
      <c r="H64" s="19">
        <f>F64-G64</f>
        <v>-570894.23</v>
      </c>
    </row>
    <row r="65" spans="3:8" x14ac:dyDescent="0.35">
      <c r="C65" s="11"/>
      <c r="D65" s="18"/>
      <c r="E65" s="18"/>
      <c r="F65" s="100"/>
      <c r="H65" s="105"/>
    </row>
    <row r="66" spans="3:8" x14ac:dyDescent="0.35">
      <c r="C66" s="11"/>
      <c r="D66" s="18"/>
      <c r="E66" s="18" t="s">
        <v>50</v>
      </c>
      <c r="F66" s="19">
        <f>F55+F64</f>
        <v>-2280813.5299999998</v>
      </c>
      <c r="G66" s="19">
        <f>G55+G64</f>
        <v>-2686838.3092050599</v>
      </c>
      <c r="H66" s="19">
        <f>F66-G66</f>
        <v>406024.7792050601</v>
      </c>
    </row>
    <row r="67" spans="3:8" x14ac:dyDescent="0.35">
      <c r="C67" s="11"/>
      <c r="D67" s="18"/>
      <c r="E67" s="18"/>
      <c r="F67" s="100"/>
      <c r="G67" s="6"/>
      <c r="H67" s="6"/>
    </row>
    <row r="68" spans="3:8" x14ac:dyDescent="0.35">
      <c r="C68" s="11"/>
      <c r="D68" s="18"/>
      <c r="E68" s="18"/>
      <c r="F68" s="100"/>
      <c r="G68" s="6"/>
      <c r="H68" s="6"/>
    </row>
    <row r="69" spans="3:8" x14ac:dyDescent="0.35">
      <c r="C69" s="11"/>
      <c r="D69" s="18"/>
      <c r="E69" s="18"/>
      <c r="F69" s="100"/>
      <c r="G69" s="6"/>
      <c r="H69" s="100"/>
    </row>
    <row r="70" spans="3:8" x14ac:dyDescent="0.35">
      <c r="C70" s="8" t="s">
        <v>27</v>
      </c>
      <c r="D70" s="18" t="s">
        <v>28</v>
      </c>
      <c r="E70" s="18"/>
      <c r="F70" s="19">
        <v>-110710.25</v>
      </c>
      <c r="G70" s="5">
        <v>-100785.476146795</v>
      </c>
      <c r="H70" s="19">
        <f>F70-G70</f>
        <v>-9924.7738532049989</v>
      </c>
    </row>
    <row r="71" spans="3:8" x14ac:dyDescent="0.35">
      <c r="C71" s="18"/>
      <c r="D71" s="18"/>
      <c r="E71" s="18"/>
      <c r="F71" s="101"/>
      <c r="G71" s="12"/>
      <c r="H71" s="101"/>
    </row>
    <row r="72" spans="3:8" x14ac:dyDescent="0.35">
      <c r="C72" s="18"/>
      <c r="D72" s="18"/>
      <c r="E72" s="18"/>
      <c r="F72" s="102"/>
      <c r="G72" s="9"/>
      <c r="H72" s="102"/>
    </row>
    <row r="73" spans="3:8" x14ac:dyDescent="0.35">
      <c r="C73" s="8" t="s">
        <v>29</v>
      </c>
      <c r="D73" s="18" t="s">
        <v>30</v>
      </c>
      <c r="E73" s="18"/>
      <c r="F73" s="222"/>
      <c r="G73" s="13"/>
      <c r="H73" s="19">
        <f>F73-G73</f>
        <v>0</v>
      </c>
    </row>
    <row r="74" spans="3:8" x14ac:dyDescent="0.35">
      <c r="C74" s="18"/>
      <c r="D74" s="18"/>
      <c r="E74" s="18"/>
      <c r="F74" s="101"/>
      <c r="G74" s="12"/>
      <c r="H74" s="101"/>
    </row>
    <row r="75" spans="3:8" x14ac:dyDescent="0.35">
      <c r="C75" s="18"/>
      <c r="D75" s="18"/>
      <c r="E75" s="18"/>
      <c r="F75" s="102"/>
      <c r="G75" s="9"/>
      <c r="H75" s="102"/>
    </row>
    <row r="76" spans="3:8" x14ac:dyDescent="0.35">
      <c r="C76" s="8" t="s">
        <v>31</v>
      </c>
      <c r="D76" s="18" t="s">
        <v>32</v>
      </c>
      <c r="E76" s="18"/>
      <c r="F76" s="19">
        <v>-150826.67000000001</v>
      </c>
      <c r="G76" s="5">
        <v>-139510.99</v>
      </c>
      <c r="H76" s="19">
        <f>F76-G76</f>
        <v>-11315.680000000022</v>
      </c>
    </row>
    <row r="77" spans="3:8" x14ac:dyDescent="0.35">
      <c r="C77" s="18"/>
      <c r="D77" s="18"/>
      <c r="E77" s="18"/>
      <c r="F77" s="103"/>
      <c r="G77" s="16"/>
      <c r="H77" s="103"/>
    </row>
    <row r="78" spans="3:8" x14ac:dyDescent="0.35">
      <c r="C78" s="18"/>
      <c r="D78" s="18"/>
      <c r="E78" s="18"/>
      <c r="F78" s="104"/>
      <c r="G78" s="15"/>
      <c r="H78" s="104"/>
    </row>
    <row r="79" spans="3:8" x14ac:dyDescent="0.35">
      <c r="C79" s="8" t="s">
        <v>33</v>
      </c>
      <c r="D79" s="18" t="s">
        <v>34</v>
      </c>
      <c r="E79" s="18"/>
      <c r="F79" s="19">
        <v>-114184.84</v>
      </c>
      <c r="G79" s="5">
        <v>-107169.29</v>
      </c>
      <c r="H79" s="19">
        <f>F79-G79</f>
        <v>-7015.5500000000029</v>
      </c>
    </row>
    <row r="80" spans="3:8" x14ac:dyDescent="0.35">
      <c r="C80" s="18"/>
      <c r="D80" s="18"/>
      <c r="E80" s="18"/>
      <c r="F80" s="103"/>
      <c r="G80" s="16"/>
      <c r="H80" s="103"/>
    </row>
    <row r="81" spans="2:29" x14ac:dyDescent="0.35">
      <c r="C81" s="18"/>
      <c r="D81" s="18"/>
      <c r="E81" s="18"/>
      <c r="F81" s="103"/>
      <c r="G81" s="16"/>
      <c r="H81" s="103"/>
    </row>
    <row r="82" spans="2:29" x14ac:dyDescent="0.35">
      <c r="C82" s="8" t="s">
        <v>35</v>
      </c>
      <c r="D82" s="18" t="s">
        <v>36</v>
      </c>
      <c r="E82" s="18"/>
      <c r="F82" s="19">
        <v>-55058.87</v>
      </c>
      <c r="G82" s="5">
        <v>-51183.45</v>
      </c>
      <c r="H82" s="19">
        <f>F82-G82</f>
        <v>-3875.4200000000055</v>
      </c>
    </row>
    <row r="83" spans="2:29" x14ac:dyDescent="0.35">
      <c r="C83" s="18"/>
      <c r="D83" s="18"/>
      <c r="E83" s="18"/>
      <c r="F83" s="103"/>
      <c r="G83" s="16"/>
      <c r="H83" s="103"/>
    </row>
    <row r="84" spans="2:29" x14ac:dyDescent="0.35">
      <c r="C84" s="17" t="s">
        <v>37</v>
      </c>
      <c r="D84" s="14" t="s">
        <v>38</v>
      </c>
      <c r="E84" s="14"/>
      <c r="F84" s="19">
        <v>-15139.37</v>
      </c>
      <c r="G84" s="5">
        <v>-13310.31</v>
      </c>
      <c r="H84" s="19">
        <f>F84-G84</f>
        <v>-1829.0600000000013</v>
      </c>
    </row>
    <row r="85" spans="2:29" x14ac:dyDescent="0.35">
      <c r="C85" s="18"/>
      <c r="D85" s="18"/>
      <c r="E85" s="18"/>
      <c r="F85" s="16"/>
      <c r="H85" s="105"/>
    </row>
    <row r="86" spans="2:29" x14ac:dyDescent="0.35">
      <c r="C86" s="18"/>
      <c r="D86" s="18"/>
      <c r="E86" s="18"/>
      <c r="F86" s="15"/>
    </row>
    <row r="87" spans="2:29" x14ac:dyDescent="0.35">
      <c r="B87" s="232" t="s">
        <v>75</v>
      </c>
      <c r="C87" s="233"/>
      <c r="D87" s="233"/>
      <c r="E87" s="233"/>
      <c r="F87" s="233"/>
      <c r="G87" s="233"/>
      <c r="H87" s="234"/>
    </row>
    <row r="88" spans="2:29" ht="15" thickBot="1" x14ac:dyDescent="0.4"/>
    <row r="89" spans="2:29" ht="116.5" thickTop="1" x14ac:dyDescent="0.35">
      <c r="B89" s="68" t="s">
        <v>60</v>
      </c>
      <c r="C89" s="69" t="s">
        <v>61</v>
      </c>
      <c r="D89" s="70" t="s">
        <v>62</v>
      </c>
      <c r="E89" s="69" t="s">
        <v>63</v>
      </c>
      <c r="F89" s="71" t="s">
        <v>64</v>
      </c>
      <c r="G89" s="72" t="s">
        <v>65</v>
      </c>
      <c r="H89" s="70" t="s">
        <v>66</v>
      </c>
      <c r="I89" s="70" t="s">
        <v>67</v>
      </c>
      <c r="J89" s="73" t="s">
        <v>68</v>
      </c>
      <c r="K89" s="69" t="s">
        <v>69</v>
      </c>
      <c r="L89" s="70" t="s">
        <v>70</v>
      </c>
      <c r="M89" s="74" t="s">
        <v>71</v>
      </c>
      <c r="N89" s="75"/>
      <c r="O89" s="76"/>
      <c r="P89" s="70" t="s">
        <v>72</v>
      </c>
      <c r="Q89" s="72" t="s">
        <v>73</v>
      </c>
      <c r="R89" s="71" t="s">
        <v>74</v>
      </c>
      <c r="S89" s="77" t="s">
        <v>68</v>
      </c>
      <c r="U89" s="3"/>
      <c r="V89" s="3"/>
      <c r="W89" s="3"/>
      <c r="X89" s="3"/>
      <c r="Y89" s="3"/>
      <c r="Z89" s="3"/>
      <c r="AA89" s="3"/>
      <c r="AB89" s="3"/>
      <c r="AC89" s="3"/>
    </row>
    <row r="90" spans="2:29" x14ac:dyDescent="0.35">
      <c r="B90" s="24">
        <v>42736</v>
      </c>
      <c r="C90" s="25">
        <v>-2055012.84</v>
      </c>
      <c r="D90" s="26">
        <v>7872.410000000149</v>
      </c>
      <c r="E90" s="25">
        <v>-2047140.43</v>
      </c>
      <c r="F90" s="27">
        <v>-1541886.42</v>
      </c>
      <c r="G90" s="28">
        <v>513126.42000000016</v>
      </c>
      <c r="H90" s="29">
        <v>-176623.64</v>
      </c>
      <c r="I90" s="29">
        <v>-520429.12</v>
      </c>
      <c r="J90" s="30">
        <v>-183926.33999999985</v>
      </c>
      <c r="K90" s="25">
        <v>-183926.34</v>
      </c>
      <c r="L90" s="29">
        <v>0</v>
      </c>
      <c r="M90" s="31">
        <v>1.4551915228366852E-10</v>
      </c>
      <c r="N90" s="32"/>
      <c r="O90" s="33"/>
      <c r="P90" s="29">
        <v>-1653960.5399999996</v>
      </c>
      <c r="Q90" s="28">
        <v>-584477.94563910074</v>
      </c>
      <c r="R90" s="27">
        <v>-1069482.5943608987</v>
      </c>
      <c r="S90" s="34">
        <v>-183926.33999999985</v>
      </c>
      <c r="V90" s="3"/>
      <c r="W90" s="3"/>
      <c r="X90" s="3"/>
      <c r="Y90" s="3"/>
      <c r="Z90" s="3"/>
      <c r="AA90" s="3"/>
      <c r="AB90" s="3"/>
      <c r="AC90" s="3"/>
    </row>
    <row r="91" spans="2:29" x14ac:dyDescent="0.35">
      <c r="B91" s="24">
        <v>42767</v>
      </c>
      <c r="C91" s="25">
        <v>-1865946.39</v>
      </c>
      <c r="D91" s="26">
        <v>8329.7099999999627</v>
      </c>
      <c r="E91" s="25">
        <v>-1857616.68</v>
      </c>
      <c r="F91" s="27">
        <v>-1249751.76</v>
      </c>
      <c r="G91" s="28">
        <v>616194.62999999989</v>
      </c>
      <c r="H91" s="29">
        <v>-117604.89</v>
      </c>
      <c r="I91" s="29">
        <v>-353538.18</v>
      </c>
      <c r="J91" s="30">
        <v>145051.55999999988</v>
      </c>
      <c r="K91" s="25">
        <v>-38874.78</v>
      </c>
      <c r="L91" s="29">
        <v>183926.34</v>
      </c>
      <c r="M91" s="31">
        <v>0</v>
      </c>
      <c r="N91" s="32"/>
      <c r="O91" s="33"/>
      <c r="P91" s="29">
        <v>-2256004.06</v>
      </c>
      <c r="Q91" s="28">
        <v>-530181.06090019958</v>
      </c>
      <c r="R91" s="27">
        <v>-1725822.9990998004</v>
      </c>
      <c r="S91" s="34">
        <v>145051.55999999988</v>
      </c>
      <c r="V91" s="3"/>
      <c r="W91" s="3"/>
      <c r="X91" s="3"/>
      <c r="Y91" s="3"/>
      <c r="Z91" s="3"/>
      <c r="AA91" s="3"/>
      <c r="AB91" s="3"/>
      <c r="AC91" s="3"/>
    </row>
    <row r="92" spans="2:29" x14ac:dyDescent="0.35">
      <c r="B92" s="24">
        <v>42795</v>
      </c>
      <c r="C92" s="25">
        <v>-1707735.85</v>
      </c>
      <c r="D92" s="26">
        <v>7884.0700000000652</v>
      </c>
      <c r="E92" s="25">
        <v>-1699851.78</v>
      </c>
      <c r="F92" s="27">
        <v>-1173653.81</v>
      </c>
      <c r="G92" s="28">
        <v>534082.04</v>
      </c>
      <c r="H92" s="29">
        <v>-150369.39000000001</v>
      </c>
      <c r="I92" s="29">
        <v>-492984.93</v>
      </c>
      <c r="J92" s="30">
        <v>-109272.27999999997</v>
      </c>
      <c r="K92" s="25">
        <v>-148147.06</v>
      </c>
      <c r="L92" s="29">
        <v>38874.78</v>
      </c>
      <c r="M92" s="31">
        <v>0</v>
      </c>
      <c r="N92" s="32"/>
      <c r="O92" s="33"/>
      <c r="P92" s="29">
        <v>-1997640.5600000003</v>
      </c>
      <c r="Q92" s="28">
        <v>-504685.85778549977</v>
      </c>
      <c r="R92" s="27">
        <v>-1492954.7022145004</v>
      </c>
      <c r="S92" s="34">
        <v>-109272.27999999997</v>
      </c>
      <c r="V92" s="3"/>
      <c r="W92" s="3"/>
      <c r="X92" s="3"/>
      <c r="Y92" s="3"/>
      <c r="Z92" s="3"/>
      <c r="AA92" s="3"/>
      <c r="AB92" s="3"/>
      <c r="AC92" s="3"/>
    </row>
    <row r="93" spans="2:29" x14ac:dyDescent="0.35">
      <c r="B93" s="24">
        <v>42826</v>
      </c>
      <c r="C93" s="25">
        <v>-2072195.83</v>
      </c>
      <c r="D93" s="26">
        <v>9148.8200000000652</v>
      </c>
      <c r="E93" s="25">
        <v>-2063047.01</v>
      </c>
      <c r="F93" s="27">
        <v>-1272312.8600000001</v>
      </c>
      <c r="G93" s="28">
        <v>799882.97</v>
      </c>
      <c r="H93" s="29">
        <v>-141708.85</v>
      </c>
      <c r="I93" s="29">
        <v>-437448.28</v>
      </c>
      <c r="J93" s="30">
        <v>220725.83999999997</v>
      </c>
      <c r="K93" s="25">
        <v>72578.78</v>
      </c>
      <c r="L93" s="29">
        <v>148147.06</v>
      </c>
      <c r="M93" s="31">
        <v>0</v>
      </c>
      <c r="N93" s="32"/>
      <c r="O93" s="33"/>
      <c r="P93" s="29">
        <v>-1316776.2500000005</v>
      </c>
      <c r="Q93" s="28">
        <v>-656925.33938420028</v>
      </c>
      <c r="R93" s="27">
        <v>-659850.91061580018</v>
      </c>
      <c r="S93" s="34">
        <v>220725.83999999997</v>
      </c>
      <c r="V93" s="3"/>
      <c r="W93" s="3"/>
      <c r="X93" s="3"/>
      <c r="Y93" s="3"/>
      <c r="Z93" s="3"/>
      <c r="AA93" s="3"/>
      <c r="AB93" s="3"/>
      <c r="AC93" s="3"/>
    </row>
    <row r="94" spans="2:29" x14ac:dyDescent="0.35">
      <c r="B94" s="24">
        <v>42856</v>
      </c>
      <c r="C94" s="25">
        <v>-2372985.19</v>
      </c>
      <c r="D94" s="26">
        <v>6116.8799999998882</v>
      </c>
      <c r="E94" s="25">
        <v>-2366868.31</v>
      </c>
      <c r="F94" s="27">
        <v>-1629335.33</v>
      </c>
      <c r="G94" s="28">
        <v>743649.85999999987</v>
      </c>
      <c r="H94" s="29">
        <v>-99510.99</v>
      </c>
      <c r="I94" s="29">
        <v>-342374.18</v>
      </c>
      <c r="J94" s="30">
        <v>301764.68999999989</v>
      </c>
      <c r="K94" s="25">
        <v>374343.47</v>
      </c>
      <c r="L94" s="29">
        <v>-72578.78</v>
      </c>
      <c r="M94" s="31">
        <v>0</v>
      </c>
      <c r="N94" s="32"/>
      <c r="O94" s="33"/>
      <c r="P94" s="29">
        <v>-2024267.6799999983</v>
      </c>
      <c r="Q94" s="28">
        <v>-771296.83242029918</v>
      </c>
      <c r="R94" s="27">
        <v>-1252970.847579699</v>
      </c>
      <c r="S94" s="34">
        <v>301764.68999999989</v>
      </c>
      <c r="V94" s="3"/>
      <c r="W94" s="3"/>
      <c r="X94" s="3"/>
      <c r="Y94" s="3"/>
      <c r="Z94" s="3"/>
      <c r="AA94" s="3"/>
      <c r="AB94" s="3"/>
      <c r="AC94" s="3"/>
    </row>
    <row r="95" spans="2:29" x14ac:dyDescent="0.35">
      <c r="B95" s="24">
        <v>42887</v>
      </c>
      <c r="C95" s="25">
        <v>-2354765.75</v>
      </c>
      <c r="D95" s="26">
        <v>7271.3100000000559</v>
      </c>
      <c r="E95" s="25">
        <v>-2347494.44</v>
      </c>
      <c r="F95" s="27">
        <v>-1652729.14</v>
      </c>
      <c r="G95" s="28">
        <v>702036.6100000001</v>
      </c>
      <c r="H95" s="29">
        <v>-188831.18</v>
      </c>
      <c r="I95" s="29">
        <v>-470258.26</v>
      </c>
      <c r="J95" s="30">
        <v>42947.1700000001</v>
      </c>
      <c r="K95" s="25">
        <v>417290.64</v>
      </c>
      <c r="L95" s="29">
        <v>-374343.47</v>
      </c>
      <c r="M95" s="31">
        <v>0</v>
      </c>
      <c r="N95" s="32"/>
      <c r="O95" s="33"/>
      <c r="P95" s="29">
        <v>-2370229.2700000005</v>
      </c>
      <c r="Q95" s="28">
        <v>-748942.24263840041</v>
      </c>
      <c r="R95" s="27">
        <v>-1621287.0273616002</v>
      </c>
      <c r="S95" s="34">
        <v>42947.1700000001</v>
      </c>
      <c r="V95" s="3"/>
      <c r="W95" s="3"/>
      <c r="X95" s="3"/>
      <c r="Y95" s="3"/>
      <c r="Z95" s="3"/>
      <c r="AA95" s="3"/>
      <c r="AB95" s="3"/>
      <c r="AC95" s="3"/>
    </row>
    <row r="96" spans="2:29" x14ac:dyDescent="0.35">
      <c r="B96" s="24">
        <v>42917</v>
      </c>
      <c r="C96" s="25">
        <v>-2566944.39</v>
      </c>
      <c r="D96" s="26">
        <v>0</v>
      </c>
      <c r="E96" s="25">
        <v>-2566944.39</v>
      </c>
      <c r="F96" s="27">
        <v>-1634486.89</v>
      </c>
      <c r="G96" s="28">
        <v>932457.50000000023</v>
      </c>
      <c r="H96" s="29">
        <v>-228648.12</v>
      </c>
      <c r="I96" s="29">
        <v>-533585.06000000006</v>
      </c>
      <c r="J96" s="30">
        <v>170224.32000000018</v>
      </c>
      <c r="K96" s="25">
        <v>587514.96</v>
      </c>
      <c r="L96" s="29">
        <v>-417290.64</v>
      </c>
      <c r="M96" s="31">
        <v>0</v>
      </c>
      <c r="N96" s="32"/>
      <c r="O96" s="33"/>
      <c r="P96" s="29">
        <v>-2339209.3899999997</v>
      </c>
      <c r="Q96" s="28">
        <v>-691561.48401600006</v>
      </c>
      <c r="R96" s="27">
        <v>-1647647.9059839996</v>
      </c>
      <c r="S96" s="34">
        <v>170224.32000000018</v>
      </c>
      <c r="V96" s="3"/>
      <c r="W96" s="3"/>
      <c r="X96" s="3"/>
      <c r="Y96" s="3"/>
      <c r="Z96" s="3"/>
      <c r="AA96" s="3"/>
      <c r="AB96" s="3"/>
      <c r="AC96" s="3"/>
    </row>
    <row r="97" spans="2:29" x14ac:dyDescent="0.35">
      <c r="B97" s="24">
        <v>42948</v>
      </c>
      <c r="C97" s="25">
        <v>-2129831.15</v>
      </c>
      <c r="D97" s="26">
        <v>0</v>
      </c>
      <c r="E97" s="25">
        <v>-2129831.15</v>
      </c>
      <c r="F97" s="27">
        <v>-1438270.72</v>
      </c>
      <c r="G97" s="28">
        <v>691560.42999999993</v>
      </c>
      <c r="H97" s="29">
        <v>-184675.02</v>
      </c>
      <c r="I97" s="29">
        <v>-542785</v>
      </c>
      <c r="J97" s="30">
        <v>-35899.590000000084</v>
      </c>
      <c r="K97" s="25">
        <v>551615.37</v>
      </c>
      <c r="L97" s="29">
        <v>-587514.96</v>
      </c>
      <c r="M97" s="31">
        <v>0</v>
      </c>
      <c r="N97" s="32"/>
      <c r="O97" s="33"/>
      <c r="P97" s="29">
        <v>-2415049.21</v>
      </c>
      <c r="Q97" s="28">
        <v>-620986.79211799847</v>
      </c>
      <c r="R97" s="27">
        <v>-1794062.4178820015</v>
      </c>
      <c r="S97" s="34">
        <v>-35899.590000000084</v>
      </c>
      <c r="V97" s="3"/>
      <c r="W97" s="3"/>
      <c r="X97" s="3"/>
      <c r="Y97" s="3"/>
      <c r="Z97" s="3"/>
      <c r="AA97" s="3"/>
      <c r="AB97" s="3"/>
      <c r="AC97" s="3"/>
    </row>
    <row r="98" spans="2:29" x14ac:dyDescent="0.35">
      <c r="B98" s="24">
        <v>42979</v>
      </c>
      <c r="C98" s="25">
        <v>-1773292.46</v>
      </c>
      <c r="D98" s="26">
        <v>0</v>
      </c>
      <c r="E98" s="25">
        <v>-1773292.46</v>
      </c>
      <c r="F98" s="27">
        <v>-1300167.49</v>
      </c>
      <c r="G98" s="28">
        <v>473124.97</v>
      </c>
      <c r="H98" s="29">
        <v>-187293.18</v>
      </c>
      <c r="I98" s="29">
        <v>-576569.99</v>
      </c>
      <c r="J98" s="30">
        <v>-290738.2</v>
      </c>
      <c r="K98" s="25">
        <v>260877.17</v>
      </c>
      <c r="L98" s="29">
        <v>-551615.37</v>
      </c>
      <c r="M98" s="31">
        <v>0</v>
      </c>
      <c r="N98" s="32"/>
      <c r="O98" s="33"/>
      <c r="P98" s="29">
        <v>-2517811.7799999998</v>
      </c>
      <c r="Q98" s="28">
        <v>-531921.7331711998</v>
      </c>
      <c r="R98" s="27">
        <v>-1985890.0468287999</v>
      </c>
      <c r="S98" s="34">
        <v>-290738.2</v>
      </c>
      <c r="V98" s="3"/>
      <c r="W98" s="3"/>
      <c r="X98" s="3"/>
      <c r="Y98" s="3"/>
      <c r="Z98" s="3"/>
      <c r="AA98" s="3"/>
      <c r="AB98" s="3"/>
      <c r="AC98" s="3"/>
    </row>
    <row r="99" spans="2:29" x14ac:dyDescent="0.35">
      <c r="B99" s="35">
        <v>43009</v>
      </c>
      <c r="C99" s="25">
        <v>-2416255.94</v>
      </c>
      <c r="D99" s="26">
        <v>0</v>
      </c>
      <c r="E99" s="25">
        <v>-2416255.94</v>
      </c>
      <c r="F99" s="27">
        <v>-1492149.05</v>
      </c>
      <c r="G99" s="28">
        <v>924106.8899999999</v>
      </c>
      <c r="H99" s="29">
        <v>-182755.27</v>
      </c>
      <c r="I99" s="29">
        <v>-607210.98</v>
      </c>
      <c r="J99" s="30">
        <v>134140.6399999999</v>
      </c>
      <c r="K99" s="25">
        <v>395017.81</v>
      </c>
      <c r="L99" s="36">
        <v>-260877.17</v>
      </c>
      <c r="M99" s="37">
        <v>0</v>
      </c>
      <c r="N99" s="38"/>
      <c r="O99" s="39"/>
      <c r="P99" s="29">
        <v>-1949632.9099999988</v>
      </c>
      <c r="Q99" s="28">
        <v>-753233.87005809962</v>
      </c>
      <c r="R99" s="27">
        <v>-1196399.039941899</v>
      </c>
      <c r="S99" s="34">
        <v>134140.6399999999</v>
      </c>
      <c r="V99" s="3"/>
      <c r="W99" s="3"/>
      <c r="X99" s="3"/>
      <c r="Y99" s="3"/>
      <c r="Z99" s="3"/>
      <c r="AA99" s="3"/>
      <c r="AB99" s="3"/>
      <c r="AC99" s="3"/>
    </row>
    <row r="100" spans="2:29" x14ac:dyDescent="0.35">
      <c r="B100" s="35">
        <v>43040</v>
      </c>
      <c r="C100" s="25">
        <v>-2113737.2999999998</v>
      </c>
      <c r="D100" s="26">
        <v>0</v>
      </c>
      <c r="E100" s="25">
        <v>-2113737.2999999998</v>
      </c>
      <c r="F100" s="27">
        <v>-1478185.55</v>
      </c>
      <c r="G100" s="28">
        <v>635551.74999999977</v>
      </c>
      <c r="H100" s="29">
        <v>-141562.22</v>
      </c>
      <c r="I100" s="29">
        <v>-482325.65</v>
      </c>
      <c r="J100" s="30">
        <v>11663.879999999772</v>
      </c>
      <c r="K100" s="25">
        <v>406681.69</v>
      </c>
      <c r="L100" s="36">
        <v>-395017.81</v>
      </c>
      <c r="M100" s="37">
        <v>0</v>
      </c>
      <c r="N100" s="38"/>
      <c r="O100" s="39"/>
      <c r="P100" s="29">
        <v>-2415063.5499999984</v>
      </c>
      <c r="Q100" s="28">
        <v>-606139.27320800046</v>
      </c>
      <c r="R100" s="27">
        <v>-1808924.276791998</v>
      </c>
      <c r="S100" s="34">
        <v>11663.879999999772</v>
      </c>
      <c r="V100" s="3"/>
      <c r="W100" s="3"/>
      <c r="X100" s="3"/>
      <c r="Y100" s="3"/>
      <c r="Z100" s="3"/>
      <c r="AA100" s="3"/>
      <c r="AB100" s="3"/>
      <c r="AC100" s="3"/>
    </row>
    <row r="101" spans="2:29" x14ac:dyDescent="0.35">
      <c r="B101" s="40">
        <v>43070</v>
      </c>
      <c r="C101" s="41">
        <v>-2413559.14</v>
      </c>
      <c r="D101" s="42">
        <v>0</v>
      </c>
      <c r="E101" s="41">
        <v>-2413559.14</v>
      </c>
      <c r="F101" s="43">
        <v>-1867855.89</v>
      </c>
      <c r="G101" s="44">
        <v>545703.25000000023</v>
      </c>
      <c r="H101" s="45">
        <v>-175065.97</v>
      </c>
      <c r="I101" s="45">
        <v>-499775.6</v>
      </c>
      <c r="J101" s="46">
        <v>-129138.31999999972</v>
      </c>
      <c r="K101" s="25">
        <v>378643.45999999996</v>
      </c>
      <c r="L101" s="36">
        <v>-406681.69</v>
      </c>
      <c r="M101" s="37">
        <v>-101100.08999999968</v>
      </c>
      <c r="N101" s="32"/>
      <c r="O101" s="39"/>
      <c r="P101" s="29">
        <v>-2179335.1800000006</v>
      </c>
      <c r="Q101" s="28">
        <v>-601818.52701960108</v>
      </c>
      <c r="R101" s="27">
        <v>-1577516.6529803996</v>
      </c>
      <c r="S101" s="34">
        <v>-129138.31999999972</v>
      </c>
      <c r="U101" s="47" t="s">
        <v>55</v>
      </c>
      <c r="V101" s="48">
        <v>2017</v>
      </c>
      <c r="W101" s="3"/>
      <c r="X101" s="3"/>
      <c r="Y101" s="3"/>
      <c r="Z101" s="3"/>
      <c r="AA101" s="3"/>
      <c r="AB101" s="3"/>
      <c r="AC101" s="3"/>
    </row>
    <row r="102" spans="2:29" ht="15" thickBot="1" x14ac:dyDescent="0.4">
      <c r="B102" s="49"/>
      <c r="C102" s="50">
        <v>-25842262.230000004</v>
      </c>
      <c r="D102" s="51">
        <v>46623.200000000186</v>
      </c>
      <c r="E102" s="50">
        <v>-25795639.030000001</v>
      </c>
      <c r="F102" s="52">
        <v>-17730784.910000004</v>
      </c>
      <c r="G102" s="53">
        <v>8111477.3199999994</v>
      </c>
      <c r="H102" s="54">
        <v>-1974648.72</v>
      </c>
      <c r="I102" s="54">
        <v>-5859285.2300000004</v>
      </c>
      <c r="J102" s="55">
        <v>277543.37000000005</v>
      </c>
      <c r="K102" s="50"/>
      <c r="L102" s="54"/>
      <c r="M102" s="56"/>
      <c r="N102" s="32"/>
      <c r="O102" s="57" t="s">
        <v>56</v>
      </c>
      <c r="P102" s="58">
        <v>-25434980.379999999</v>
      </c>
      <c r="Q102" s="59">
        <v>-7602170.9583585998</v>
      </c>
      <c r="R102" s="60">
        <v>-17832809.421641394</v>
      </c>
      <c r="S102" s="34"/>
      <c r="V102" s="3"/>
      <c r="W102" s="3"/>
      <c r="X102" s="3"/>
      <c r="Y102" s="3"/>
      <c r="Z102" s="3"/>
      <c r="AA102" s="3"/>
      <c r="AB102" s="3"/>
      <c r="AC102" s="3"/>
    </row>
    <row r="103" spans="2:29" ht="15" thickTop="1" x14ac:dyDescent="0.35">
      <c r="B103" s="61"/>
      <c r="C103" s="32"/>
      <c r="D103" s="6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57" t="s">
        <v>57</v>
      </c>
      <c r="P103" s="58">
        <v>-25842262.230000004</v>
      </c>
      <c r="Q103" s="59">
        <v>-8111477.3199999994</v>
      </c>
      <c r="R103" s="60">
        <v>-17730784.910000004</v>
      </c>
      <c r="S103" s="34"/>
      <c r="U103" t="s">
        <v>58</v>
      </c>
      <c r="V103" s="3">
        <v>509306.36164139956</v>
      </c>
      <c r="W103" s="3"/>
      <c r="X103" s="3"/>
      <c r="Y103" s="3"/>
      <c r="Z103" s="3"/>
      <c r="AA103" s="3"/>
      <c r="AB103" s="3"/>
      <c r="AC103" s="3"/>
    </row>
    <row r="104" spans="2:29" ht="15" thickBot="1" x14ac:dyDescent="0.4">
      <c r="B104" s="61"/>
      <c r="C104" s="32"/>
      <c r="D104" s="62"/>
      <c r="E104" s="32"/>
      <c r="F104" s="32"/>
      <c r="G104" s="32"/>
      <c r="H104" s="32"/>
      <c r="I104" s="32"/>
      <c r="J104" s="32"/>
      <c r="K104" s="32"/>
      <c r="L104" s="32"/>
      <c r="M104" s="38"/>
      <c r="N104" s="38"/>
      <c r="O104" s="63" t="s">
        <v>51</v>
      </c>
      <c r="P104" s="64">
        <v>407281.85000000522</v>
      </c>
      <c r="Q104" s="65">
        <v>509306.36164139956</v>
      </c>
      <c r="R104" s="66">
        <v>-102024.51164139062</v>
      </c>
      <c r="S104" s="67"/>
      <c r="U104" t="s">
        <v>59</v>
      </c>
      <c r="V104" s="3">
        <v>-509306.36164139956</v>
      </c>
      <c r="W104" s="3"/>
      <c r="X104" s="3"/>
      <c r="Y104" s="3"/>
      <c r="Z104" s="3"/>
      <c r="AA104" s="3"/>
      <c r="AB104" s="3"/>
      <c r="AC104" s="3"/>
    </row>
    <row r="105" spans="2:29" ht="15" thickTop="1" x14ac:dyDescent="0.35">
      <c r="B105" s="38"/>
      <c r="C105" s="38"/>
      <c r="D105" s="38"/>
      <c r="G105"/>
      <c r="U105" s="3"/>
      <c r="V105" s="3"/>
      <c r="W105" s="3"/>
      <c r="X105" s="3"/>
      <c r="Y105" s="3"/>
      <c r="Z105" s="3"/>
      <c r="AA105" s="3"/>
      <c r="AB105" s="3"/>
      <c r="AC105" s="3"/>
    </row>
  </sheetData>
  <mergeCells count="3">
    <mergeCell ref="B9:H9"/>
    <mergeCell ref="B42:H42"/>
    <mergeCell ref="B87:H87"/>
  </mergeCells>
  <pageMargins left="0.7" right="0.7" top="0.75" bottom="0.75" header="0.3" footer="0.3"/>
  <pageSetup scale="28" orientation="portrait" r:id="rId1"/>
  <rowBreaks count="1" manualBreakCount="1">
    <brk id="4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C108"/>
  <sheetViews>
    <sheetView zoomScale="55" zoomScaleNormal="55" workbookViewId="0">
      <selection activeCell="T46" sqref="T46"/>
    </sheetView>
  </sheetViews>
  <sheetFormatPr defaultRowHeight="14.5" x14ac:dyDescent="0.35"/>
  <cols>
    <col min="1" max="1" width="2.6328125" customWidth="1"/>
    <col min="3" max="5" width="17.6328125" customWidth="1"/>
    <col min="6" max="6" width="18.6328125" customWidth="1"/>
    <col min="7" max="7" width="18.6328125" style="3" customWidth="1"/>
    <col min="8" max="13" width="17.6328125" customWidth="1"/>
    <col min="15" max="15" width="13.1796875" bestFit="1" customWidth="1"/>
    <col min="16" max="16" width="14" bestFit="1" customWidth="1"/>
    <col min="17" max="17" width="12.81640625" bestFit="1" customWidth="1"/>
    <col min="18" max="18" width="14" bestFit="1" customWidth="1"/>
    <col min="19" max="19" width="11.1796875" bestFit="1" customWidth="1"/>
    <col min="21" max="21" width="17.08984375" bestFit="1" customWidth="1"/>
    <col min="22" max="22" width="13.453125" bestFit="1" customWidth="1"/>
  </cols>
  <sheetData>
    <row r="2" spans="2:29" ht="17" x14ac:dyDescent="0.4">
      <c r="B2" s="78" t="s">
        <v>185</v>
      </c>
    </row>
    <row r="4" spans="2:29" ht="43.5" x14ac:dyDescent="0.35">
      <c r="C4" s="2" t="s">
        <v>0</v>
      </c>
      <c r="D4" s="2" t="s">
        <v>1</v>
      </c>
      <c r="E4" s="2" t="s">
        <v>2</v>
      </c>
      <c r="F4" s="2" t="s">
        <v>3</v>
      </c>
      <c r="G4" s="4" t="s">
        <v>4</v>
      </c>
      <c r="H4" s="2" t="s">
        <v>5</v>
      </c>
    </row>
    <row r="5" spans="2:29" x14ac:dyDescent="0.35">
      <c r="B5" s="1">
        <v>1588</v>
      </c>
      <c r="C5" s="1" t="s">
        <v>6</v>
      </c>
      <c r="E5" s="218">
        <f>E42</f>
        <v>-37177.521618575207</v>
      </c>
      <c r="F5" s="23">
        <f>H58</f>
        <v>830534.93957865983</v>
      </c>
      <c r="G5" s="218">
        <f>V106</f>
        <v>414246.07238219772</v>
      </c>
      <c r="H5" s="23">
        <f>SUM(D5:G5)</f>
        <v>1207603.4903422822</v>
      </c>
    </row>
    <row r="6" spans="2:29" x14ac:dyDescent="0.35">
      <c r="B6" s="1">
        <v>1589</v>
      </c>
      <c r="C6" s="1" t="s">
        <v>6</v>
      </c>
      <c r="F6" s="23">
        <f>H67</f>
        <v>-697052.76</v>
      </c>
      <c r="G6" s="218">
        <f>V107</f>
        <v>-414246.07238219772</v>
      </c>
      <c r="H6" s="23">
        <f>SUM(D6:G6)</f>
        <v>-1111298.8323821977</v>
      </c>
    </row>
    <row r="8" spans="2:29" x14ac:dyDescent="0.35">
      <c r="B8" s="38"/>
      <c r="C8" s="38"/>
      <c r="D8" s="38"/>
      <c r="G8"/>
      <c r="U8" s="3"/>
      <c r="V8" s="3"/>
      <c r="W8" s="3"/>
      <c r="X8" s="3"/>
      <c r="Y8" s="3"/>
      <c r="Z8" s="3"/>
      <c r="AA8" s="3"/>
      <c r="AB8" s="3"/>
      <c r="AC8" s="3"/>
    </row>
    <row r="9" spans="2:29" x14ac:dyDescent="0.35">
      <c r="B9" s="232" t="s">
        <v>89</v>
      </c>
      <c r="C9" s="233"/>
      <c r="D9" s="233"/>
      <c r="E9" s="233"/>
      <c r="F9" s="233"/>
      <c r="G9" s="233"/>
      <c r="H9" s="234"/>
    </row>
    <row r="10" spans="2:29" x14ac:dyDescent="0.35">
      <c r="B10" s="114" t="s">
        <v>104</v>
      </c>
      <c r="G10"/>
    </row>
    <row r="11" spans="2:29" x14ac:dyDescent="0.35">
      <c r="G11"/>
    </row>
    <row r="12" spans="2:29" x14ac:dyDescent="0.35">
      <c r="E12" s="221" t="s">
        <v>179</v>
      </c>
      <c r="G12"/>
    </row>
    <row r="13" spans="2:29" x14ac:dyDescent="0.35">
      <c r="G13" s="115"/>
    </row>
    <row r="14" spans="2:29" x14ac:dyDescent="0.35">
      <c r="B14" t="s">
        <v>76</v>
      </c>
      <c r="E14" s="80">
        <v>4934607.05</v>
      </c>
      <c r="G14"/>
      <c r="J14" s="81"/>
    </row>
    <row r="15" spans="2:29" x14ac:dyDescent="0.35">
      <c r="E15" s="82"/>
      <c r="G15"/>
    </row>
    <row r="16" spans="2:29" x14ac:dyDescent="0.35">
      <c r="B16" t="s">
        <v>77</v>
      </c>
      <c r="E16" s="80">
        <v>768954.73</v>
      </c>
      <c r="G16"/>
    </row>
    <row r="17" spans="2:7" x14ac:dyDescent="0.35">
      <c r="B17" s="83" t="s">
        <v>78</v>
      </c>
      <c r="E17" s="84">
        <v>4537911.4949416984</v>
      </c>
      <c r="G17"/>
    </row>
    <row r="18" spans="2:7" x14ac:dyDescent="0.35">
      <c r="B18" s="83"/>
      <c r="E18" s="80"/>
      <c r="G18"/>
    </row>
    <row r="19" spans="2:7" x14ac:dyDescent="0.35">
      <c r="B19" s="85" t="s">
        <v>79</v>
      </c>
      <c r="E19" s="86">
        <v>5306866.2249416988</v>
      </c>
      <c r="G19"/>
    </row>
    <row r="20" spans="2:7" x14ac:dyDescent="0.35">
      <c r="B20" s="83"/>
      <c r="E20" s="80"/>
      <c r="G20"/>
    </row>
    <row r="21" spans="2:7" ht="15" thickBot="1" x14ac:dyDescent="0.4">
      <c r="B21" s="88" t="s">
        <v>80</v>
      </c>
      <c r="E21" s="89">
        <v>-372259.17494169902</v>
      </c>
      <c r="G21"/>
    </row>
    <row r="22" spans="2:7" ht="15" thickTop="1" x14ac:dyDescent="0.35">
      <c r="E22" s="80"/>
      <c r="G22"/>
    </row>
    <row r="23" spans="2:7" x14ac:dyDescent="0.35">
      <c r="B23" t="s">
        <v>81</v>
      </c>
      <c r="E23" s="90">
        <v>0</v>
      </c>
      <c r="G23"/>
    </row>
    <row r="24" spans="2:7" x14ac:dyDescent="0.35">
      <c r="E24" s="91"/>
      <c r="G24"/>
    </row>
    <row r="25" spans="2:7" x14ac:dyDescent="0.35">
      <c r="B25" t="s">
        <v>82</v>
      </c>
      <c r="E25" s="92">
        <v>0</v>
      </c>
      <c r="G25"/>
    </row>
    <row r="26" spans="2:7" x14ac:dyDescent="0.35">
      <c r="E26" s="80"/>
      <c r="G26"/>
    </row>
    <row r="27" spans="2:7" ht="15" thickBot="1" x14ac:dyDescent="0.4">
      <c r="B27" s="93" t="s">
        <v>83</v>
      </c>
      <c r="E27" s="89">
        <v>0</v>
      </c>
      <c r="G27"/>
    </row>
    <row r="28" spans="2:7" ht="15" thickTop="1" x14ac:dyDescent="0.35">
      <c r="B28" s="94"/>
      <c r="E28" s="95"/>
      <c r="G28"/>
    </row>
    <row r="29" spans="2:7" x14ac:dyDescent="0.35">
      <c r="E29" s="80"/>
      <c r="G29"/>
    </row>
    <row r="30" spans="2:7" x14ac:dyDescent="0.35">
      <c r="B30" t="s">
        <v>84</v>
      </c>
      <c r="E30" s="80">
        <v>-372259.17494169902</v>
      </c>
      <c r="G30"/>
    </row>
    <row r="31" spans="2:7" x14ac:dyDescent="0.35">
      <c r="E31" s="80"/>
      <c r="G31"/>
    </row>
    <row r="32" spans="2:7" x14ac:dyDescent="0.35">
      <c r="B32" t="s">
        <v>85</v>
      </c>
      <c r="E32" s="96">
        <v>204.13</v>
      </c>
      <c r="G32"/>
    </row>
    <row r="33" spans="2:9" x14ac:dyDescent="0.35">
      <c r="E33" s="80"/>
      <c r="F33" s="18"/>
      <c r="G33"/>
    </row>
    <row r="34" spans="2:9" x14ac:dyDescent="0.35">
      <c r="B34" t="s">
        <v>86</v>
      </c>
      <c r="E34" s="80">
        <v>-372055.04494169902</v>
      </c>
      <c r="G34"/>
    </row>
    <row r="35" spans="2:9" x14ac:dyDescent="0.35">
      <c r="E35" s="80"/>
      <c r="G35"/>
    </row>
    <row r="36" spans="2:9" x14ac:dyDescent="0.35">
      <c r="B36" t="s">
        <v>87</v>
      </c>
      <c r="E36" s="87">
        <v>332929.03000000003</v>
      </c>
      <c r="G36"/>
    </row>
    <row r="37" spans="2:9" x14ac:dyDescent="0.35">
      <c r="E37" s="80"/>
      <c r="G37"/>
    </row>
    <row r="38" spans="2:9" ht="15" thickBot="1" x14ac:dyDescent="0.4">
      <c r="B38" s="97" t="s">
        <v>88</v>
      </c>
      <c r="E38" s="89">
        <v>-39126.014941698988</v>
      </c>
      <c r="G38"/>
    </row>
    <row r="39" spans="2:9" ht="15" thickTop="1" x14ac:dyDescent="0.35">
      <c r="G39"/>
    </row>
    <row r="40" spans="2:9" x14ac:dyDescent="0.35">
      <c r="B40" t="s">
        <v>180</v>
      </c>
      <c r="E40" s="3">
        <v>1948.493323123781</v>
      </c>
      <c r="G40"/>
    </row>
    <row r="41" spans="2:9" x14ac:dyDescent="0.35">
      <c r="G41"/>
    </row>
    <row r="42" spans="2:9" ht="15" thickBot="1" x14ac:dyDescent="0.4">
      <c r="B42" t="s">
        <v>181</v>
      </c>
      <c r="E42" s="89">
        <f>E38+E40</f>
        <v>-37177.521618575207</v>
      </c>
      <c r="G42"/>
    </row>
    <row r="43" spans="2:9" ht="15" thickTop="1" x14ac:dyDescent="0.35">
      <c r="E43" s="98"/>
      <c r="G43"/>
    </row>
    <row r="44" spans="2:9" x14ac:dyDescent="0.35">
      <c r="C44" s="98"/>
      <c r="G44"/>
    </row>
    <row r="45" spans="2:9" x14ac:dyDescent="0.35">
      <c r="B45" s="232" t="s">
        <v>52</v>
      </c>
      <c r="C45" s="233"/>
      <c r="D45" s="233"/>
      <c r="E45" s="233"/>
      <c r="F45" s="233"/>
      <c r="G45" s="233"/>
      <c r="H45" s="234"/>
    </row>
    <row r="47" spans="2:9" s="20" customFormat="1" ht="29" x14ac:dyDescent="0.35">
      <c r="F47" s="21" t="s">
        <v>54</v>
      </c>
      <c r="G47" s="22" t="s">
        <v>53</v>
      </c>
      <c r="H47" s="22" t="s">
        <v>51</v>
      </c>
    </row>
    <row r="48" spans="2:9" x14ac:dyDescent="0.35">
      <c r="C48" s="8" t="s">
        <v>7</v>
      </c>
      <c r="D48" s="18" t="s">
        <v>8</v>
      </c>
      <c r="E48" s="18"/>
      <c r="F48" s="6">
        <v>-1633861.56</v>
      </c>
      <c r="G48" s="99"/>
      <c r="I48" t="s">
        <v>90</v>
      </c>
    </row>
    <row r="49" spans="3:8" x14ac:dyDescent="0.35">
      <c r="C49" s="8" t="s">
        <v>9</v>
      </c>
      <c r="D49" s="18" t="s">
        <v>10</v>
      </c>
      <c r="E49" s="18"/>
      <c r="F49" s="6">
        <v>0</v>
      </c>
      <c r="G49" s="99"/>
    </row>
    <row r="50" spans="3:8" x14ac:dyDescent="0.35">
      <c r="C50" s="8" t="s">
        <v>11</v>
      </c>
      <c r="D50" s="18" t="s">
        <v>12</v>
      </c>
      <c r="E50" s="18"/>
      <c r="F50" s="6">
        <v>-905.97</v>
      </c>
      <c r="G50" s="99"/>
    </row>
    <row r="51" spans="3:8" x14ac:dyDescent="0.35">
      <c r="C51" s="8" t="s">
        <v>13</v>
      </c>
      <c r="D51" s="18" t="s">
        <v>14</v>
      </c>
      <c r="E51" s="18"/>
      <c r="F51" s="6">
        <v>-802.55</v>
      </c>
      <c r="G51" s="99"/>
    </row>
    <row r="52" spans="3:8" x14ac:dyDescent="0.35">
      <c r="C52" s="8" t="s">
        <v>15</v>
      </c>
      <c r="D52" s="18" t="s">
        <v>16</v>
      </c>
      <c r="E52" s="18"/>
      <c r="F52" s="6">
        <v>-121212.6</v>
      </c>
      <c r="G52" s="99"/>
    </row>
    <row r="53" spans="3:8" x14ac:dyDescent="0.35">
      <c r="C53" s="8" t="s">
        <v>17</v>
      </c>
      <c r="D53" s="18" t="s">
        <v>18</v>
      </c>
      <c r="E53" s="18"/>
      <c r="F53" s="6">
        <v>-308748.18</v>
      </c>
      <c r="G53" s="99"/>
    </row>
    <row r="54" spans="3:8" x14ac:dyDescent="0.35">
      <c r="C54" s="8" t="s">
        <v>19</v>
      </c>
      <c r="D54" s="18" t="s">
        <v>20</v>
      </c>
      <c r="E54" s="18"/>
      <c r="F54" s="6">
        <v>-4037.19</v>
      </c>
      <c r="G54" s="99"/>
    </row>
    <row r="55" spans="3:8" x14ac:dyDescent="0.35">
      <c r="C55" s="8" t="s">
        <v>21</v>
      </c>
      <c r="D55" s="18" t="s">
        <v>22</v>
      </c>
      <c r="E55" s="18"/>
      <c r="F55" s="6">
        <v>-34034.719999999994</v>
      </c>
      <c r="G55" s="99"/>
    </row>
    <row r="56" spans="3:8" x14ac:dyDescent="0.35">
      <c r="C56" s="8" t="s">
        <v>23</v>
      </c>
      <c r="D56" s="14" t="s">
        <v>24</v>
      </c>
      <c r="E56" s="18"/>
      <c r="F56" s="16"/>
      <c r="G56" s="99"/>
    </row>
    <row r="57" spans="3:8" x14ac:dyDescent="0.35">
      <c r="C57" s="18"/>
      <c r="D57" s="18" t="s">
        <v>25</v>
      </c>
      <c r="E57" s="18"/>
      <c r="F57" s="15"/>
      <c r="G57" s="99"/>
    </row>
    <row r="58" spans="3:8" x14ac:dyDescent="0.35">
      <c r="C58" s="18"/>
      <c r="D58" s="10" t="s">
        <v>26</v>
      </c>
      <c r="E58" s="18"/>
      <c r="F58" s="5">
        <f>SUM(F48:F57)</f>
        <v>-2103602.77</v>
      </c>
      <c r="G58" s="5">
        <v>-2934137.7095786599</v>
      </c>
      <c r="H58" s="19">
        <f>F58-G58</f>
        <v>830534.93957865983</v>
      </c>
    </row>
    <row r="59" spans="3:8" x14ac:dyDescent="0.35">
      <c r="C59" s="18"/>
      <c r="D59" s="10"/>
      <c r="E59" s="18"/>
      <c r="F59" s="12"/>
      <c r="H59" s="105"/>
    </row>
    <row r="60" spans="3:8" x14ac:dyDescent="0.35">
      <c r="C60" s="18"/>
      <c r="D60" s="8"/>
      <c r="E60" s="18"/>
      <c r="F60" s="9"/>
      <c r="H60" s="105"/>
    </row>
    <row r="61" spans="3:8" x14ac:dyDescent="0.35">
      <c r="C61" s="8" t="s">
        <v>39</v>
      </c>
      <c r="D61" s="18" t="s">
        <v>40</v>
      </c>
      <c r="E61" s="18"/>
      <c r="F61" s="6">
        <v>0</v>
      </c>
      <c r="G61" s="99"/>
      <c r="H61" s="105"/>
    </row>
    <row r="62" spans="3:8" x14ac:dyDescent="0.35">
      <c r="C62" s="8" t="s">
        <v>41</v>
      </c>
      <c r="D62" s="18" t="s">
        <v>42</v>
      </c>
      <c r="E62" s="18"/>
      <c r="F62" s="6">
        <v>0</v>
      </c>
      <c r="G62" s="99"/>
      <c r="H62" s="105"/>
    </row>
    <row r="63" spans="3:8" x14ac:dyDescent="0.35">
      <c r="C63" s="8" t="s">
        <v>43</v>
      </c>
      <c r="D63" s="18" t="s">
        <v>44</v>
      </c>
      <c r="E63" s="18"/>
      <c r="F63" s="6">
        <v>-520429.12</v>
      </c>
      <c r="G63" s="99"/>
      <c r="H63" s="105"/>
    </row>
    <row r="64" spans="3:8" x14ac:dyDescent="0.35">
      <c r="C64" s="8" t="s">
        <v>45</v>
      </c>
      <c r="D64" s="18" t="s">
        <v>46</v>
      </c>
      <c r="E64" s="18"/>
      <c r="F64" s="6">
        <v>0</v>
      </c>
      <c r="G64" s="99"/>
      <c r="H64" s="105"/>
    </row>
    <row r="65" spans="3:8" x14ac:dyDescent="0.35">
      <c r="C65" s="8" t="s">
        <v>47</v>
      </c>
      <c r="D65" s="18" t="s">
        <v>48</v>
      </c>
      <c r="E65" s="18"/>
      <c r="F65" s="6">
        <v>-176623.64</v>
      </c>
      <c r="G65" s="99"/>
      <c r="H65" s="105"/>
    </row>
    <row r="66" spans="3:8" x14ac:dyDescent="0.35">
      <c r="C66" s="18"/>
      <c r="D66" s="18" t="s">
        <v>25</v>
      </c>
      <c r="E66" s="18"/>
      <c r="F66" s="6">
        <v>0</v>
      </c>
      <c r="G66" s="99"/>
      <c r="H66" s="105"/>
    </row>
    <row r="67" spans="3:8" x14ac:dyDescent="0.35">
      <c r="C67" s="11"/>
      <c r="D67" s="18" t="s">
        <v>49</v>
      </c>
      <c r="E67" s="18"/>
      <c r="F67" s="5">
        <f>SUM(F61:F66)</f>
        <v>-697052.76</v>
      </c>
      <c r="G67" s="220">
        <v>0</v>
      </c>
      <c r="H67" s="19">
        <f>F67-G67</f>
        <v>-697052.76</v>
      </c>
    </row>
    <row r="68" spans="3:8" x14ac:dyDescent="0.35">
      <c r="C68" s="11"/>
      <c r="D68" s="18"/>
      <c r="E68" s="18"/>
      <c r="F68" s="6"/>
      <c r="H68" s="105"/>
    </row>
    <row r="69" spans="3:8" x14ac:dyDescent="0.35">
      <c r="C69" s="11"/>
      <c r="D69" s="18"/>
      <c r="E69" s="18" t="s">
        <v>50</v>
      </c>
      <c r="F69" s="5">
        <f>F58+F67</f>
        <v>-2800655.5300000003</v>
      </c>
      <c r="G69" s="5">
        <f>G58+G67</f>
        <v>-2934137.7095786599</v>
      </c>
      <c r="H69" s="19">
        <f>F69-G69</f>
        <v>133482.17957865959</v>
      </c>
    </row>
    <row r="70" spans="3:8" x14ac:dyDescent="0.35">
      <c r="C70" s="11"/>
      <c r="D70" s="18"/>
      <c r="E70" s="18"/>
      <c r="F70" s="6"/>
      <c r="G70" s="6"/>
      <c r="H70" s="6"/>
    </row>
    <row r="71" spans="3:8" x14ac:dyDescent="0.35">
      <c r="C71" s="11"/>
      <c r="D71" s="18"/>
      <c r="E71" s="18"/>
      <c r="F71" s="6"/>
      <c r="G71" s="6"/>
      <c r="H71" s="6"/>
    </row>
    <row r="72" spans="3:8" x14ac:dyDescent="0.35">
      <c r="C72" s="11"/>
      <c r="D72" s="18"/>
      <c r="E72" s="18"/>
      <c r="F72" s="6"/>
      <c r="G72" s="6"/>
      <c r="H72" s="100"/>
    </row>
    <row r="73" spans="3:8" x14ac:dyDescent="0.35">
      <c r="C73" s="8" t="s">
        <v>27</v>
      </c>
      <c r="D73" s="18" t="s">
        <v>28</v>
      </c>
      <c r="E73" s="18"/>
      <c r="F73" s="5">
        <v>-148153.41</v>
      </c>
      <c r="G73" s="5">
        <v>-119731.897092117</v>
      </c>
      <c r="H73" s="19">
        <f>F73-G73</f>
        <v>-28421.512907883007</v>
      </c>
    </row>
    <row r="74" spans="3:8" x14ac:dyDescent="0.35">
      <c r="C74" s="18"/>
      <c r="D74" s="18"/>
      <c r="E74" s="18"/>
      <c r="F74" s="12"/>
      <c r="G74" s="12"/>
      <c r="H74" s="101"/>
    </row>
    <row r="75" spans="3:8" x14ac:dyDescent="0.35">
      <c r="C75" s="18"/>
      <c r="D75" s="18"/>
      <c r="E75" s="18"/>
      <c r="F75" s="9"/>
      <c r="G75" s="9"/>
      <c r="H75" s="102"/>
    </row>
    <row r="76" spans="3:8" x14ac:dyDescent="0.35">
      <c r="C76" s="8" t="s">
        <v>29</v>
      </c>
      <c r="D76" s="18" t="s">
        <v>30</v>
      </c>
      <c r="E76" s="18"/>
      <c r="F76" s="13"/>
      <c r="G76" s="13"/>
      <c r="H76" s="19">
        <f>F76-G76</f>
        <v>0</v>
      </c>
    </row>
    <row r="77" spans="3:8" x14ac:dyDescent="0.35">
      <c r="C77" s="18"/>
      <c r="D77" s="18"/>
      <c r="E77" s="18"/>
      <c r="F77" s="12"/>
      <c r="G77" s="12"/>
      <c r="H77" s="101"/>
    </row>
    <row r="78" spans="3:8" x14ac:dyDescent="0.35">
      <c r="C78" s="18"/>
      <c r="D78" s="18"/>
      <c r="E78" s="18"/>
      <c r="F78" s="9"/>
      <c r="G78" s="9"/>
      <c r="H78" s="102"/>
    </row>
    <row r="79" spans="3:8" x14ac:dyDescent="0.35">
      <c r="C79" s="8" t="s">
        <v>31</v>
      </c>
      <c r="D79" s="18" t="s">
        <v>32</v>
      </c>
      <c r="E79" s="18"/>
      <c r="F79" s="5">
        <v>-133461.48000000001</v>
      </c>
      <c r="G79" s="5">
        <v>-131282.94</v>
      </c>
      <c r="H79" s="19">
        <f>F79-G79</f>
        <v>-2178.5400000000081</v>
      </c>
    </row>
    <row r="80" spans="3:8" x14ac:dyDescent="0.35">
      <c r="C80" s="18"/>
      <c r="D80" s="18"/>
      <c r="E80" s="18"/>
      <c r="F80" s="16"/>
      <c r="G80" s="16"/>
      <c r="H80" s="103"/>
    </row>
    <row r="81" spans="2:29" x14ac:dyDescent="0.35">
      <c r="C81" s="18"/>
      <c r="D81" s="18"/>
      <c r="E81" s="18"/>
      <c r="F81" s="15"/>
      <c r="G81" s="15"/>
      <c r="H81" s="104"/>
    </row>
    <row r="82" spans="2:29" x14ac:dyDescent="0.35">
      <c r="C82" s="8" t="s">
        <v>33</v>
      </c>
      <c r="D82" s="18" t="s">
        <v>34</v>
      </c>
      <c r="E82" s="18"/>
      <c r="F82" s="5">
        <v>-100423.29</v>
      </c>
      <c r="G82" s="5">
        <v>-101261.24</v>
      </c>
      <c r="H82" s="19">
        <f>F82-G82</f>
        <v>837.95000000001164</v>
      </c>
    </row>
    <row r="83" spans="2:29" x14ac:dyDescent="0.35">
      <c r="C83" s="18"/>
      <c r="D83" s="18"/>
      <c r="E83" s="18"/>
      <c r="F83" s="16"/>
      <c r="G83" s="16"/>
      <c r="H83" s="103"/>
    </row>
    <row r="84" spans="2:29" x14ac:dyDescent="0.35">
      <c r="C84" s="18"/>
      <c r="D84" s="18"/>
      <c r="E84" s="18"/>
      <c r="F84" s="16"/>
      <c r="G84" s="16"/>
      <c r="H84" s="103"/>
    </row>
    <row r="85" spans="2:29" x14ac:dyDescent="0.35">
      <c r="C85" s="8" t="s">
        <v>35</v>
      </c>
      <c r="D85" s="18" t="s">
        <v>36</v>
      </c>
      <c r="E85" s="18"/>
      <c r="F85" s="5">
        <v>-48624.77</v>
      </c>
      <c r="G85" s="5">
        <v>-48166.52</v>
      </c>
      <c r="H85" s="19">
        <f>F85-G85</f>
        <v>-458.25</v>
      </c>
    </row>
    <row r="86" spans="2:29" x14ac:dyDescent="0.35">
      <c r="C86" s="18"/>
      <c r="D86" s="18"/>
      <c r="E86" s="18"/>
      <c r="F86" s="16"/>
      <c r="G86" s="16"/>
      <c r="H86" s="103"/>
    </row>
    <row r="87" spans="2:29" x14ac:dyDescent="0.35">
      <c r="C87" s="17" t="s">
        <v>37</v>
      </c>
      <c r="D87" s="14" t="s">
        <v>38</v>
      </c>
      <c r="E87" s="14"/>
      <c r="F87" s="5">
        <v>-12887.7</v>
      </c>
      <c r="G87" s="5">
        <v>-12908.82</v>
      </c>
      <c r="H87" s="19">
        <f>F87-G87</f>
        <v>21.119999999998981</v>
      </c>
    </row>
    <row r="88" spans="2:29" x14ac:dyDescent="0.35">
      <c r="C88" s="18"/>
      <c r="D88" s="18"/>
      <c r="E88" s="18"/>
      <c r="F88" s="16"/>
      <c r="H88" s="105"/>
    </row>
    <row r="89" spans="2:29" x14ac:dyDescent="0.35">
      <c r="C89" s="18"/>
      <c r="D89" s="18"/>
      <c r="E89" s="18"/>
      <c r="F89" s="15"/>
    </row>
    <row r="90" spans="2:29" x14ac:dyDescent="0.35">
      <c r="B90" s="232" t="s">
        <v>75</v>
      </c>
      <c r="C90" s="233"/>
      <c r="D90" s="233"/>
      <c r="E90" s="233"/>
      <c r="F90" s="233"/>
      <c r="G90" s="233"/>
      <c r="H90" s="234"/>
    </row>
    <row r="91" spans="2:29" ht="15" thickBot="1" x14ac:dyDescent="0.4"/>
    <row r="92" spans="2:29" ht="116.5" thickTop="1" x14ac:dyDescent="0.35">
      <c r="B92" s="68" t="s">
        <v>60</v>
      </c>
      <c r="C92" s="69" t="s">
        <v>61</v>
      </c>
      <c r="D92" s="70" t="s">
        <v>62</v>
      </c>
      <c r="E92" s="69" t="s">
        <v>63</v>
      </c>
      <c r="F92" s="71" t="s">
        <v>64</v>
      </c>
      <c r="G92" s="72" t="s">
        <v>65</v>
      </c>
      <c r="H92" s="70" t="s">
        <v>66</v>
      </c>
      <c r="I92" s="70" t="s">
        <v>67</v>
      </c>
      <c r="J92" s="73" t="s">
        <v>68</v>
      </c>
      <c r="K92" s="69" t="s">
        <v>69</v>
      </c>
      <c r="L92" s="70" t="s">
        <v>70</v>
      </c>
      <c r="M92" s="74" t="s">
        <v>71</v>
      </c>
      <c r="N92" s="75"/>
      <c r="O92" s="76"/>
      <c r="P92" s="70" t="s">
        <v>72</v>
      </c>
      <c r="Q92" s="72" t="s">
        <v>73</v>
      </c>
      <c r="R92" s="71" t="s">
        <v>74</v>
      </c>
      <c r="S92" s="77" t="s">
        <v>68</v>
      </c>
      <c r="U92" s="3"/>
      <c r="V92" s="3"/>
      <c r="W92" s="3"/>
      <c r="X92" s="3"/>
      <c r="Y92" s="3"/>
      <c r="Z92" s="3"/>
      <c r="AA92" s="3"/>
      <c r="AB92" s="3"/>
      <c r="AC92" s="3"/>
    </row>
    <row r="93" spans="2:29" x14ac:dyDescent="0.35">
      <c r="B93" s="24">
        <v>42370</v>
      </c>
      <c r="C93" s="25">
        <v>-2327022.5699999998</v>
      </c>
      <c r="D93" s="26">
        <v>6587.6599999996834</v>
      </c>
      <c r="E93" s="25">
        <v>-2320434.91</v>
      </c>
      <c r="F93" s="27">
        <v>-1696971.31</v>
      </c>
      <c r="G93" s="28">
        <v>630051.25999999978</v>
      </c>
      <c r="H93" s="29">
        <v>-202431.52</v>
      </c>
      <c r="I93" s="29">
        <v>-522630.68</v>
      </c>
      <c r="J93" s="30">
        <v>-95010.940000000235</v>
      </c>
      <c r="K93" s="25">
        <v>-95010.94</v>
      </c>
      <c r="L93" s="29">
        <v>0</v>
      </c>
      <c r="M93" s="31">
        <v>0</v>
      </c>
      <c r="N93" s="32"/>
      <c r="O93" s="33"/>
      <c r="P93" s="29">
        <v>-2095657.5099999998</v>
      </c>
      <c r="Q93" s="28">
        <v>-617107.81406299968</v>
      </c>
      <c r="R93" s="27">
        <v>-1478549.6959370002</v>
      </c>
      <c r="S93" s="34">
        <v>-95010.940000000235</v>
      </c>
      <c r="V93" s="3"/>
      <c r="W93" s="3"/>
      <c r="X93" s="3"/>
      <c r="Y93" s="3"/>
      <c r="Z93" s="3"/>
      <c r="AA93" s="3"/>
      <c r="AB93" s="3"/>
      <c r="AC93" s="3"/>
    </row>
    <row r="94" spans="2:29" x14ac:dyDescent="0.35">
      <c r="B94" s="24">
        <v>42401</v>
      </c>
      <c r="C94" s="25">
        <v>-2279814.62</v>
      </c>
      <c r="D94" s="26">
        <v>6301.5900000003166</v>
      </c>
      <c r="E94" s="25">
        <v>-2273513.0299999998</v>
      </c>
      <c r="F94" s="27">
        <v>-1575102.41</v>
      </c>
      <c r="G94" s="28">
        <v>704712.2100000002</v>
      </c>
      <c r="H94" s="29">
        <v>-154506.88</v>
      </c>
      <c r="I94" s="29">
        <v>-413825.56</v>
      </c>
      <c r="J94" s="30">
        <v>136379.77000000019</v>
      </c>
      <c r="K94" s="25">
        <v>41368.83</v>
      </c>
      <c r="L94" s="29">
        <v>95010.94</v>
      </c>
      <c r="M94" s="31">
        <v>0</v>
      </c>
      <c r="N94" s="32"/>
      <c r="O94" s="33"/>
      <c r="P94" s="29">
        <v>-2385085.9500000007</v>
      </c>
      <c r="Q94" s="28">
        <v>-620430.74664900138</v>
      </c>
      <c r="R94" s="27">
        <v>-1764655.2033509994</v>
      </c>
      <c r="S94" s="34">
        <v>136379.77000000019</v>
      </c>
      <c r="V94" s="3"/>
      <c r="W94" s="3"/>
      <c r="X94" s="3"/>
      <c r="Y94" s="3"/>
      <c r="Z94" s="3"/>
      <c r="AA94" s="3"/>
      <c r="AB94" s="3"/>
      <c r="AC94" s="3"/>
    </row>
    <row r="95" spans="2:29" x14ac:dyDescent="0.35">
      <c r="B95" s="24">
        <v>42430</v>
      </c>
      <c r="C95" s="25">
        <v>-2346825.29</v>
      </c>
      <c r="D95" s="26">
        <v>6221.0499999998137</v>
      </c>
      <c r="E95" s="25">
        <v>-2340604.2400000002</v>
      </c>
      <c r="F95" s="27">
        <v>-1583667.98</v>
      </c>
      <c r="G95" s="28">
        <v>763157.31</v>
      </c>
      <c r="H95" s="29">
        <v>-181098.23</v>
      </c>
      <c r="I95" s="29">
        <v>-475043.21</v>
      </c>
      <c r="J95" s="30">
        <v>107015.87000000005</v>
      </c>
      <c r="K95" s="25">
        <v>148384.70000000001</v>
      </c>
      <c r="L95" s="29">
        <v>-41368.83</v>
      </c>
      <c r="M95" s="31">
        <v>0</v>
      </c>
      <c r="N95" s="32"/>
      <c r="O95" s="33"/>
      <c r="P95" s="29">
        <v>-1982557.6499999994</v>
      </c>
      <c r="Q95" s="28">
        <v>-686059.25982200017</v>
      </c>
      <c r="R95" s="27">
        <v>-1296498.3901779992</v>
      </c>
      <c r="S95" s="34">
        <v>107015.87000000005</v>
      </c>
      <c r="V95" s="3"/>
      <c r="W95" s="3"/>
      <c r="X95" s="3"/>
      <c r="Y95" s="3"/>
      <c r="Z95" s="3"/>
      <c r="AA95" s="3"/>
      <c r="AB95" s="3"/>
      <c r="AC95" s="3"/>
    </row>
    <row r="96" spans="2:29" x14ac:dyDescent="0.35">
      <c r="B96" s="24">
        <v>42461</v>
      </c>
      <c r="C96" s="25">
        <v>-2246977.66</v>
      </c>
      <c r="D96" s="26">
        <v>6548.4399999999441</v>
      </c>
      <c r="E96" s="25">
        <v>-2240429.2200000002</v>
      </c>
      <c r="F96" s="27">
        <v>-1548237.59</v>
      </c>
      <c r="G96" s="28">
        <v>698740.07000000007</v>
      </c>
      <c r="H96" s="29">
        <v>-150194.12</v>
      </c>
      <c r="I96" s="29">
        <v>-431516.08</v>
      </c>
      <c r="J96" s="30">
        <v>117029.87000000005</v>
      </c>
      <c r="K96" s="25">
        <v>265414.57</v>
      </c>
      <c r="L96" s="29">
        <v>-148384.70000000001</v>
      </c>
      <c r="M96" s="31">
        <v>0</v>
      </c>
      <c r="N96" s="32"/>
      <c r="O96" s="33"/>
      <c r="P96" s="29">
        <v>-2433886.5800000005</v>
      </c>
      <c r="Q96" s="28">
        <v>-676525.8530887987</v>
      </c>
      <c r="R96" s="27">
        <v>-1757360.7269112018</v>
      </c>
      <c r="S96" s="34">
        <v>117029.87000000005</v>
      </c>
      <c r="V96" s="3"/>
      <c r="W96" s="3"/>
      <c r="X96" s="3"/>
      <c r="Y96" s="3"/>
      <c r="Z96" s="3"/>
      <c r="AA96" s="3"/>
      <c r="AB96" s="3"/>
      <c r="AC96" s="3"/>
    </row>
    <row r="97" spans="2:29" x14ac:dyDescent="0.35">
      <c r="B97" s="24">
        <v>42491</v>
      </c>
      <c r="C97" s="25">
        <v>-2055476.51</v>
      </c>
      <c r="D97" s="26">
        <v>6659.7399999999907</v>
      </c>
      <c r="E97" s="25">
        <v>-2048816.77</v>
      </c>
      <c r="F97" s="27">
        <v>-1468333.83</v>
      </c>
      <c r="G97" s="28">
        <v>587142.67999999993</v>
      </c>
      <c r="H97" s="29">
        <v>-186132.27</v>
      </c>
      <c r="I97" s="29">
        <v>-549807.44999999995</v>
      </c>
      <c r="J97" s="30">
        <v>-148797.04000000004</v>
      </c>
      <c r="K97" s="25">
        <v>116617.53</v>
      </c>
      <c r="L97" s="29">
        <v>-265414.57</v>
      </c>
      <c r="M97" s="31">
        <v>0</v>
      </c>
      <c r="N97" s="32"/>
      <c r="O97" s="33"/>
      <c r="P97" s="29">
        <v>-1984722.1600000006</v>
      </c>
      <c r="Q97" s="28">
        <v>-641329.56568560086</v>
      </c>
      <c r="R97" s="27">
        <v>-1343392.5943143996</v>
      </c>
      <c r="S97" s="34">
        <v>-148797.04000000004</v>
      </c>
      <c r="V97" s="3"/>
      <c r="W97" s="3"/>
      <c r="X97" s="3"/>
      <c r="Y97" s="3"/>
      <c r="Z97" s="3"/>
      <c r="AA97" s="3"/>
      <c r="AB97" s="3"/>
      <c r="AC97" s="3"/>
    </row>
    <row r="98" spans="2:29" x14ac:dyDescent="0.35">
      <c r="B98" s="24">
        <v>42522</v>
      </c>
      <c r="C98" s="25">
        <v>-1880328.54</v>
      </c>
      <c r="D98" s="26">
        <v>8021.8000000000466</v>
      </c>
      <c r="E98" s="25">
        <v>-1872306.74</v>
      </c>
      <c r="F98" s="27">
        <v>-1250102.0900000001</v>
      </c>
      <c r="G98" s="28">
        <v>630226.44999999995</v>
      </c>
      <c r="H98" s="29">
        <v>-164170.94</v>
      </c>
      <c r="I98" s="29">
        <v>-456694.05</v>
      </c>
      <c r="J98" s="30">
        <v>9361.4599999999627</v>
      </c>
      <c r="K98" s="25">
        <v>125978.99</v>
      </c>
      <c r="L98" s="29">
        <v>-116617.53</v>
      </c>
      <c r="M98" s="31">
        <v>0</v>
      </c>
      <c r="N98" s="32"/>
      <c r="O98" s="33"/>
      <c r="P98" s="29">
        <v>-2320358.4700000002</v>
      </c>
      <c r="Q98" s="28">
        <v>-574945.63687800034</v>
      </c>
      <c r="R98" s="27">
        <v>-1745412.8331219999</v>
      </c>
      <c r="S98" s="34">
        <v>9361.4599999999627</v>
      </c>
      <c r="V98" s="3"/>
      <c r="W98" s="3"/>
      <c r="X98" s="3"/>
      <c r="Y98" s="3"/>
      <c r="Z98" s="3"/>
      <c r="AA98" s="3"/>
      <c r="AB98" s="3"/>
      <c r="AC98" s="3"/>
    </row>
    <row r="99" spans="2:29" x14ac:dyDescent="0.35">
      <c r="B99" s="24">
        <v>42552</v>
      </c>
      <c r="C99" s="25">
        <v>-1987580.82</v>
      </c>
      <c r="D99" s="26">
        <v>9540.2800000000279</v>
      </c>
      <c r="E99" s="25">
        <v>-1978040.54</v>
      </c>
      <c r="F99" s="27">
        <v>-1434684.61</v>
      </c>
      <c r="G99" s="28">
        <v>552896.21</v>
      </c>
      <c r="H99" s="29">
        <v>-192517.98</v>
      </c>
      <c r="I99" s="29">
        <v>-535759.69999999995</v>
      </c>
      <c r="J99" s="30">
        <v>-175381.46999999997</v>
      </c>
      <c r="K99" s="25">
        <v>-49402.48</v>
      </c>
      <c r="L99" s="29">
        <v>-125978.99</v>
      </c>
      <c r="M99" s="31">
        <v>0</v>
      </c>
      <c r="N99" s="32"/>
      <c r="O99" s="33"/>
      <c r="P99" s="29">
        <v>-1814305.9900000005</v>
      </c>
      <c r="Q99" s="28">
        <v>-531601.34874219948</v>
      </c>
      <c r="R99" s="27">
        <v>-1282704.6412578011</v>
      </c>
      <c r="S99" s="34">
        <v>-175381.46999999997</v>
      </c>
      <c r="V99" s="3"/>
      <c r="W99" s="3"/>
      <c r="X99" s="3"/>
      <c r="Y99" s="3"/>
      <c r="Z99" s="3"/>
      <c r="AA99" s="3"/>
      <c r="AB99" s="3"/>
      <c r="AC99" s="3"/>
    </row>
    <row r="100" spans="2:29" x14ac:dyDescent="0.35">
      <c r="B100" s="24">
        <v>42583</v>
      </c>
      <c r="C100" s="25">
        <v>-1782082.92</v>
      </c>
      <c r="D100" s="26">
        <v>8397.0300000000279</v>
      </c>
      <c r="E100" s="25">
        <v>-1773685.89</v>
      </c>
      <c r="F100" s="27">
        <v>-1264620.24</v>
      </c>
      <c r="G100" s="28">
        <v>517462.67999999993</v>
      </c>
      <c r="H100" s="29">
        <v>-142047.78</v>
      </c>
      <c r="I100" s="29">
        <v>-326163.40999999997</v>
      </c>
      <c r="J100" s="30">
        <v>49251.489999999932</v>
      </c>
      <c r="K100" s="25">
        <v>-150.99</v>
      </c>
      <c r="L100" s="29">
        <v>49402.48</v>
      </c>
      <c r="M100" s="31">
        <v>0</v>
      </c>
      <c r="N100" s="32"/>
      <c r="O100" s="33"/>
      <c r="P100" s="29">
        <v>-2111191.9500000011</v>
      </c>
      <c r="Q100" s="28">
        <v>-476597.569901001</v>
      </c>
      <c r="R100" s="27">
        <v>-1634594.3800990002</v>
      </c>
      <c r="S100" s="34">
        <v>49251.489999999932</v>
      </c>
      <c r="V100" s="3"/>
      <c r="W100" s="3"/>
      <c r="X100" s="3"/>
      <c r="Y100" s="3"/>
      <c r="Z100" s="3"/>
      <c r="AA100" s="3"/>
      <c r="AB100" s="3"/>
      <c r="AC100" s="3"/>
    </row>
    <row r="101" spans="2:29" x14ac:dyDescent="0.35">
      <c r="B101" s="24">
        <v>42614</v>
      </c>
      <c r="C101" s="25">
        <v>-1875012.23</v>
      </c>
      <c r="D101" s="26">
        <v>5953.2199999999721</v>
      </c>
      <c r="E101" s="25">
        <v>-1869059.01</v>
      </c>
      <c r="F101" s="27">
        <v>-1185183.77</v>
      </c>
      <c r="G101" s="28">
        <v>689828.46</v>
      </c>
      <c r="H101" s="29">
        <v>-163662.66</v>
      </c>
      <c r="I101" s="29">
        <v>-411389.83</v>
      </c>
      <c r="J101" s="30">
        <v>114775.96999999991</v>
      </c>
      <c r="K101" s="25">
        <v>114624.98</v>
      </c>
      <c r="L101" s="29">
        <v>150.99</v>
      </c>
      <c r="M101" s="31">
        <v>0</v>
      </c>
      <c r="N101" s="32"/>
      <c r="O101" s="33"/>
      <c r="P101" s="29">
        <v>-1369886.3700000006</v>
      </c>
      <c r="Q101" s="28">
        <v>-583072.33607009973</v>
      </c>
      <c r="R101" s="27">
        <v>-786814.03392990085</v>
      </c>
      <c r="S101" s="34">
        <v>114775.96999999991</v>
      </c>
      <c r="V101" s="3"/>
      <c r="W101" s="3"/>
      <c r="X101" s="3"/>
      <c r="Y101" s="3"/>
      <c r="Z101" s="3"/>
      <c r="AA101" s="3"/>
      <c r="AB101" s="3"/>
      <c r="AC101" s="3"/>
    </row>
    <row r="102" spans="2:29" x14ac:dyDescent="0.35">
      <c r="B102" s="35">
        <v>42644</v>
      </c>
      <c r="C102" s="25">
        <v>-2218630.54</v>
      </c>
      <c r="D102" s="26">
        <v>10563.839999999851</v>
      </c>
      <c r="E102" s="25">
        <v>-2208066.7000000002</v>
      </c>
      <c r="F102" s="27">
        <v>-1552812.4</v>
      </c>
      <c r="G102" s="28">
        <v>665818.14000000013</v>
      </c>
      <c r="H102" s="29">
        <v>-108659.68</v>
      </c>
      <c r="I102" s="29">
        <v>-320373.28999999998</v>
      </c>
      <c r="J102" s="30">
        <v>236785.17000000022</v>
      </c>
      <c r="K102" s="25">
        <v>351410.15</v>
      </c>
      <c r="L102" s="36">
        <v>-114624.98</v>
      </c>
      <c r="M102" s="31">
        <v>0</v>
      </c>
      <c r="N102" s="38"/>
      <c r="O102" s="39"/>
      <c r="P102" s="29">
        <v>-1877755.11</v>
      </c>
      <c r="Q102" s="28">
        <v>-713202.0302844001</v>
      </c>
      <c r="R102" s="27">
        <v>-1164553.0797156</v>
      </c>
      <c r="S102" s="34">
        <v>236785.17000000022</v>
      </c>
      <c r="V102" s="3"/>
      <c r="W102" s="3"/>
      <c r="X102" s="3"/>
      <c r="Y102" s="3"/>
      <c r="Z102" s="3"/>
      <c r="AA102" s="3"/>
      <c r="AB102" s="3"/>
      <c r="AC102" s="3"/>
    </row>
    <row r="103" spans="2:29" x14ac:dyDescent="0.35">
      <c r="B103" s="35">
        <v>42675</v>
      </c>
      <c r="C103" s="25">
        <v>-2414482.5099999998</v>
      </c>
      <c r="D103" s="26">
        <v>9575.3599999998696</v>
      </c>
      <c r="E103" s="25">
        <v>-2404907.15</v>
      </c>
      <c r="F103" s="27">
        <v>-1642195.3</v>
      </c>
      <c r="G103" s="28">
        <v>772287.20999999973</v>
      </c>
      <c r="H103" s="29">
        <v>-147633.78</v>
      </c>
      <c r="I103" s="29">
        <v>-472787.65</v>
      </c>
      <c r="J103" s="30">
        <v>151865.77999999968</v>
      </c>
      <c r="K103" s="25">
        <v>503275.93</v>
      </c>
      <c r="L103" s="36">
        <v>-351410.15</v>
      </c>
      <c r="M103" s="31">
        <v>0</v>
      </c>
      <c r="N103" s="38"/>
      <c r="O103" s="39"/>
      <c r="P103" s="29">
        <v>-2482941.6599999992</v>
      </c>
      <c r="Q103" s="28">
        <v>-714188.15513010032</v>
      </c>
      <c r="R103" s="27">
        <v>-1768753.5048698988</v>
      </c>
      <c r="S103" s="34">
        <v>151865.77999999968</v>
      </c>
      <c r="V103" s="3"/>
      <c r="W103" s="3"/>
      <c r="X103" s="3"/>
      <c r="Y103" s="3"/>
      <c r="Z103" s="3"/>
      <c r="AA103" s="3"/>
      <c r="AB103" s="3"/>
      <c r="AC103" s="3"/>
    </row>
    <row r="104" spans="2:29" x14ac:dyDescent="0.35">
      <c r="B104" s="40">
        <v>42705</v>
      </c>
      <c r="C104" s="41">
        <v>-2032114.14</v>
      </c>
      <c r="D104" s="42">
        <v>8868.8799999999992</v>
      </c>
      <c r="E104" s="41">
        <v>-2023245.26</v>
      </c>
      <c r="F104" s="43">
        <v>-1422068.91</v>
      </c>
      <c r="G104" s="44">
        <v>610045.23</v>
      </c>
      <c r="H104" s="45">
        <v>-187287.55</v>
      </c>
      <c r="I104" s="45">
        <v>-601754.35</v>
      </c>
      <c r="J104" s="46">
        <v>-178996.66999999998</v>
      </c>
      <c r="K104" s="25">
        <v>324279.26</v>
      </c>
      <c r="L104" s="36">
        <v>-503275.93</v>
      </c>
      <c r="M104" s="31">
        <v>0</v>
      </c>
      <c r="N104" s="32"/>
      <c r="O104" s="39"/>
      <c r="P104" s="29">
        <v>-2581571.180000002</v>
      </c>
      <c r="Q104" s="28">
        <v>-573061.52130360052</v>
      </c>
      <c r="R104" s="27">
        <v>-2008509.6586964014</v>
      </c>
      <c r="S104" s="34">
        <v>-178996.66999999998</v>
      </c>
      <c r="U104" s="47" t="s">
        <v>55</v>
      </c>
      <c r="V104" s="48">
        <v>2016</v>
      </c>
      <c r="W104" s="3"/>
      <c r="X104" s="3"/>
      <c r="Y104" s="3"/>
      <c r="Z104" s="3"/>
      <c r="AA104" s="3"/>
      <c r="AB104" s="3"/>
      <c r="AC104" s="3"/>
    </row>
    <row r="105" spans="2:29" ht="15" thickBot="1" x14ac:dyDescent="0.4">
      <c r="B105" s="49"/>
      <c r="C105" s="50">
        <v>-25446348.350000001</v>
      </c>
      <c r="D105" s="51">
        <v>93238.889999999548</v>
      </c>
      <c r="E105" s="50">
        <v>-25353109.460000001</v>
      </c>
      <c r="F105" s="52">
        <v>-17623980.439999998</v>
      </c>
      <c r="G105" s="53">
        <v>7822367.9100000001</v>
      </c>
      <c r="H105" s="54">
        <v>-1980343.39</v>
      </c>
      <c r="I105" s="54">
        <v>-5517745.2599999998</v>
      </c>
      <c r="J105" s="55">
        <v>324279.25999999978</v>
      </c>
      <c r="K105" s="50"/>
      <c r="L105" s="54"/>
      <c r="M105" s="56"/>
      <c r="N105" s="32"/>
      <c r="O105" s="57" t="s">
        <v>56</v>
      </c>
      <c r="P105" s="58">
        <v>-25439920.580000009</v>
      </c>
      <c r="Q105" s="59">
        <v>-7408121.8376178024</v>
      </c>
      <c r="R105" s="60">
        <v>-18031798.742382206</v>
      </c>
      <c r="S105" s="34"/>
      <c r="V105" s="3"/>
      <c r="W105" s="3"/>
      <c r="X105" s="3"/>
      <c r="Y105" s="3"/>
      <c r="Z105" s="3"/>
      <c r="AA105" s="3"/>
      <c r="AB105" s="3"/>
      <c r="AC105" s="3"/>
    </row>
    <row r="106" spans="2:29" ht="15" thickTop="1" x14ac:dyDescent="0.35">
      <c r="B106" s="61"/>
      <c r="C106" s="32"/>
      <c r="D106" s="6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57" t="s">
        <v>57</v>
      </c>
      <c r="P106" s="58">
        <v>-25446348.350000001</v>
      </c>
      <c r="Q106" s="59">
        <v>-7822367.9100000001</v>
      </c>
      <c r="R106" s="60">
        <v>-17623980.439999998</v>
      </c>
      <c r="S106" s="34"/>
      <c r="U106" t="s">
        <v>58</v>
      </c>
      <c r="V106" s="3">
        <v>414246.07238219772</v>
      </c>
      <c r="W106" s="3"/>
      <c r="X106" s="3"/>
      <c r="Y106" s="3"/>
      <c r="Z106" s="3"/>
      <c r="AA106" s="3"/>
      <c r="AB106" s="3"/>
      <c r="AC106" s="3"/>
    </row>
    <row r="107" spans="2:29" ht="15" thickBot="1" x14ac:dyDescent="0.4">
      <c r="B107" s="61"/>
      <c r="C107" s="32"/>
      <c r="D107" s="62"/>
      <c r="E107" s="32"/>
      <c r="F107" s="32"/>
      <c r="G107" s="32"/>
      <c r="H107" s="32"/>
      <c r="I107" s="32"/>
      <c r="J107" s="32"/>
      <c r="K107" s="32"/>
      <c r="L107" s="32"/>
      <c r="M107" s="38"/>
      <c r="N107" s="38"/>
      <c r="O107" s="63" t="s">
        <v>51</v>
      </c>
      <c r="P107" s="64">
        <v>6427.7699999921024</v>
      </c>
      <c r="Q107" s="65">
        <v>414246.07238219772</v>
      </c>
      <c r="R107" s="66">
        <v>-407818.30238220841</v>
      </c>
      <c r="S107" s="67"/>
      <c r="U107" t="s">
        <v>59</v>
      </c>
      <c r="V107" s="3">
        <v>-414246.07238219772</v>
      </c>
      <c r="W107" s="3"/>
      <c r="X107" s="3"/>
      <c r="Y107" s="3"/>
      <c r="Z107" s="3"/>
      <c r="AA107" s="3"/>
      <c r="AB107" s="3"/>
      <c r="AC107" s="3"/>
    </row>
    <row r="108" spans="2:29" ht="15" thickTop="1" x14ac:dyDescent="0.35">
      <c r="B108" s="38"/>
      <c r="C108" s="38"/>
      <c r="D108" s="38"/>
      <c r="G108"/>
      <c r="U108" s="3"/>
      <c r="V108" s="3"/>
      <c r="W108" s="3"/>
      <c r="X108" s="3"/>
      <c r="Y108" s="3"/>
      <c r="Z108" s="3"/>
      <c r="AA108" s="3"/>
      <c r="AB108" s="3"/>
      <c r="AC108" s="3"/>
    </row>
  </sheetData>
  <mergeCells count="3">
    <mergeCell ref="B9:H9"/>
    <mergeCell ref="B45:H45"/>
    <mergeCell ref="B90:H90"/>
  </mergeCells>
  <pageMargins left="0.7" right="0.7" top="0.75" bottom="0.75" header="0.3" footer="0.3"/>
  <pageSetup scale="28" orientation="portrait" r:id="rId1"/>
  <rowBreaks count="1" manualBreakCount="1">
    <brk id="44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C105"/>
  <sheetViews>
    <sheetView zoomScale="55" zoomScaleNormal="55" workbookViewId="0">
      <selection activeCell="T46" sqref="T46"/>
    </sheetView>
  </sheetViews>
  <sheetFormatPr defaultRowHeight="14.5" x14ac:dyDescent="0.35"/>
  <cols>
    <col min="1" max="1" width="2.6328125" customWidth="1"/>
    <col min="3" max="5" width="17.6328125" customWidth="1"/>
    <col min="6" max="6" width="18.6328125" customWidth="1"/>
    <col min="7" max="7" width="18.6328125" style="3" customWidth="1"/>
    <col min="8" max="13" width="17.6328125" customWidth="1"/>
    <col min="15" max="15" width="13.1796875" bestFit="1" customWidth="1"/>
    <col min="16" max="16" width="14" bestFit="1" customWidth="1"/>
    <col min="17" max="17" width="12.81640625" bestFit="1" customWidth="1"/>
    <col min="18" max="18" width="14" bestFit="1" customWidth="1"/>
    <col min="19" max="19" width="11.1796875" bestFit="1" customWidth="1"/>
    <col min="21" max="21" width="17.08984375" bestFit="1" customWidth="1"/>
    <col min="22" max="22" width="13.453125" bestFit="1" customWidth="1"/>
  </cols>
  <sheetData>
    <row r="2" spans="2:29" ht="17" x14ac:dyDescent="0.4">
      <c r="B2" s="78" t="s">
        <v>177</v>
      </c>
    </row>
    <row r="4" spans="2:29" ht="43.5" x14ac:dyDescent="0.35">
      <c r="C4" s="2" t="s">
        <v>0</v>
      </c>
      <c r="D4" s="2" t="s">
        <v>1</v>
      </c>
      <c r="E4" s="2" t="s">
        <v>2</v>
      </c>
      <c r="F4" s="2" t="s">
        <v>3</v>
      </c>
      <c r="G4" s="4" t="s">
        <v>4</v>
      </c>
      <c r="H4" s="2" t="s">
        <v>5</v>
      </c>
    </row>
    <row r="5" spans="2:29" x14ac:dyDescent="0.35">
      <c r="B5" s="1">
        <v>1588</v>
      </c>
      <c r="C5" s="1" t="s">
        <v>6</v>
      </c>
      <c r="E5" s="218">
        <f>E38</f>
        <v>148378.41885018095</v>
      </c>
      <c r="F5" s="23">
        <f>H55</f>
        <v>696682.85721340007</v>
      </c>
      <c r="G5" s="218">
        <f>V103</f>
        <v>26295.695389500819</v>
      </c>
      <c r="H5" s="23">
        <f>SUM(D5:G5)</f>
        <v>871356.97145308182</v>
      </c>
    </row>
    <row r="6" spans="2:29" x14ac:dyDescent="0.35">
      <c r="B6" s="1">
        <v>1589</v>
      </c>
      <c r="C6" s="1" t="s">
        <v>6</v>
      </c>
      <c r="F6" s="23">
        <f>H64</f>
        <v>-725062.2</v>
      </c>
      <c r="G6" s="218">
        <f>V104</f>
        <v>-26295.695389500819</v>
      </c>
      <c r="H6" s="23">
        <f>SUM(D6:G6)</f>
        <v>-751357.89538950077</v>
      </c>
    </row>
    <row r="8" spans="2:29" x14ac:dyDescent="0.35">
      <c r="B8" s="38"/>
      <c r="C8" s="38"/>
      <c r="D8" s="38"/>
      <c r="G8"/>
      <c r="U8" s="3"/>
      <c r="V8" s="3"/>
      <c r="W8" s="3"/>
      <c r="X8" s="3"/>
      <c r="Y8" s="3"/>
      <c r="Z8" s="3"/>
      <c r="AA8" s="3"/>
      <c r="AB8" s="3"/>
      <c r="AC8" s="3"/>
    </row>
    <row r="9" spans="2:29" x14ac:dyDescent="0.35">
      <c r="B9" s="232" t="s">
        <v>89</v>
      </c>
      <c r="C9" s="233"/>
      <c r="D9" s="233"/>
      <c r="E9" s="233"/>
      <c r="F9" s="233"/>
      <c r="G9" s="233"/>
      <c r="H9" s="234"/>
    </row>
    <row r="10" spans="2:29" x14ac:dyDescent="0.35">
      <c r="B10" s="114" t="s">
        <v>104</v>
      </c>
      <c r="G10"/>
    </row>
    <row r="11" spans="2:29" x14ac:dyDescent="0.35">
      <c r="G11"/>
    </row>
    <row r="12" spans="2:29" x14ac:dyDescent="0.35">
      <c r="E12" s="79">
        <v>2015</v>
      </c>
      <c r="G12"/>
    </row>
    <row r="13" spans="2:29" x14ac:dyDescent="0.35">
      <c r="G13" s="115"/>
    </row>
    <row r="14" spans="2:29" x14ac:dyDescent="0.35">
      <c r="B14" t="s">
        <v>76</v>
      </c>
      <c r="E14" s="80">
        <v>18216173.602144424</v>
      </c>
      <c r="G14"/>
      <c r="J14" s="81"/>
    </row>
    <row r="15" spans="2:29" x14ac:dyDescent="0.35">
      <c r="E15" s="82"/>
      <c r="G15"/>
    </row>
    <row r="16" spans="2:29" x14ac:dyDescent="0.35">
      <c r="B16" t="s">
        <v>77</v>
      </c>
      <c r="E16" s="80">
        <v>4503886.2450570464</v>
      </c>
      <c r="G16"/>
    </row>
    <row r="17" spans="2:7" x14ac:dyDescent="0.35">
      <c r="B17" s="83" t="s">
        <v>78</v>
      </c>
      <c r="E17" s="219">
        <v>13967863.408237198</v>
      </c>
      <c r="G17"/>
    </row>
    <row r="18" spans="2:7" x14ac:dyDescent="0.35">
      <c r="B18" s="83"/>
      <c r="E18" s="80"/>
      <c r="G18"/>
    </row>
    <row r="19" spans="2:7" x14ac:dyDescent="0.35">
      <c r="B19" s="85" t="s">
        <v>79</v>
      </c>
      <c r="E19" s="86">
        <f>SUM(E16:E18)</f>
        <v>18471749.653294243</v>
      </c>
      <c r="G19"/>
    </row>
    <row r="20" spans="2:7" x14ac:dyDescent="0.35">
      <c r="B20" s="83"/>
      <c r="E20" s="80"/>
      <c r="G20"/>
    </row>
    <row r="21" spans="2:7" ht="15" thickBot="1" x14ac:dyDescent="0.4">
      <c r="B21" s="88" t="s">
        <v>80</v>
      </c>
      <c r="E21" s="89">
        <f>E14-E19</f>
        <v>-255576.05114981905</v>
      </c>
      <c r="G21"/>
    </row>
    <row r="22" spans="2:7" ht="15" thickTop="1" x14ac:dyDescent="0.35">
      <c r="E22" s="80"/>
      <c r="G22"/>
    </row>
    <row r="23" spans="2:7" x14ac:dyDescent="0.35">
      <c r="B23" t="s">
        <v>81</v>
      </c>
      <c r="E23" s="90">
        <v>0</v>
      </c>
      <c r="G23"/>
    </row>
    <row r="24" spans="2:7" x14ac:dyDescent="0.35">
      <c r="E24" s="91"/>
      <c r="G24"/>
    </row>
    <row r="25" spans="2:7" x14ac:dyDescent="0.35">
      <c r="B25" t="s">
        <v>82</v>
      </c>
      <c r="E25" s="92">
        <v>0</v>
      </c>
      <c r="G25"/>
    </row>
    <row r="26" spans="2:7" x14ac:dyDescent="0.35">
      <c r="E26" s="80"/>
      <c r="G26"/>
    </row>
    <row r="27" spans="2:7" ht="15" thickBot="1" x14ac:dyDescent="0.4">
      <c r="B27" s="93" t="s">
        <v>83</v>
      </c>
      <c r="E27" s="89">
        <f>E23-E25</f>
        <v>0</v>
      </c>
      <c r="G27"/>
    </row>
    <row r="28" spans="2:7" ht="15" thickTop="1" x14ac:dyDescent="0.35">
      <c r="B28" s="94"/>
      <c r="E28" s="95"/>
      <c r="G28"/>
    </row>
    <row r="29" spans="2:7" x14ac:dyDescent="0.35">
      <c r="E29" s="80"/>
      <c r="G29"/>
    </row>
    <row r="30" spans="2:7" x14ac:dyDescent="0.35">
      <c r="B30" t="s">
        <v>84</v>
      </c>
      <c r="E30" s="80">
        <f>SUM(E21,E27)</f>
        <v>-255576.05114981905</v>
      </c>
      <c r="G30"/>
    </row>
    <row r="31" spans="2:7" x14ac:dyDescent="0.35">
      <c r="E31" s="80"/>
      <c r="G31"/>
    </row>
    <row r="32" spans="2:7" x14ac:dyDescent="0.35">
      <c r="B32" t="s">
        <v>85</v>
      </c>
      <c r="E32" s="96">
        <v>-5540.97</v>
      </c>
      <c r="G32"/>
    </row>
    <row r="33" spans="2:9" x14ac:dyDescent="0.35">
      <c r="E33" s="80"/>
      <c r="F33" s="18"/>
      <c r="G33"/>
    </row>
    <row r="34" spans="2:9" x14ac:dyDescent="0.35">
      <c r="B34" t="s">
        <v>86</v>
      </c>
      <c r="E34" s="80">
        <f>SUM(E30:E32)</f>
        <v>-261117.02114981905</v>
      </c>
      <c r="G34"/>
    </row>
    <row r="35" spans="2:9" x14ac:dyDescent="0.35">
      <c r="E35" s="80"/>
      <c r="G35"/>
    </row>
    <row r="36" spans="2:9" x14ac:dyDescent="0.35">
      <c r="B36" t="s">
        <v>87</v>
      </c>
      <c r="E36" s="87">
        <v>409495.44</v>
      </c>
      <c r="G36"/>
    </row>
    <row r="37" spans="2:9" x14ac:dyDescent="0.35">
      <c r="E37" s="80"/>
      <c r="G37"/>
    </row>
    <row r="38" spans="2:9" ht="15" thickBot="1" x14ac:dyDescent="0.4">
      <c r="B38" s="97" t="s">
        <v>88</v>
      </c>
      <c r="E38" s="89">
        <f>SUM(E34:E36)</f>
        <v>148378.41885018095</v>
      </c>
      <c r="G38"/>
    </row>
    <row r="39" spans="2:9" ht="15" thickTop="1" x14ac:dyDescent="0.35">
      <c r="G39"/>
    </row>
    <row r="40" spans="2:9" x14ac:dyDescent="0.35">
      <c r="E40" s="98"/>
      <c r="G40"/>
    </row>
    <row r="41" spans="2:9" x14ac:dyDescent="0.35">
      <c r="C41" s="98"/>
      <c r="G41"/>
    </row>
    <row r="42" spans="2:9" x14ac:dyDescent="0.35">
      <c r="B42" s="232" t="s">
        <v>52</v>
      </c>
      <c r="C42" s="233"/>
      <c r="D42" s="233"/>
      <c r="E42" s="233"/>
      <c r="F42" s="233"/>
      <c r="G42" s="233"/>
      <c r="H42" s="234"/>
    </row>
    <row r="44" spans="2:9" s="20" customFormat="1" ht="29" x14ac:dyDescent="0.35">
      <c r="F44" s="21" t="s">
        <v>54</v>
      </c>
      <c r="G44" s="22" t="s">
        <v>53</v>
      </c>
      <c r="H44" s="22" t="s">
        <v>51</v>
      </c>
    </row>
    <row r="45" spans="2:9" x14ac:dyDescent="0.35">
      <c r="C45" s="8" t="s">
        <v>7</v>
      </c>
      <c r="D45" s="18" t="s">
        <v>8</v>
      </c>
      <c r="E45" s="18"/>
      <c r="F45" s="6">
        <v>-1413554.06</v>
      </c>
      <c r="G45" s="99"/>
      <c r="I45" t="s">
        <v>178</v>
      </c>
    </row>
    <row r="46" spans="2:9" x14ac:dyDescent="0.35">
      <c r="C46" s="8" t="s">
        <v>9</v>
      </c>
      <c r="D46" s="18" t="s">
        <v>10</v>
      </c>
      <c r="E46" s="18"/>
      <c r="F46" s="6">
        <v>0</v>
      </c>
      <c r="G46" s="99"/>
    </row>
    <row r="47" spans="2:9" x14ac:dyDescent="0.35">
      <c r="C47" s="8" t="s">
        <v>11</v>
      </c>
      <c r="D47" s="18" t="s">
        <v>12</v>
      </c>
      <c r="E47" s="18"/>
      <c r="F47" s="6">
        <v>-351.37</v>
      </c>
      <c r="G47" s="99"/>
    </row>
    <row r="48" spans="2:9" x14ac:dyDescent="0.35">
      <c r="C48" s="8" t="s">
        <v>13</v>
      </c>
      <c r="D48" s="18" t="s">
        <v>14</v>
      </c>
      <c r="E48" s="18"/>
      <c r="F48" s="6">
        <v>-799.88</v>
      </c>
      <c r="G48" s="99"/>
    </row>
    <row r="49" spans="3:8" x14ac:dyDescent="0.35">
      <c r="C49" s="8" t="s">
        <v>15</v>
      </c>
      <c r="D49" s="18" t="s">
        <v>16</v>
      </c>
      <c r="E49" s="18"/>
      <c r="F49" s="6">
        <v>-67384.990000000005</v>
      </c>
      <c r="G49" s="99"/>
    </row>
    <row r="50" spans="3:8" x14ac:dyDescent="0.35">
      <c r="C50" s="8" t="s">
        <v>17</v>
      </c>
      <c r="D50" s="18" t="s">
        <v>18</v>
      </c>
      <c r="E50" s="18"/>
      <c r="F50" s="6">
        <v>-265327.15999999997</v>
      </c>
      <c r="G50" s="99"/>
    </row>
    <row r="51" spans="3:8" x14ac:dyDescent="0.35">
      <c r="C51" s="8" t="s">
        <v>19</v>
      </c>
      <c r="D51" s="18" t="s">
        <v>20</v>
      </c>
      <c r="E51" s="18"/>
      <c r="F51" s="6">
        <v>-3904.53</v>
      </c>
      <c r="G51" s="99"/>
    </row>
    <row r="52" spans="3:8" x14ac:dyDescent="0.35">
      <c r="C52" s="8" t="s">
        <v>21</v>
      </c>
      <c r="D52" s="18" t="s">
        <v>22</v>
      </c>
      <c r="E52" s="18"/>
      <c r="F52" s="6">
        <v>-18969.46</v>
      </c>
      <c r="G52" s="99"/>
    </row>
    <row r="53" spans="3:8" x14ac:dyDescent="0.35">
      <c r="C53" s="8" t="s">
        <v>23</v>
      </c>
      <c r="D53" s="14" t="s">
        <v>24</v>
      </c>
      <c r="E53" s="18"/>
      <c r="F53" s="16">
        <v>0</v>
      </c>
      <c r="G53" s="99"/>
    </row>
    <row r="54" spans="3:8" x14ac:dyDescent="0.35">
      <c r="C54" s="18"/>
      <c r="D54" s="18" t="s">
        <v>25</v>
      </c>
      <c r="E54" s="18"/>
      <c r="F54" s="15">
        <v>0</v>
      </c>
      <c r="G54" s="99"/>
    </row>
    <row r="55" spans="3:8" x14ac:dyDescent="0.35">
      <c r="C55" s="18"/>
      <c r="D55" s="10" t="s">
        <v>26</v>
      </c>
      <c r="E55" s="18"/>
      <c r="F55" s="5">
        <f>SUM(F45:F54)</f>
        <v>-1770291.45</v>
      </c>
      <c r="G55" s="5">
        <v>-2466974.3072134</v>
      </c>
      <c r="H55" s="19">
        <f>F55-G55</f>
        <v>696682.85721340007</v>
      </c>
    </row>
    <row r="56" spans="3:8" x14ac:dyDescent="0.35">
      <c r="C56" s="18"/>
      <c r="D56" s="10"/>
      <c r="E56" s="18"/>
      <c r="F56" s="12"/>
      <c r="H56" s="105"/>
    </row>
    <row r="57" spans="3:8" x14ac:dyDescent="0.35">
      <c r="C57" s="18"/>
      <c r="D57" s="8"/>
      <c r="E57" s="18"/>
      <c r="F57" s="9"/>
      <c r="H57" s="105"/>
    </row>
    <row r="58" spans="3:8" x14ac:dyDescent="0.35">
      <c r="C58" s="8" t="s">
        <v>39</v>
      </c>
      <c r="D58" s="18" t="s">
        <v>40</v>
      </c>
      <c r="E58" s="18"/>
      <c r="F58" s="6">
        <v>0</v>
      </c>
      <c r="G58" s="99"/>
      <c r="H58" s="105"/>
    </row>
    <row r="59" spans="3:8" x14ac:dyDescent="0.35">
      <c r="C59" s="8" t="s">
        <v>41</v>
      </c>
      <c r="D59" s="18" t="s">
        <v>42</v>
      </c>
      <c r="E59" s="18"/>
      <c r="F59" s="6">
        <v>0</v>
      </c>
      <c r="G59" s="99"/>
      <c r="H59" s="105"/>
    </row>
    <row r="60" spans="3:8" x14ac:dyDescent="0.35">
      <c r="C60" s="8" t="s">
        <v>43</v>
      </c>
      <c r="D60" s="18" t="s">
        <v>44</v>
      </c>
      <c r="E60" s="18"/>
      <c r="F60" s="6">
        <v>-522630.68</v>
      </c>
      <c r="G60" s="99"/>
      <c r="H60" s="105"/>
    </row>
    <row r="61" spans="3:8" x14ac:dyDescent="0.35">
      <c r="C61" s="8" t="s">
        <v>45</v>
      </c>
      <c r="D61" s="18" t="s">
        <v>46</v>
      </c>
      <c r="E61" s="18"/>
      <c r="F61" s="6">
        <v>0</v>
      </c>
      <c r="G61" s="99"/>
      <c r="H61" s="105"/>
    </row>
    <row r="62" spans="3:8" x14ac:dyDescent="0.35">
      <c r="C62" s="8" t="s">
        <v>47</v>
      </c>
      <c r="D62" s="18" t="s">
        <v>48</v>
      </c>
      <c r="E62" s="18"/>
      <c r="F62" s="6">
        <v>-202431.52000000002</v>
      </c>
      <c r="G62" s="99"/>
      <c r="H62" s="105"/>
    </row>
    <row r="63" spans="3:8" x14ac:dyDescent="0.35">
      <c r="C63" s="18"/>
      <c r="D63" s="18" t="s">
        <v>25</v>
      </c>
      <c r="E63" s="18"/>
      <c r="F63" s="6">
        <v>0</v>
      </c>
      <c r="G63" s="99"/>
      <c r="H63" s="105"/>
    </row>
    <row r="64" spans="3:8" x14ac:dyDescent="0.35">
      <c r="C64" s="11"/>
      <c r="D64" s="18" t="s">
        <v>49</v>
      </c>
      <c r="E64" s="18"/>
      <c r="F64" s="5">
        <f>SUM(F58:F63)</f>
        <v>-725062.2</v>
      </c>
      <c r="G64" s="220">
        <v>0</v>
      </c>
      <c r="H64" s="19">
        <f>F64-G64</f>
        <v>-725062.2</v>
      </c>
    </row>
    <row r="65" spans="3:8" x14ac:dyDescent="0.35">
      <c r="C65" s="11"/>
      <c r="D65" s="18"/>
      <c r="E65" s="18"/>
      <c r="F65" s="6"/>
      <c r="H65" s="105"/>
    </row>
    <row r="66" spans="3:8" x14ac:dyDescent="0.35">
      <c r="C66" s="11"/>
      <c r="D66" s="18"/>
      <c r="E66" s="18" t="s">
        <v>50</v>
      </c>
      <c r="F66" s="5">
        <f>F55+F64</f>
        <v>-2495353.65</v>
      </c>
      <c r="G66" s="5">
        <f>G55+G64</f>
        <v>-2466974.3072134</v>
      </c>
      <c r="H66" s="19">
        <f>F66-G66</f>
        <v>-28379.342786599882</v>
      </c>
    </row>
    <row r="67" spans="3:8" x14ac:dyDescent="0.35">
      <c r="C67" s="11"/>
      <c r="D67" s="18"/>
      <c r="E67" s="18"/>
      <c r="F67" s="6"/>
      <c r="G67" s="6"/>
      <c r="H67" s="6"/>
    </row>
    <row r="68" spans="3:8" x14ac:dyDescent="0.35">
      <c r="C68" s="11"/>
      <c r="D68" s="18"/>
      <c r="E68" s="18"/>
      <c r="F68" s="6"/>
      <c r="G68" s="6"/>
      <c r="H68" s="6"/>
    </row>
    <row r="69" spans="3:8" x14ac:dyDescent="0.35">
      <c r="C69" s="11"/>
      <c r="D69" s="18"/>
      <c r="E69" s="18"/>
      <c r="F69" s="6"/>
      <c r="G69" s="6"/>
      <c r="H69" s="100"/>
    </row>
    <row r="70" spans="3:8" x14ac:dyDescent="0.35">
      <c r="C70" s="8" t="s">
        <v>27</v>
      </c>
      <c r="D70" s="18" t="s">
        <v>28</v>
      </c>
      <c r="E70" s="18"/>
      <c r="F70" s="5">
        <v>-141754.95000000001</v>
      </c>
      <c r="G70" s="5">
        <v>-126252.527273457</v>
      </c>
      <c r="H70" s="19">
        <f>F70-G70</f>
        <v>-15502.422726543009</v>
      </c>
    </row>
    <row r="71" spans="3:8" x14ac:dyDescent="0.35">
      <c r="C71" s="18"/>
      <c r="D71" s="18"/>
      <c r="E71" s="18"/>
      <c r="F71" s="12"/>
      <c r="G71" s="12"/>
      <c r="H71" s="101"/>
    </row>
    <row r="72" spans="3:8" x14ac:dyDescent="0.35">
      <c r="C72" s="18"/>
      <c r="D72" s="18"/>
      <c r="E72" s="18"/>
      <c r="F72" s="9"/>
      <c r="G72" s="9"/>
      <c r="H72" s="102"/>
    </row>
    <row r="73" spans="3:8" x14ac:dyDescent="0.35">
      <c r="C73" s="8" t="s">
        <v>29</v>
      </c>
      <c r="D73" s="18" t="s">
        <v>30</v>
      </c>
      <c r="E73" s="18"/>
      <c r="F73" s="13"/>
      <c r="G73" s="13"/>
      <c r="H73" s="19">
        <f>F73-G73</f>
        <v>0</v>
      </c>
    </row>
    <row r="74" spans="3:8" x14ac:dyDescent="0.35">
      <c r="C74" s="18"/>
      <c r="D74" s="18"/>
      <c r="E74" s="18"/>
      <c r="F74" s="12"/>
      <c r="G74" s="12"/>
      <c r="H74" s="101"/>
    </row>
    <row r="75" spans="3:8" x14ac:dyDescent="0.35">
      <c r="C75" s="18"/>
      <c r="D75" s="18"/>
      <c r="E75" s="18"/>
      <c r="F75" s="9"/>
      <c r="G75" s="9"/>
      <c r="H75" s="102"/>
    </row>
    <row r="76" spans="3:8" x14ac:dyDescent="0.35">
      <c r="C76" s="8" t="s">
        <v>31</v>
      </c>
      <c r="D76" s="18" t="s">
        <v>32</v>
      </c>
      <c r="E76" s="18"/>
      <c r="F76" s="5">
        <v>-153489.22</v>
      </c>
      <c r="G76" s="5">
        <v>-136765.65</v>
      </c>
      <c r="H76" s="19">
        <f>F76-G76</f>
        <v>-16723.570000000007</v>
      </c>
    </row>
    <row r="77" spans="3:8" x14ac:dyDescent="0.35">
      <c r="C77" s="18"/>
      <c r="D77" s="18"/>
      <c r="E77" s="18"/>
      <c r="F77" s="16"/>
      <c r="G77" s="16"/>
      <c r="H77" s="103"/>
    </row>
    <row r="78" spans="3:8" x14ac:dyDescent="0.35">
      <c r="C78" s="18"/>
      <c r="D78" s="18"/>
      <c r="E78" s="18"/>
      <c r="F78" s="15"/>
      <c r="G78" s="15"/>
      <c r="H78" s="104"/>
    </row>
    <row r="79" spans="3:8" x14ac:dyDescent="0.35">
      <c r="C79" s="8" t="s">
        <v>33</v>
      </c>
      <c r="D79" s="18" t="s">
        <v>34</v>
      </c>
      <c r="E79" s="18"/>
      <c r="F79" s="5">
        <v>-109367.27</v>
      </c>
      <c r="G79" s="5">
        <v>-97432.68</v>
      </c>
      <c r="H79" s="19">
        <f>F79-G79</f>
        <v>-11934.590000000011</v>
      </c>
    </row>
    <row r="80" spans="3:8" x14ac:dyDescent="0.35">
      <c r="C80" s="18"/>
      <c r="D80" s="18"/>
      <c r="E80" s="18"/>
      <c r="F80" s="16"/>
      <c r="G80" s="16"/>
      <c r="H80" s="103"/>
    </row>
    <row r="81" spans="2:29" x14ac:dyDescent="0.35">
      <c r="C81" s="18"/>
      <c r="D81" s="18"/>
      <c r="E81" s="18"/>
      <c r="F81" s="16"/>
      <c r="G81" s="16"/>
      <c r="H81" s="103"/>
    </row>
    <row r="82" spans="2:29" x14ac:dyDescent="0.35">
      <c r="C82" s="8" t="s">
        <v>35</v>
      </c>
      <c r="D82" s="18" t="s">
        <v>36</v>
      </c>
      <c r="E82" s="18"/>
      <c r="F82" s="5">
        <v>-49338.06</v>
      </c>
      <c r="G82" s="5">
        <v>-43944.959999999999</v>
      </c>
      <c r="H82" s="19">
        <f>F82-G82</f>
        <v>-5393.0999999999985</v>
      </c>
    </row>
    <row r="83" spans="2:29" x14ac:dyDescent="0.35">
      <c r="C83" s="18"/>
      <c r="D83" s="18"/>
      <c r="E83" s="18"/>
      <c r="F83" s="16"/>
      <c r="G83" s="16"/>
      <c r="H83" s="103"/>
    </row>
    <row r="84" spans="2:29" x14ac:dyDescent="0.35">
      <c r="C84" s="17" t="s">
        <v>37</v>
      </c>
      <c r="D84" s="14" t="s">
        <v>38</v>
      </c>
      <c r="E84" s="14"/>
      <c r="F84" s="5">
        <v>-12659.75</v>
      </c>
      <c r="G84" s="5">
        <v>-12658.57</v>
      </c>
      <c r="H84" s="19">
        <f>F84-G84</f>
        <v>-1.180000000000291</v>
      </c>
    </row>
    <row r="85" spans="2:29" x14ac:dyDescent="0.35">
      <c r="C85" s="18"/>
      <c r="D85" s="18"/>
      <c r="E85" s="18"/>
      <c r="F85" s="16"/>
      <c r="H85" s="105"/>
    </row>
    <row r="86" spans="2:29" x14ac:dyDescent="0.35">
      <c r="C86" s="18"/>
      <c r="D86" s="18"/>
      <c r="E86" s="18"/>
      <c r="F86" s="15"/>
    </row>
    <row r="87" spans="2:29" x14ac:dyDescent="0.35">
      <c r="B87" s="232" t="s">
        <v>75</v>
      </c>
      <c r="C87" s="233"/>
      <c r="D87" s="233"/>
      <c r="E87" s="233"/>
      <c r="F87" s="233"/>
      <c r="G87" s="233"/>
      <c r="H87" s="234"/>
    </row>
    <row r="88" spans="2:29" ht="15" thickBot="1" x14ac:dyDescent="0.4"/>
    <row r="89" spans="2:29" ht="116.5" thickTop="1" x14ac:dyDescent="0.35">
      <c r="B89" s="68" t="s">
        <v>60</v>
      </c>
      <c r="C89" s="69" t="s">
        <v>61</v>
      </c>
      <c r="D89" s="70" t="s">
        <v>62</v>
      </c>
      <c r="E89" s="69" t="s">
        <v>63</v>
      </c>
      <c r="F89" s="71" t="s">
        <v>64</v>
      </c>
      <c r="G89" s="72" t="s">
        <v>65</v>
      </c>
      <c r="H89" s="70" t="s">
        <v>66</v>
      </c>
      <c r="I89" s="70" t="s">
        <v>67</v>
      </c>
      <c r="J89" s="73" t="s">
        <v>68</v>
      </c>
      <c r="K89" s="69" t="s">
        <v>69</v>
      </c>
      <c r="L89" s="70" t="s">
        <v>70</v>
      </c>
      <c r="M89" s="74" t="s">
        <v>71</v>
      </c>
      <c r="N89" s="75"/>
      <c r="O89" s="76"/>
      <c r="P89" s="70" t="s">
        <v>72</v>
      </c>
      <c r="Q89" s="72" t="s">
        <v>73</v>
      </c>
      <c r="R89" s="71" t="s">
        <v>74</v>
      </c>
      <c r="S89" s="77" t="s">
        <v>68</v>
      </c>
      <c r="U89" s="3"/>
      <c r="V89" s="3"/>
      <c r="W89" s="3"/>
      <c r="X89" s="3"/>
      <c r="Y89" s="3"/>
      <c r="Z89" s="3"/>
      <c r="AA89" s="3"/>
      <c r="AB89" s="3"/>
      <c r="AC89" s="3"/>
    </row>
    <row r="90" spans="2:29" x14ac:dyDescent="0.35">
      <c r="B90" s="24">
        <v>42005</v>
      </c>
      <c r="C90" s="25">
        <v>-1367683.43</v>
      </c>
      <c r="D90" s="26">
        <v>0</v>
      </c>
      <c r="E90" s="25">
        <v>-1367683.43</v>
      </c>
      <c r="F90" s="27">
        <v>-1266374.67</v>
      </c>
      <c r="G90" s="28">
        <v>101308.76000000001</v>
      </c>
      <c r="H90" s="29">
        <v>-162228.10999999999</v>
      </c>
      <c r="I90" s="29">
        <v>-302330.81</v>
      </c>
      <c r="J90" s="30">
        <v>-363250.16</v>
      </c>
      <c r="K90" s="25">
        <v>-363250.16</v>
      </c>
      <c r="L90" s="29">
        <v>0</v>
      </c>
      <c r="M90" s="37">
        <v>0</v>
      </c>
      <c r="N90" s="32"/>
      <c r="O90" s="33"/>
      <c r="P90" s="29">
        <v>-1494645.3799999997</v>
      </c>
      <c r="Q90" s="28">
        <v>-340672.75407199975</v>
      </c>
      <c r="R90" s="27">
        <v>-1153972.6259279998</v>
      </c>
      <c r="S90" s="34">
        <v>-363250.16</v>
      </c>
      <c r="V90" s="3"/>
      <c r="W90" s="3"/>
      <c r="X90" s="3"/>
      <c r="Y90" s="3"/>
      <c r="Z90" s="3"/>
      <c r="AA90" s="3"/>
      <c r="AB90" s="3"/>
      <c r="AC90" s="3"/>
    </row>
    <row r="91" spans="2:29" x14ac:dyDescent="0.35">
      <c r="B91" s="24">
        <v>42036</v>
      </c>
      <c r="C91" s="25">
        <v>-1018944.99</v>
      </c>
      <c r="D91" s="26">
        <v>0</v>
      </c>
      <c r="E91" s="25">
        <v>-1018944.99</v>
      </c>
      <c r="F91" s="27">
        <v>-775148.41</v>
      </c>
      <c r="G91" s="28">
        <v>243796.57999999996</v>
      </c>
      <c r="H91" s="29">
        <v>-132759.59</v>
      </c>
      <c r="I91" s="29">
        <v>-262225.32</v>
      </c>
      <c r="J91" s="30">
        <v>-151188.33000000005</v>
      </c>
      <c r="K91" s="25">
        <v>-514438.49</v>
      </c>
      <c r="L91" s="29">
        <v>363250.16</v>
      </c>
      <c r="M91" s="37">
        <v>0</v>
      </c>
      <c r="N91" s="32"/>
      <c r="O91" s="33"/>
      <c r="P91" s="29">
        <v>-1790845.76</v>
      </c>
      <c r="Q91" s="28">
        <v>-249041.21576680068</v>
      </c>
      <c r="R91" s="27">
        <v>-1541804.5442331992</v>
      </c>
      <c r="S91" s="34">
        <v>-514438.49</v>
      </c>
      <c r="V91" s="3"/>
      <c r="W91" s="3"/>
      <c r="X91" s="3"/>
      <c r="Y91" s="3"/>
      <c r="Z91" s="3"/>
      <c r="AA91" s="3"/>
      <c r="AB91" s="3"/>
      <c r="AC91" s="3"/>
    </row>
    <row r="92" spans="2:29" x14ac:dyDescent="0.35">
      <c r="B92" s="24">
        <v>42064</v>
      </c>
      <c r="C92" s="25">
        <v>-1480213.61</v>
      </c>
      <c r="D92" s="26">
        <v>0</v>
      </c>
      <c r="E92" s="25">
        <v>-1480213.61</v>
      </c>
      <c r="F92" s="27">
        <v>-976560.31</v>
      </c>
      <c r="G92" s="28">
        <v>503653.30000000005</v>
      </c>
      <c r="H92" s="29">
        <v>-147871.60999999999</v>
      </c>
      <c r="I92" s="29">
        <v>-290385.98</v>
      </c>
      <c r="J92" s="30">
        <v>65395.710000000079</v>
      </c>
      <c r="K92" s="25">
        <v>-449042.78</v>
      </c>
      <c r="L92" s="29">
        <v>514438.49</v>
      </c>
      <c r="M92" s="37">
        <v>0</v>
      </c>
      <c r="N92" s="32"/>
      <c r="O92" s="33"/>
      <c r="P92" s="29">
        <v>-853382.93999999925</v>
      </c>
      <c r="Q92" s="28">
        <v>-402453.23857199901</v>
      </c>
      <c r="R92" s="27">
        <v>-450929.70142800023</v>
      </c>
      <c r="S92" s="34">
        <v>-449042.78</v>
      </c>
      <c r="V92" s="3"/>
      <c r="W92" s="3"/>
      <c r="X92" s="3"/>
      <c r="Y92" s="3"/>
      <c r="Z92" s="3"/>
      <c r="AA92" s="3"/>
      <c r="AB92" s="3"/>
      <c r="AC92" s="3"/>
    </row>
    <row r="93" spans="2:29" x14ac:dyDescent="0.35">
      <c r="B93" s="24">
        <v>42095</v>
      </c>
      <c r="C93" s="25">
        <v>-1823768.32</v>
      </c>
      <c r="D93" s="26">
        <v>710.03</v>
      </c>
      <c r="E93" s="25">
        <v>-1823058.29</v>
      </c>
      <c r="F93" s="27">
        <v>-1200190.6399999999</v>
      </c>
      <c r="G93" s="28">
        <v>623577.68000000017</v>
      </c>
      <c r="H93" s="29">
        <v>-74442.11</v>
      </c>
      <c r="I93" s="29">
        <v>-166029.76999999999</v>
      </c>
      <c r="J93" s="30">
        <v>383105.80000000016</v>
      </c>
      <c r="K93" s="25">
        <v>-65936.98</v>
      </c>
      <c r="L93" s="29">
        <v>449042.78</v>
      </c>
      <c r="M93" s="37">
        <v>0</v>
      </c>
      <c r="N93" s="32"/>
      <c r="O93" s="33"/>
      <c r="P93" s="29">
        <v>-1279253.8800000006</v>
      </c>
      <c r="Q93" s="28">
        <v>-532845.4978483998</v>
      </c>
      <c r="R93" s="27">
        <v>-746408.38215160079</v>
      </c>
      <c r="S93" s="34">
        <v>-65936.98</v>
      </c>
      <c r="V93" s="3"/>
      <c r="W93" s="3"/>
      <c r="X93" s="3"/>
      <c r="Y93" s="3"/>
      <c r="Z93" s="3"/>
      <c r="AA93" s="3"/>
      <c r="AB93" s="3"/>
      <c r="AC93" s="3"/>
    </row>
    <row r="94" spans="2:29" x14ac:dyDescent="0.35">
      <c r="B94" s="24">
        <v>42125</v>
      </c>
      <c r="C94" s="25">
        <v>-1780475.28</v>
      </c>
      <c r="D94" s="26">
        <v>5598.95</v>
      </c>
      <c r="E94" s="25">
        <v>-1774876.33</v>
      </c>
      <c r="F94" s="27">
        <v>-1205055.7</v>
      </c>
      <c r="G94" s="28">
        <v>575419.58000000007</v>
      </c>
      <c r="H94" s="29">
        <v>-111646.83</v>
      </c>
      <c r="I94" s="29">
        <v>-260717.12</v>
      </c>
      <c r="J94" s="30">
        <v>203055.63000000006</v>
      </c>
      <c r="K94" s="25">
        <v>137118.65</v>
      </c>
      <c r="L94" s="29">
        <v>65936.98</v>
      </c>
      <c r="M94" s="37">
        <v>0</v>
      </c>
      <c r="N94" s="32"/>
      <c r="O94" s="33"/>
      <c r="P94" s="29">
        <v>-1726868.4599999997</v>
      </c>
      <c r="Q94" s="28">
        <v>-558953.23309840041</v>
      </c>
      <c r="R94" s="27">
        <v>-1167915.2269015992</v>
      </c>
      <c r="S94" s="34">
        <v>137118.65</v>
      </c>
      <c r="V94" s="3"/>
      <c r="W94" s="3"/>
      <c r="X94" s="3"/>
      <c r="Y94" s="3"/>
      <c r="Z94" s="3"/>
      <c r="AA94" s="3"/>
      <c r="AB94" s="3"/>
      <c r="AC94" s="3"/>
    </row>
    <row r="95" spans="2:29" x14ac:dyDescent="0.35">
      <c r="B95" s="24">
        <v>42156</v>
      </c>
      <c r="C95" s="25">
        <v>-1770360.13</v>
      </c>
      <c r="D95" s="26">
        <v>5502.72</v>
      </c>
      <c r="E95" s="25">
        <v>-1764857.41</v>
      </c>
      <c r="F95" s="27">
        <v>-1208784.8500000001</v>
      </c>
      <c r="G95" s="28">
        <v>561575.2799999998</v>
      </c>
      <c r="H95" s="29">
        <v>-160488.51999999999</v>
      </c>
      <c r="I95" s="29">
        <v>-384774.05</v>
      </c>
      <c r="J95" s="30">
        <v>16312.709999999788</v>
      </c>
      <c r="K95" s="25">
        <v>153431.35999999999</v>
      </c>
      <c r="L95" s="29">
        <v>-137118.65</v>
      </c>
      <c r="M95" s="37">
        <v>0</v>
      </c>
      <c r="N95" s="32"/>
      <c r="O95" s="33"/>
      <c r="P95" s="29">
        <v>-1697393.7900000005</v>
      </c>
      <c r="Q95" s="28">
        <v>-569269.16375399975</v>
      </c>
      <c r="R95" s="27">
        <v>-1128124.6262460006</v>
      </c>
      <c r="S95" s="34">
        <v>153431.35999999999</v>
      </c>
      <c r="V95" s="3"/>
      <c r="W95" s="3"/>
      <c r="X95" s="3"/>
      <c r="Y95" s="3"/>
      <c r="Z95" s="3"/>
      <c r="AA95" s="3"/>
      <c r="AB95" s="3"/>
      <c r="AC95" s="3"/>
    </row>
    <row r="96" spans="2:29" x14ac:dyDescent="0.35">
      <c r="B96" s="24">
        <v>42186</v>
      </c>
      <c r="C96" s="25">
        <v>-1751314.01</v>
      </c>
      <c r="D96" s="26">
        <v>11110.55</v>
      </c>
      <c r="E96" s="25">
        <v>-1740203.46</v>
      </c>
      <c r="F96" s="27">
        <v>-1322643.4099999999</v>
      </c>
      <c r="G96" s="28">
        <v>428670.60000000009</v>
      </c>
      <c r="H96" s="29">
        <v>-147289.74</v>
      </c>
      <c r="I96" s="29">
        <v>-397439.52</v>
      </c>
      <c r="J96" s="30">
        <v>-116058.65999999992</v>
      </c>
      <c r="K96" s="25">
        <v>37372.699999999997</v>
      </c>
      <c r="L96" s="29">
        <v>-153431.35999999999</v>
      </c>
      <c r="M96" s="37">
        <v>0</v>
      </c>
      <c r="N96" s="32"/>
      <c r="O96" s="33"/>
      <c r="P96" s="29">
        <v>-1948929.8800000011</v>
      </c>
      <c r="Q96" s="28">
        <v>-498452.35681920085</v>
      </c>
      <c r="R96" s="27">
        <v>-1450477.5231808003</v>
      </c>
      <c r="S96" s="34">
        <v>37372.699999999997</v>
      </c>
      <c r="V96" s="3"/>
      <c r="W96" s="3"/>
      <c r="X96" s="3"/>
      <c r="Y96" s="3"/>
      <c r="Z96" s="3"/>
      <c r="AA96" s="3"/>
      <c r="AB96" s="3"/>
      <c r="AC96" s="3"/>
    </row>
    <row r="97" spans="2:29" x14ac:dyDescent="0.35">
      <c r="B97" s="24">
        <v>42217</v>
      </c>
      <c r="C97" s="25">
        <v>-1705014.9300000002</v>
      </c>
      <c r="D97" s="26">
        <v>10639.58</v>
      </c>
      <c r="E97" s="25">
        <v>-1694375.35</v>
      </c>
      <c r="F97" s="27">
        <v>-1059351.44</v>
      </c>
      <c r="G97" s="28">
        <v>645663.49000000022</v>
      </c>
      <c r="H97" s="29">
        <v>-162079.07999999999</v>
      </c>
      <c r="I97" s="29">
        <v>-397139.19</v>
      </c>
      <c r="J97" s="30">
        <v>86445.220000000263</v>
      </c>
      <c r="K97" s="25">
        <v>123817.92</v>
      </c>
      <c r="L97" s="29">
        <v>-37372.699999999997</v>
      </c>
      <c r="M97" s="37">
        <v>2.6193447411060333E-10</v>
      </c>
      <c r="N97" s="32"/>
      <c r="O97" s="33"/>
      <c r="P97" s="29">
        <v>-1842962.47</v>
      </c>
      <c r="Q97" s="28">
        <v>-504167.16057299997</v>
      </c>
      <c r="R97" s="27">
        <v>-1338795.3094270001</v>
      </c>
      <c r="S97" s="34">
        <v>123817.92</v>
      </c>
      <c r="V97" s="3"/>
      <c r="W97" s="3"/>
      <c r="X97" s="3"/>
      <c r="Y97" s="3"/>
      <c r="Z97" s="3"/>
      <c r="AA97" s="3"/>
      <c r="AB97" s="3"/>
      <c r="AC97" s="3"/>
    </row>
    <row r="98" spans="2:29" x14ac:dyDescent="0.35">
      <c r="B98" s="24">
        <v>42248</v>
      </c>
      <c r="C98" s="25">
        <v>-1356202.52</v>
      </c>
      <c r="D98" s="26">
        <v>9087.83</v>
      </c>
      <c r="E98" s="25">
        <v>-1347114.69</v>
      </c>
      <c r="F98" s="27">
        <v>-990451.42</v>
      </c>
      <c r="G98" s="28">
        <v>365751.1</v>
      </c>
      <c r="H98" s="29">
        <v>-150787.04</v>
      </c>
      <c r="I98" s="29">
        <v>-412713.48</v>
      </c>
      <c r="J98" s="30">
        <v>-197749.42</v>
      </c>
      <c r="K98" s="25">
        <v>-73931.5</v>
      </c>
      <c r="L98" s="29">
        <v>-123817.92</v>
      </c>
      <c r="M98" s="37">
        <v>0</v>
      </c>
      <c r="N98" s="32"/>
      <c r="O98" s="33"/>
      <c r="P98" s="29">
        <v>-1650860.6900000002</v>
      </c>
      <c r="Q98" s="28">
        <v>-416067.9785446999</v>
      </c>
      <c r="R98" s="27">
        <v>-1234792.7114553002</v>
      </c>
      <c r="S98" s="34">
        <v>-73931.5</v>
      </c>
      <c r="V98" s="3"/>
      <c r="W98" s="3"/>
      <c r="X98" s="3"/>
      <c r="Y98" s="3"/>
      <c r="Z98" s="3"/>
      <c r="AA98" s="3"/>
      <c r="AB98" s="3"/>
      <c r="AC98" s="3"/>
    </row>
    <row r="99" spans="2:29" x14ac:dyDescent="0.35">
      <c r="B99" s="35">
        <v>42278</v>
      </c>
      <c r="C99" s="25">
        <v>-1495037.77</v>
      </c>
      <c r="D99" s="26">
        <v>10850</v>
      </c>
      <c r="E99" s="25">
        <v>-1484187.77</v>
      </c>
      <c r="F99" s="27">
        <v>-956831.1</v>
      </c>
      <c r="G99" s="28">
        <v>538206.67000000004</v>
      </c>
      <c r="H99" s="29">
        <v>-133837.21</v>
      </c>
      <c r="I99" s="29">
        <v>-380896.88</v>
      </c>
      <c r="J99" s="30">
        <v>23472.580000000075</v>
      </c>
      <c r="K99" s="25">
        <v>-50458.92</v>
      </c>
      <c r="L99" s="36">
        <v>73931.5</v>
      </c>
      <c r="M99" s="37">
        <v>0</v>
      </c>
      <c r="N99" s="38"/>
      <c r="O99" s="39"/>
      <c r="P99" s="29">
        <v>-1240326.7200000004</v>
      </c>
      <c r="Q99" s="28">
        <v>-470965.45026559953</v>
      </c>
      <c r="R99" s="27">
        <v>-769361.26973440091</v>
      </c>
      <c r="S99" s="34">
        <v>-50458.92</v>
      </c>
      <c r="V99" s="3"/>
      <c r="W99" s="3"/>
      <c r="X99" s="3"/>
      <c r="Y99" s="3"/>
      <c r="Z99" s="3"/>
      <c r="AA99" s="3"/>
      <c r="AB99" s="3"/>
      <c r="AC99" s="3"/>
    </row>
    <row r="100" spans="2:29" x14ac:dyDescent="0.35">
      <c r="B100" s="35">
        <v>42309</v>
      </c>
      <c r="C100" s="25">
        <v>-2473230.87</v>
      </c>
      <c r="D100" s="26">
        <v>6819.37</v>
      </c>
      <c r="E100" s="25">
        <v>-2466411.5</v>
      </c>
      <c r="F100" s="27">
        <v>-1738498.76</v>
      </c>
      <c r="G100" s="28">
        <v>734732.1100000001</v>
      </c>
      <c r="H100" s="29">
        <v>-105154.01</v>
      </c>
      <c r="I100" s="29">
        <v>-281985.02</v>
      </c>
      <c r="J100" s="30">
        <v>347593.08000000007</v>
      </c>
      <c r="K100" s="25">
        <v>297134.15999999997</v>
      </c>
      <c r="L100" s="36">
        <v>50458.92</v>
      </c>
      <c r="M100" s="37">
        <v>1.0186340659856796E-10</v>
      </c>
      <c r="N100" s="38"/>
      <c r="O100" s="39"/>
      <c r="P100" s="29">
        <v>-1524123.1900000002</v>
      </c>
      <c r="Q100" s="28">
        <v>-691679.98190800019</v>
      </c>
      <c r="R100" s="27">
        <v>-832443.20809199999</v>
      </c>
      <c r="S100" s="34">
        <v>297134.15999999997</v>
      </c>
      <c r="V100" s="3"/>
      <c r="W100" s="3"/>
      <c r="X100" s="3"/>
      <c r="Y100" s="3"/>
      <c r="Z100" s="3"/>
      <c r="AA100" s="3"/>
      <c r="AB100" s="3"/>
      <c r="AC100" s="3"/>
    </row>
    <row r="101" spans="2:29" x14ac:dyDescent="0.35">
      <c r="B101" s="40">
        <v>42339</v>
      </c>
      <c r="C101" s="41">
        <v>-1979121.85</v>
      </c>
      <c r="D101" s="42">
        <v>5739.49</v>
      </c>
      <c r="E101" s="41">
        <v>-1973382.36</v>
      </c>
      <c r="F101" s="43">
        <v>-1436196.78</v>
      </c>
      <c r="G101" s="44">
        <v>542925.07000000007</v>
      </c>
      <c r="H101" s="45">
        <v>-125022.01</v>
      </c>
      <c r="I101" s="45">
        <v>-351400.92</v>
      </c>
      <c r="J101" s="46">
        <v>66502.140000000072</v>
      </c>
      <c r="K101" s="25">
        <v>363636.3</v>
      </c>
      <c r="L101" s="36">
        <v>-297134.15999999997</v>
      </c>
      <c r="M101" s="37">
        <v>0</v>
      </c>
      <c r="N101" s="32"/>
      <c r="O101" s="39"/>
      <c r="P101" s="29">
        <v>-2552961.4900000016</v>
      </c>
      <c r="Q101" s="28">
        <v>-604416.49338840018</v>
      </c>
      <c r="R101" s="27">
        <v>-1948544.9966116014</v>
      </c>
      <c r="S101" s="34">
        <v>363636.3</v>
      </c>
      <c r="U101" s="47" t="s">
        <v>55</v>
      </c>
      <c r="V101" s="48">
        <v>2015</v>
      </c>
      <c r="W101" s="3"/>
      <c r="X101" s="3"/>
      <c r="Y101" s="3"/>
      <c r="Z101" s="3"/>
      <c r="AA101" s="3"/>
      <c r="AB101" s="3"/>
      <c r="AC101" s="3"/>
    </row>
    <row r="102" spans="2:29" ht="15" thickBot="1" x14ac:dyDescent="0.4">
      <c r="B102" s="49"/>
      <c r="C102" s="50">
        <v>-20001367.710000001</v>
      </c>
      <c r="D102" s="51">
        <v>66058.52</v>
      </c>
      <c r="E102" s="50">
        <v>-19935309.189999998</v>
      </c>
      <c r="F102" s="52">
        <v>-14136087.489999998</v>
      </c>
      <c r="G102" s="53">
        <v>5865280.2200000016</v>
      </c>
      <c r="H102" s="54">
        <v>-1613605.8599999999</v>
      </c>
      <c r="I102" s="54">
        <v>-3888038.06</v>
      </c>
      <c r="J102" s="55">
        <v>363636.30000000069</v>
      </c>
      <c r="K102" s="50"/>
      <c r="L102" s="54"/>
      <c r="M102" s="56"/>
      <c r="N102" s="32"/>
      <c r="O102" s="57" t="s">
        <v>56</v>
      </c>
      <c r="P102" s="58">
        <v>-19602554.650000006</v>
      </c>
      <c r="Q102" s="59">
        <v>-5838984.5246105008</v>
      </c>
      <c r="R102" s="60">
        <v>-13763570.125389503</v>
      </c>
      <c r="S102" s="34"/>
      <c r="V102" s="3"/>
      <c r="W102" s="3"/>
      <c r="X102" s="3"/>
      <c r="Y102" s="3"/>
      <c r="Z102" s="3"/>
      <c r="AA102" s="3"/>
      <c r="AB102" s="3"/>
      <c r="AC102" s="3"/>
    </row>
    <row r="103" spans="2:29" ht="15" thickTop="1" x14ac:dyDescent="0.35">
      <c r="B103" s="61"/>
      <c r="C103" s="32"/>
      <c r="D103" s="6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57" t="s">
        <v>57</v>
      </c>
      <c r="P103" s="58">
        <v>-20001367.710000001</v>
      </c>
      <c r="Q103" s="59">
        <v>-5865280.2200000016</v>
      </c>
      <c r="R103" s="60">
        <v>-14136087.489999998</v>
      </c>
      <c r="S103" s="34"/>
      <c r="U103" t="s">
        <v>58</v>
      </c>
      <c r="V103" s="3">
        <v>26295.695389500819</v>
      </c>
      <c r="W103" s="3"/>
      <c r="X103" s="3"/>
      <c r="Y103" s="3"/>
      <c r="Z103" s="3"/>
      <c r="AA103" s="3"/>
      <c r="AB103" s="3"/>
      <c r="AC103" s="3"/>
    </row>
    <row r="104" spans="2:29" ht="15" thickBot="1" x14ac:dyDescent="0.4">
      <c r="B104" s="61"/>
      <c r="C104" s="32"/>
      <c r="D104" s="62"/>
      <c r="E104" s="32"/>
      <c r="F104" s="32"/>
      <c r="G104" s="32"/>
      <c r="H104" s="32"/>
      <c r="I104" s="32"/>
      <c r="J104" s="32"/>
      <c r="K104" s="32"/>
      <c r="L104" s="32"/>
      <c r="M104" s="38"/>
      <c r="N104" s="38"/>
      <c r="O104" s="63" t="s">
        <v>51</v>
      </c>
      <c r="P104" s="64">
        <v>398813.05999999493</v>
      </c>
      <c r="Q104" s="65">
        <v>26295.695389500819</v>
      </c>
      <c r="R104" s="66">
        <v>372517.36461049505</v>
      </c>
      <c r="S104" s="67"/>
      <c r="U104" t="s">
        <v>59</v>
      </c>
      <c r="V104" s="3">
        <v>-26295.695389500819</v>
      </c>
      <c r="W104" s="3"/>
      <c r="X104" s="3"/>
      <c r="Y104" s="3"/>
      <c r="Z104" s="3"/>
      <c r="AA104" s="3"/>
      <c r="AB104" s="3"/>
      <c r="AC104" s="3"/>
    </row>
    <row r="105" spans="2:29" ht="15" thickTop="1" x14ac:dyDescent="0.35">
      <c r="B105" s="38"/>
      <c r="C105" s="38"/>
      <c r="D105" s="38"/>
      <c r="G105"/>
      <c r="U105" s="3"/>
      <c r="V105" s="3"/>
      <c r="W105" s="3"/>
      <c r="X105" s="3"/>
      <c r="Y105" s="3"/>
      <c r="Z105" s="3"/>
      <c r="AA105" s="3"/>
      <c r="AB105" s="3"/>
      <c r="AC105" s="3"/>
    </row>
  </sheetData>
  <mergeCells count="3">
    <mergeCell ref="B9:H9"/>
    <mergeCell ref="B42:H42"/>
    <mergeCell ref="B87:H87"/>
  </mergeCells>
  <pageMargins left="0.7" right="0.7" top="0.75" bottom="0.75" header="0.3" footer="0.3"/>
  <pageSetup scale="27" orientation="portrait" r:id="rId1"/>
  <rowBreaks count="1" manualBreakCount="1">
    <brk id="41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C55"/>
  <sheetViews>
    <sheetView zoomScale="55" zoomScaleNormal="55" workbookViewId="0">
      <selection activeCell="T46" sqref="T46"/>
    </sheetView>
  </sheetViews>
  <sheetFormatPr defaultRowHeight="14.5" x14ac:dyDescent="0.35"/>
  <cols>
    <col min="1" max="1" width="2.6328125" customWidth="1"/>
    <col min="3" max="5" width="17.6328125" customWidth="1"/>
    <col min="6" max="6" width="18.6328125" customWidth="1"/>
    <col min="7" max="7" width="18.6328125" style="3" customWidth="1"/>
    <col min="8" max="13" width="17.6328125" customWidth="1"/>
    <col min="15" max="15" width="13.1796875" bestFit="1" customWidth="1"/>
    <col min="16" max="16" width="14" bestFit="1" customWidth="1"/>
    <col min="17" max="17" width="12.81640625" bestFit="1" customWidth="1"/>
    <col min="18" max="18" width="14" bestFit="1" customWidth="1"/>
    <col min="19" max="19" width="11.1796875" bestFit="1" customWidth="1"/>
    <col min="21" max="21" width="17.08984375" bestFit="1" customWidth="1"/>
    <col min="22" max="22" width="13.453125" bestFit="1" customWidth="1"/>
  </cols>
  <sheetData>
    <row r="2" spans="2:29" ht="17" x14ac:dyDescent="0.4">
      <c r="B2" s="78" t="s">
        <v>186</v>
      </c>
    </row>
    <row r="4" spans="2:29" ht="43.5" x14ac:dyDescent="0.35">
      <c r="C4" s="2" t="s">
        <v>0</v>
      </c>
      <c r="D4" s="2" t="s">
        <v>1</v>
      </c>
      <c r="E4" s="2" t="s">
        <v>2</v>
      </c>
      <c r="F4" s="2" t="s">
        <v>3</v>
      </c>
      <c r="G4" s="4" t="s">
        <v>4</v>
      </c>
      <c r="H4" s="2" t="s">
        <v>5</v>
      </c>
    </row>
    <row r="5" spans="2:29" x14ac:dyDescent="0.35">
      <c r="B5" s="1">
        <v>1588</v>
      </c>
      <c r="C5" s="1" t="s">
        <v>6</v>
      </c>
      <c r="E5" s="218"/>
      <c r="F5" s="23">
        <f>H22</f>
        <v>433897.25</v>
      </c>
      <c r="G5" s="218"/>
      <c r="H5" s="23">
        <f>SUM(D5:G5)</f>
        <v>433897.25</v>
      </c>
    </row>
    <row r="6" spans="2:29" x14ac:dyDescent="0.35">
      <c r="B6" s="1">
        <v>1589</v>
      </c>
      <c r="C6" s="1" t="s">
        <v>6</v>
      </c>
      <c r="F6" s="23">
        <f>H31</f>
        <v>-464558.92000000004</v>
      </c>
      <c r="G6" s="218"/>
      <c r="H6" s="23">
        <f>SUM(D6:G6)</f>
        <v>-464558.92000000004</v>
      </c>
    </row>
    <row r="8" spans="2:29" x14ac:dyDescent="0.35">
      <c r="B8" s="38"/>
      <c r="C8" s="38"/>
      <c r="D8" s="38"/>
      <c r="G8"/>
      <c r="U8" s="3"/>
      <c r="V8" s="3"/>
      <c r="W8" s="3"/>
      <c r="X8" s="3"/>
      <c r="Y8" s="3"/>
      <c r="Z8" s="3"/>
      <c r="AA8" s="3"/>
      <c r="AB8" s="3"/>
      <c r="AC8" s="3"/>
    </row>
    <row r="9" spans="2:29" x14ac:dyDescent="0.35">
      <c r="B9" s="232" t="s">
        <v>52</v>
      </c>
      <c r="C9" s="233"/>
      <c r="D9" s="233"/>
      <c r="E9" s="233"/>
      <c r="F9" s="233"/>
      <c r="G9" s="233"/>
      <c r="H9" s="234"/>
    </row>
    <row r="11" spans="2:29" s="20" customFormat="1" ht="29" x14ac:dyDescent="0.35">
      <c r="F11" s="21" t="s">
        <v>54</v>
      </c>
      <c r="G11" s="22" t="s">
        <v>53</v>
      </c>
      <c r="H11" s="22" t="s">
        <v>51</v>
      </c>
    </row>
    <row r="12" spans="2:29" x14ac:dyDescent="0.35">
      <c r="C12" s="8" t="s">
        <v>7</v>
      </c>
      <c r="D12" s="18" t="s">
        <v>8</v>
      </c>
      <c r="E12" s="18"/>
      <c r="F12" s="6">
        <v>-1416165.75</v>
      </c>
      <c r="G12" s="99"/>
      <c r="I12" t="s">
        <v>178</v>
      </c>
    </row>
    <row r="13" spans="2:29" x14ac:dyDescent="0.35">
      <c r="C13" s="8" t="s">
        <v>9</v>
      </c>
      <c r="D13" s="18" t="s">
        <v>10</v>
      </c>
      <c r="E13" s="18"/>
      <c r="F13" s="6">
        <v>0</v>
      </c>
      <c r="G13" s="99"/>
    </row>
    <row r="14" spans="2:29" x14ac:dyDescent="0.35">
      <c r="C14" s="8" t="s">
        <v>11</v>
      </c>
      <c r="D14" s="18" t="s">
        <v>12</v>
      </c>
      <c r="E14" s="18"/>
      <c r="F14" s="6">
        <v>-2171.38</v>
      </c>
      <c r="G14" s="99"/>
    </row>
    <row r="15" spans="2:29" x14ac:dyDescent="0.35">
      <c r="C15" s="8" t="s">
        <v>13</v>
      </c>
      <c r="D15" s="18" t="s">
        <v>14</v>
      </c>
      <c r="E15" s="18"/>
      <c r="F15" s="6">
        <v>-734.89</v>
      </c>
      <c r="G15" s="99"/>
    </row>
    <row r="16" spans="2:29" x14ac:dyDescent="0.35">
      <c r="C16" s="8" t="s">
        <v>15</v>
      </c>
      <c r="D16" s="18" t="s">
        <v>16</v>
      </c>
      <c r="E16" s="18"/>
      <c r="F16" s="6">
        <v>-107857.71</v>
      </c>
      <c r="G16" s="99"/>
    </row>
    <row r="17" spans="3:8" x14ac:dyDescent="0.35">
      <c r="C17" s="8" t="s">
        <v>17</v>
      </c>
      <c r="D17" s="18" t="s">
        <v>18</v>
      </c>
      <c r="E17" s="18"/>
      <c r="F17" s="6">
        <v>-279726.25</v>
      </c>
      <c r="G17" s="99"/>
    </row>
    <row r="18" spans="3:8" x14ac:dyDescent="0.35">
      <c r="C18" s="8" t="s">
        <v>19</v>
      </c>
      <c r="D18" s="18" t="s">
        <v>20</v>
      </c>
      <c r="E18" s="18"/>
      <c r="F18" s="6">
        <v>-3470.37</v>
      </c>
      <c r="G18" s="99"/>
    </row>
    <row r="19" spans="3:8" x14ac:dyDescent="0.35">
      <c r="C19" s="8" t="s">
        <v>21</v>
      </c>
      <c r="D19" s="18" t="s">
        <v>22</v>
      </c>
      <c r="E19" s="18"/>
      <c r="F19" s="6">
        <v>-46372.989999999991</v>
      </c>
      <c r="G19" s="99"/>
    </row>
    <row r="20" spans="3:8" x14ac:dyDescent="0.35">
      <c r="C20" s="8" t="s">
        <v>23</v>
      </c>
      <c r="D20" s="14" t="s">
        <v>24</v>
      </c>
      <c r="E20" s="18"/>
      <c r="F20" s="16">
        <v>0</v>
      </c>
      <c r="G20" s="99"/>
    </row>
    <row r="21" spans="3:8" x14ac:dyDescent="0.35">
      <c r="C21" s="18"/>
      <c r="D21" s="18" t="s">
        <v>25</v>
      </c>
      <c r="E21" s="18"/>
      <c r="F21" s="15">
        <v>0</v>
      </c>
      <c r="G21" s="99"/>
    </row>
    <row r="22" spans="3:8" x14ac:dyDescent="0.35">
      <c r="C22" s="18"/>
      <c r="D22" s="10" t="s">
        <v>26</v>
      </c>
      <c r="E22" s="18"/>
      <c r="F22" s="5">
        <f>SUM(F12:F21)</f>
        <v>-1856499.3399999999</v>
      </c>
      <c r="G22" s="5">
        <v>-2290396.59</v>
      </c>
      <c r="H22" s="19">
        <f>F22-G22</f>
        <v>433897.25</v>
      </c>
    </row>
    <row r="23" spans="3:8" x14ac:dyDescent="0.35">
      <c r="C23" s="18"/>
      <c r="D23" s="10"/>
      <c r="E23" s="18"/>
      <c r="F23" s="12"/>
      <c r="H23" s="105"/>
    </row>
    <row r="24" spans="3:8" x14ac:dyDescent="0.35">
      <c r="C24" s="18"/>
      <c r="D24" s="8"/>
      <c r="E24" s="18"/>
      <c r="F24" s="9"/>
      <c r="H24" s="105"/>
    </row>
    <row r="25" spans="3:8" x14ac:dyDescent="0.35">
      <c r="C25" s="8" t="s">
        <v>39</v>
      </c>
      <c r="D25" s="18" t="s">
        <v>40</v>
      </c>
      <c r="E25" s="18"/>
      <c r="F25" s="6">
        <v>0</v>
      </c>
      <c r="G25" s="99"/>
      <c r="H25" s="105"/>
    </row>
    <row r="26" spans="3:8" x14ac:dyDescent="0.35">
      <c r="C26" s="8" t="s">
        <v>41</v>
      </c>
      <c r="D26" s="18" t="s">
        <v>42</v>
      </c>
      <c r="E26" s="18"/>
      <c r="F26" s="6">
        <v>0</v>
      </c>
      <c r="G26" s="99"/>
      <c r="H26" s="105"/>
    </row>
    <row r="27" spans="3:8" x14ac:dyDescent="0.35">
      <c r="C27" s="8" t="s">
        <v>43</v>
      </c>
      <c r="D27" s="18" t="s">
        <v>44</v>
      </c>
      <c r="E27" s="18"/>
      <c r="F27" s="6">
        <v>-302330.81</v>
      </c>
      <c r="G27" s="99"/>
      <c r="H27" s="105"/>
    </row>
    <row r="28" spans="3:8" x14ac:dyDescent="0.35">
      <c r="C28" s="8" t="s">
        <v>45</v>
      </c>
      <c r="D28" s="18" t="s">
        <v>46</v>
      </c>
      <c r="E28" s="18"/>
      <c r="F28" s="6">
        <v>0</v>
      </c>
      <c r="G28" s="99"/>
      <c r="H28" s="105"/>
    </row>
    <row r="29" spans="3:8" x14ac:dyDescent="0.35">
      <c r="C29" s="8" t="s">
        <v>47</v>
      </c>
      <c r="D29" s="18" t="s">
        <v>48</v>
      </c>
      <c r="E29" s="18"/>
      <c r="F29" s="6">
        <v>-162228.11000000002</v>
      </c>
      <c r="G29" s="99"/>
      <c r="H29" s="105"/>
    </row>
    <row r="30" spans="3:8" x14ac:dyDescent="0.35">
      <c r="C30" s="18"/>
      <c r="D30" s="18" t="s">
        <v>25</v>
      </c>
      <c r="E30" s="18"/>
      <c r="F30" s="6">
        <v>0</v>
      </c>
      <c r="G30" s="99"/>
      <c r="H30" s="105"/>
    </row>
    <row r="31" spans="3:8" x14ac:dyDescent="0.35">
      <c r="C31" s="11"/>
      <c r="D31" s="18" t="s">
        <v>49</v>
      </c>
      <c r="E31" s="18"/>
      <c r="F31" s="5">
        <f>SUM(F25:F30)</f>
        <v>-464558.92000000004</v>
      </c>
      <c r="G31" s="220">
        <v>0</v>
      </c>
      <c r="H31" s="19">
        <f>F31-G31</f>
        <v>-464558.92000000004</v>
      </c>
    </row>
    <row r="32" spans="3:8" x14ac:dyDescent="0.35">
      <c r="C32" s="11"/>
      <c r="D32" s="18"/>
      <c r="E32" s="18"/>
      <c r="F32" s="6"/>
      <c r="H32" s="105"/>
    </row>
    <row r="33" spans="3:8" x14ac:dyDescent="0.35">
      <c r="C33" s="11"/>
      <c r="D33" s="18"/>
      <c r="E33" s="18" t="s">
        <v>50</v>
      </c>
      <c r="F33" s="5">
        <f>F22+F31</f>
        <v>-2321058.2599999998</v>
      </c>
      <c r="G33" s="5">
        <f>G22+G31</f>
        <v>-2290396.59</v>
      </c>
      <c r="H33" s="19">
        <f>F33-G33</f>
        <v>-30661.669999999925</v>
      </c>
    </row>
    <row r="34" spans="3:8" x14ac:dyDescent="0.35">
      <c r="C34" s="11"/>
      <c r="D34" s="18"/>
      <c r="E34" s="18"/>
      <c r="F34" s="6"/>
      <c r="G34" s="6"/>
      <c r="H34" s="6"/>
    </row>
    <row r="35" spans="3:8" x14ac:dyDescent="0.35">
      <c r="C35" s="11"/>
      <c r="D35" s="18"/>
      <c r="E35" s="18"/>
      <c r="F35" s="6"/>
      <c r="G35" s="6"/>
      <c r="H35" s="6"/>
    </row>
    <row r="36" spans="3:8" x14ac:dyDescent="0.35">
      <c r="C36" s="11"/>
      <c r="D36" s="18"/>
      <c r="E36" s="18"/>
      <c r="F36" s="6"/>
      <c r="G36" s="6"/>
      <c r="H36" s="100"/>
    </row>
    <row r="37" spans="3:8" x14ac:dyDescent="0.35">
      <c r="C37" s="8" t="s">
        <v>27</v>
      </c>
      <c r="D37" s="18" t="s">
        <v>28</v>
      </c>
      <c r="E37" s="18"/>
      <c r="F37" s="5">
        <v>-153681.62</v>
      </c>
      <c r="G37" s="5">
        <v>-136363.16</v>
      </c>
      <c r="H37" s="19">
        <f>F37-G37</f>
        <v>-17318.459999999992</v>
      </c>
    </row>
    <row r="38" spans="3:8" x14ac:dyDescent="0.35">
      <c r="C38" s="18"/>
      <c r="D38" s="18"/>
      <c r="E38" s="18"/>
      <c r="F38" s="12"/>
      <c r="G38" s="12"/>
      <c r="H38" s="101"/>
    </row>
    <row r="39" spans="3:8" x14ac:dyDescent="0.35">
      <c r="C39" s="18"/>
      <c r="D39" s="18"/>
      <c r="E39" s="18"/>
      <c r="F39" s="9"/>
      <c r="G39" s="9"/>
      <c r="H39" s="102"/>
    </row>
    <row r="40" spans="3:8" x14ac:dyDescent="0.35">
      <c r="C40" s="8" t="s">
        <v>29</v>
      </c>
      <c r="D40" s="18" t="s">
        <v>30</v>
      </c>
      <c r="E40" s="18"/>
      <c r="F40" s="13"/>
      <c r="G40" s="13"/>
      <c r="H40" s="19">
        <f>F40-G40</f>
        <v>0</v>
      </c>
    </row>
    <row r="41" spans="3:8" x14ac:dyDescent="0.35">
      <c r="C41" s="18"/>
      <c r="D41" s="18"/>
      <c r="E41" s="18"/>
      <c r="F41" s="12"/>
      <c r="G41" s="12"/>
      <c r="H41" s="101"/>
    </row>
    <row r="42" spans="3:8" x14ac:dyDescent="0.35">
      <c r="C42" s="18"/>
      <c r="D42" s="18"/>
      <c r="E42" s="18"/>
      <c r="F42" s="9"/>
      <c r="G42" s="9"/>
      <c r="H42" s="102"/>
    </row>
    <row r="43" spans="3:8" x14ac:dyDescent="0.35">
      <c r="C43" s="8" t="s">
        <v>31</v>
      </c>
      <c r="D43" s="18" t="s">
        <v>32</v>
      </c>
      <c r="E43" s="18"/>
      <c r="F43" s="5">
        <v>-182002.84</v>
      </c>
      <c r="G43" s="5">
        <v>-161084.85999999999</v>
      </c>
      <c r="H43" s="19">
        <f>F43-G43</f>
        <v>-20917.98000000001</v>
      </c>
    </row>
    <row r="44" spans="3:8" x14ac:dyDescent="0.35">
      <c r="C44" s="18"/>
      <c r="D44" s="18"/>
      <c r="E44" s="18"/>
      <c r="F44" s="16"/>
      <c r="G44" s="16"/>
      <c r="H44" s="103"/>
    </row>
    <row r="45" spans="3:8" x14ac:dyDescent="0.35">
      <c r="C45" s="18"/>
      <c r="D45" s="18"/>
      <c r="E45" s="18"/>
      <c r="F45" s="15"/>
      <c r="G45" s="15"/>
      <c r="H45" s="104"/>
    </row>
    <row r="46" spans="3:8" x14ac:dyDescent="0.35">
      <c r="C46" s="8" t="s">
        <v>33</v>
      </c>
      <c r="D46" s="18" t="s">
        <v>34</v>
      </c>
      <c r="E46" s="18"/>
      <c r="F46" s="5">
        <v>-137766.75</v>
      </c>
      <c r="G46" s="5">
        <v>-122308.71</v>
      </c>
      <c r="H46" s="19">
        <f>F46-G46</f>
        <v>-15458.039999999994</v>
      </c>
    </row>
    <row r="47" spans="3:8" x14ac:dyDescent="0.35">
      <c r="C47" s="18"/>
      <c r="D47" s="18"/>
      <c r="E47" s="18"/>
      <c r="F47" s="16"/>
      <c r="G47" s="16"/>
      <c r="H47" s="103"/>
    </row>
    <row r="48" spans="3:8" x14ac:dyDescent="0.35">
      <c r="C48" s="18"/>
      <c r="D48" s="18"/>
      <c r="E48" s="18"/>
      <c r="F48" s="16"/>
      <c r="G48" s="16"/>
      <c r="H48" s="103"/>
    </row>
    <row r="49" spans="2:29" x14ac:dyDescent="0.35">
      <c r="C49" s="8" t="s">
        <v>35</v>
      </c>
      <c r="D49" s="18" t="s">
        <v>36</v>
      </c>
      <c r="E49" s="18"/>
      <c r="F49" s="5">
        <v>-54442.92</v>
      </c>
      <c r="G49" s="5">
        <v>-48269.96</v>
      </c>
      <c r="H49" s="19">
        <f>F49-G49</f>
        <v>-6172.9599999999991</v>
      </c>
    </row>
    <row r="50" spans="2:29" x14ac:dyDescent="0.35">
      <c r="C50" s="18"/>
      <c r="D50" s="18"/>
      <c r="E50" s="18"/>
      <c r="F50" s="16"/>
      <c r="G50" s="16"/>
      <c r="H50" s="103"/>
    </row>
    <row r="51" spans="2:29" x14ac:dyDescent="0.35">
      <c r="C51" s="17" t="s">
        <v>37</v>
      </c>
      <c r="D51" s="14" t="s">
        <v>38</v>
      </c>
      <c r="E51" s="14"/>
      <c r="F51" s="5">
        <v>-12047.38</v>
      </c>
      <c r="G51" s="5">
        <v>-12404.58</v>
      </c>
      <c r="H51" s="19">
        <f>F51-G51</f>
        <v>357.20000000000073</v>
      </c>
    </row>
    <row r="52" spans="2:29" x14ac:dyDescent="0.35">
      <c r="C52" s="18"/>
      <c r="D52" s="18"/>
      <c r="E52" s="18"/>
      <c r="F52" s="16"/>
      <c r="H52" s="105"/>
    </row>
    <row r="53" spans="2:29" x14ac:dyDescent="0.35">
      <c r="C53" s="18"/>
      <c r="D53" s="18"/>
      <c r="E53" s="18"/>
      <c r="F53" s="15"/>
    </row>
    <row r="54" spans="2:29" x14ac:dyDescent="0.35">
      <c r="B54" s="61"/>
      <c r="C54" s="32"/>
      <c r="D54" s="62"/>
      <c r="E54" s="32"/>
      <c r="F54" s="32"/>
      <c r="G54" s="32"/>
      <c r="H54" s="32"/>
      <c r="I54" s="32"/>
      <c r="J54" s="32"/>
      <c r="K54" s="32"/>
      <c r="L54" s="32"/>
      <c r="M54" s="38"/>
      <c r="AB54" s="3"/>
      <c r="AC54" s="3"/>
    </row>
    <row r="55" spans="2:29" x14ac:dyDescent="0.35">
      <c r="B55" s="38"/>
      <c r="C55" s="38"/>
      <c r="D55" s="38"/>
      <c r="G55"/>
      <c r="AB55" s="3"/>
      <c r="AC55" s="3"/>
    </row>
  </sheetData>
  <mergeCells count="1">
    <mergeCell ref="B9:H9"/>
  </mergeCells>
  <pageMargins left="0.7" right="0.7" top="0.75" bottom="0.75" header="0.3" footer="0.3"/>
  <pageSetup scale="52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125"/>
  <sheetViews>
    <sheetView topLeftCell="A2" zoomScale="55" zoomScaleNormal="55" workbookViewId="0">
      <selection activeCell="T46" sqref="T46"/>
    </sheetView>
  </sheetViews>
  <sheetFormatPr defaultRowHeight="14.5" x14ac:dyDescent="0.35"/>
  <cols>
    <col min="2" max="2" width="13.1796875" customWidth="1"/>
    <col min="3" max="14" width="13.81640625" customWidth="1"/>
    <col min="15" max="15" width="11.453125" bestFit="1" customWidth="1"/>
    <col min="16" max="16" width="3.81640625" customWidth="1"/>
    <col min="17" max="17" width="13.08984375" bestFit="1" customWidth="1"/>
    <col min="18" max="21" width="13.81640625" customWidth="1"/>
    <col min="22" max="22" width="3.81640625" customWidth="1"/>
    <col min="23" max="23" width="16.36328125" bestFit="1" customWidth="1"/>
    <col min="24" max="24" width="13.81640625" style="3" customWidth="1"/>
    <col min="25" max="25" width="13.453125" style="3" customWidth="1"/>
    <col min="26" max="26" width="16" style="3" customWidth="1"/>
    <col min="27" max="27" width="15.90625" style="3" bestFit="1" customWidth="1"/>
    <col min="28" max="28" width="15" style="3" customWidth="1"/>
    <col min="29" max="32" width="8.7265625" style="3"/>
  </cols>
  <sheetData>
    <row r="1" spans="2:32" s="172" customFormat="1" ht="18.5" x14ac:dyDescent="0.45">
      <c r="X1" s="173"/>
      <c r="Y1" s="173"/>
      <c r="Z1" s="173"/>
      <c r="AA1" s="173"/>
      <c r="AB1" s="173"/>
      <c r="AC1" s="173"/>
      <c r="AD1" s="173"/>
      <c r="AE1" s="173"/>
      <c r="AF1" s="173"/>
    </row>
    <row r="2" spans="2:32" s="172" customFormat="1" ht="18.5" x14ac:dyDescent="0.45">
      <c r="B2" s="172" t="s">
        <v>187</v>
      </c>
      <c r="X2" s="173"/>
      <c r="Y2" s="173"/>
      <c r="Z2" s="173"/>
      <c r="AA2" s="173"/>
      <c r="AB2" s="173"/>
      <c r="AC2" s="173"/>
      <c r="AD2" s="173"/>
      <c r="AE2" s="173"/>
      <c r="AF2" s="173"/>
    </row>
    <row r="3" spans="2:32" s="172" customFormat="1" ht="19" thickBot="1" x14ac:dyDescent="0.5">
      <c r="X3" s="173"/>
      <c r="Y3" s="173"/>
      <c r="Z3" s="173"/>
      <c r="AA3" s="173"/>
      <c r="AB3" s="173"/>
      <c r="AC3" s="173"/>
      <c r="AD3" s="173"/>
      <c r="AE3" s="173"/>
      <c r="AF3" s="173"/>
    </row>
    <row r="4" spans="2:32" ht="102" thickTop="1" x14ac:dyDescent="0.35">
      <c r="B4" s="174" t="s">
        <v>60</v>
      </c>
      <c r="C4" s="69" t="s">
        <v>61</v>
      </c>
      <c r="D4" s="175" t="s">
        <v>62</v>
      </c>
      <c r="E4" s="69" t="s">
        <v>63</v>
      </c>
      <c r="F4" s="71" t="s">
        <v>64</v>
      </c>
      <c r="G4" s="72" t="s">
        <v>65</v>
      </c>
      <c r="H4" s="175" t="s">
        <v>66</v>
      </c>
      <c r="I4" s="175" t="s">
        <v>67</v>
      </c>
      <c r="J4" s="73" t="s">
        <v>68</v>
      </c>
      <c r="K4" s="69" t="s">
        <v>69</v>
      </c>
      <c r="L4" s="175" t="s">
        <v>70</v>
      </c>
      <c r="M4" s="175" t="s">
        <v>162</v>
      </c>
      <c r="N4" s="175" t="s">
        <v>163</v>
      </c>
      <c r="O4" s="176" t="s">
        <v>71</v>
      </c>
      <c r="P4" s="154"/>
      <c r="Q4" s="76"/>
      <c r="R4" s="175" t="s">
        <v>72</v>
      </c>
      <c r="S4" s="72" t="s">
        <v>73</v>
      </c>
      <c r="T4" s="71" t="s">
        <v>74</v>
      </c>
      <c r="U4" s="77" t="s">
        <v>68</v>
      </c>
    </row>
    <row r="5" spans="2:32" x14ac:dyDescent="0.35">
      <c r="B5" s="177">
        <v>42005</v>
      </c>
      <c r="C5" s="178">
        <f t="shared" ref="C5:C7" si="0">E5-D5</f>
        <v>-1367683.43</v>
      </c>
      <c r="D5" s="179">
        <v>0</v>
      </c>
      <c r="E5" s="178">
        <v>-1367683.43</v>
      </c>
      <c r="F5" s="180">
        <v>-1266374.67</v>
      </c>
      <c r="G5" s="181">
        <f>F5-C5</f>
        <v>101308.76000000001</v>
      </c>
      <c r="H5" s="38">
        <v>-162228.10999999999</v>
      </c>
      <c r="I5" s="38">
        <v>-302330.81</v>
      </c>
      <c r="J5" s="182">
        <f>SUM(G5:I5)</f>
        <v>-363250.16</v>
      </c>
      <c r="K5" s="178">
        <v>-363250.16</v>
      </c>
      <c r="L5" s="38">
        <v>0</v>
      </c>
      <c r="M5" s="38"/>
      <c r="N5" s="38"/>
      <c r="O5" s="37">
        <f t="shared" ref="O5:O16" si="1">J5-K5-L5</f>
        <v>0</v>
      </c>
      <c r="P5" s="38"/>
      <c r="Q5" s="39"/>
      <c r="R5" s="38">
        <f>-[1]reconciliation!E38</f>
        <v>-1494645.3799999997</v>
      </c>
      <c r="S5" s="181">
        <f>-[1]reconciliation!K38</f>
        <v>-340672.75407199975</v>
      </c>
      <c r="T5" s="180">
        <f>R5-S5</f>
        <v>-1153972.6259279998</v>
      </c>
      <c r="U5" s="34">
        <v>-363250.16</v>
      </c>
    </row>
    <row r="6" spans="2:32" x14ac:dyDescent="0.35">
      <c r="B6" s="177">
        <v>42036</v>
      </c>
      <c r="C6" s="178">
        <f t="shared" si="0"/>
        <v>-1018944.99</v>
      </c>
      <c r="D6" s="179">
        <v>0</v>
      </c>
      <c r="E6" s="178">
        <v>-1018944.99</v>
      </c>
      <c r="F6" s="180">
        <v>-775148.41</v>
      </c>
      <c r="G6" s="181">
        <f t="shared" ref="G6:G16" si="2">F6-C6</f>
        <v>243796.57999999996</v>
      </c>
      <c r="H6" s="38">
        <v>-132759.59</v>
      </c>
      <c r="I6" s="38">
        <v>-262225.32</v>
      </c>
      <c r="J6" s="182">
        <f t="shared" ref="J6:J48" si="3">SUM(G6:I6)</f>
        <v>-151188.33000000005</v>
      </c>
      <c r="K6" s="178">
        <v>-514438.49</v>
      </c>
      <c r="L6" s="38">
        <f>-K5</f>
        <v>363250.16</v>
      </c>
      <c r="M6" s="38"/>
      <c r="N6" s="38"/>
      <c r="O6" s="37">
        <f t="shared" si="1"/>
        <v>0</v>
      </c>
      <c r="P6" s="38"/>
      <c r="Q6" s="39"/>
      <c r="R6" s="38">
        <f>-[1]reconciliation!E39</f>
        <v>-1790845.76</v>
      </c>
      <c r="S6" s="181">
        <f>-[1]reconciliation!K39</f>
        <v>-249041.21576680068</v>
      </c>
      <c r="T6" s="180">
        <f t="shared" ref="T6:T48" si="4">R6-S6</f>
        <v>-1541804.5442331992</v>
      </c>
      <c r="U6" s="34">
        <v>-514438.49</v>
      </c>
    </row>
    <row r="7" spans="2:32" x14ac:dyDescent="0.35">
      <c r="B7" s="177">
        <v>42064</v>
      </c>
      <c r="C7" s="178">
        <f t="shared" si="0"/>
        <v>-1480213.61</v>
      </c>
      <c r="D7" s="179">
        <v>0</v>
      </c>
      <c r="E7" s="178">
        <v>-1480213.61</v>
      </c>
      <c r="F7" s="180">
        <v>-976560.31</v>
      </c>
      <c r="G7" s="181">
        <f t="shared" si="2"/>
        <v>503653.30000000005</v>
      </c>
      <c r="H7" s="38">
        <v>-147871.60999999999</v>
      </c>
      <c r="I7" s="38">
        <v>-290385.98</v>
      </c>
      <c r="J7" s="182">
        <f t="shared" si="3"/>
        <v>65395.710000000079</v>
      </c>
      <c r="K7" s="178">
        <v>-449042.78</v>
      </c>
      <c r="L7" s="38">
        <f t="shared" ref="L7:L48" si="5">-K6</f>
        <v>514438.49</v>
      </c>
      <c r="M7" s="38"/>
      <c r="N7" s="38"/>
      <c r="O7" s="37">
        <f t="shared" si="1"/>
        <v>0</v>
      </c>
      <c r="P7" s="38"/>
      <c r="Q7" s="39"/>
      <c r="R7" s="38">
        <f>-[1]reconciliation!E40</f>
        <v>-853382.93999999925</v>
      </c>
      <c r="S7" s="181">
        <f>-[1]reconciliation!K40</f>
        <v>-402453.23857199901</v>
      </c>
      <c r="T7" s="180">
        <f t="shared" si="4"/>
        <v>-450929.70142800023</v>
      </c>
      <c r="U7" s="34">
        <v>-449042.78</v>
      </c>
    </row>
    <row r="8" spans="2:32" x14ac:dyDescent="0.35">
      <c r="B8" s="177">
        <v>42095</v>
      </c>
      <c r="C8" s="178">
        <f>E8-D8</f>
        <v>-1823768.32</v>
      </c>
      <c r="D8" s="179">
        <v>710.03</v>
      </c>
      <c r="E8" s="178">
        <v>-1823058.29</v>
      </c>
      <c r="F8" s="180">
        <v>-1200190.6399999999</v>
      </c>
      <c r="G8" s="181">
        <f t="shared" si="2"/>
        <v>623577.68000000017</v>
      </c>
      <c r="H8" s="38">
        <v>-74442.11</v>
      </c>
      <c r="I8" s="38">
        <v>-166029.76999999999</v>
      </c>
      <c r="J8" s="182">
        <f t="shared" si="3"/>
        <v>383105.80000000016</v>
      </c>
      <c r="K8" s="178">
        <v>-65936.98</v>
      </c>
      <c r="L8" s="38">
        <f t="shared" si="5"/>
        <v>449042.78</v>
      </c>
      <c r="M8" s="38"/>
      <c r="N8" s="38"/>
      <c r="O8" s="37">
        <f t="shared" si="1"/>
        <v>0</v>
      </c>
      <c r="P8" s="38"/>
      <c r="Q8" s="39"/>
      <c r="R8" s="38">
        <f>-[1]reconciliation!E41</f>
        <v>-1279253.8800000006</v>
      </c>
      <c r="S8" s="181">
        <f>-[1]reconciliation!K41</f>
        <v>-532845.4978483998</v>
      </c>
      <c r="T8" s="180">
        <f t="shared" si="4"/>
        <v>-746408.38215160079</v>
      </c>
      <c r="U8" s="34">
        <v>-65936.98</v>
      </c>
    </row>
    <row r="9" spans="2:32" x14ac:dyDescent="0.35">
      <c r="B9" s="177">
        <v>42125</v>
      </c>
      <c r="C9" s="178">
        <f t="shared" ref="C9:C16" si="6">E9-D9</f>
        <v>-1780475.28</v>
      </c>
      <c r="D9" s="179">
        <v>5598.95</v>
      </c>
      <c r="E9" s="178">
        <v>-1774876.33</v>
      </c>
      <c r="F9" s="180">
        <v>-1205055.7</v>
      </c>
      <c r="G9" s="181">
        <f t="shared" si="2"/>
        <v>575419.58000000007</v>
      </c>
      <c r="H9" s="38">
        <v>-111646.83</v>
      </c>
      <c r="I9" s="38">
        <v>-260717.12</v>
      </c>
      <c r="J9" s="182">
        <f t="shared" si="3"/>
        <v>203055.63000000006</v>
      </c>
      <c r="K9" s="178">
        <f>137185.49-66.84</f>
        <v>137118.65</v>
      </c>
      <c r="L9" s="38">
        <f t="shared" si="5"/>
        <v>65936.98</v>
      </c>
      <c r="M9" s="38"/>
      <c r="N9" s="38"/>
      <c r="O9" s="37">
        <f t="shared" si="1"/>
        <v>0</v>
      </c>
      <c r="P9" s="38"/>
      <c r="Q9" s="39"/>
      <c r="R9" s="38">
        <f>-[1]reconciliation!E42</f>
        <v>-1726868.4599999997</v>
      </c>
      <c r="S9" s="181">
        <f>-[1]reconciliation!K42</f>
        <v>-558953.23309840041</v>
      </c>
      <c r="T9" s="180">
        <f t="shared" si="4"/>
        <v>-1167915.2269015992</v>
      </c>
      <c r="U9" s="34">
        <v>137118.65</v>
      </c>
    </row>
    <row r="10" spans="2:32" x14ac:dyDescent="0.35">
      <c r="B10" s="177">
        <v>42156</v>
      </c>
      <c r="C10" s="178">
        <f t="shared" si="6"/>
        <v>-1770360.13</v>
      </c>
      <c r="D10" s="179">
        <v>5502.72</v>
      </c>
      <c r="E10" s="178">
        <v>-1764857.41</v>
      </c>
      <c r="F10" s="180">
        <v>-1208784.8500000001</v>
      </c>
      <c r="G10" s="181">
        <f t="shared" si="2"/>
        <v>561575.2799999998</v>
      </c>
      <c r="H10" s="38">
        <v>-160488.51999999999</v>
      </c>
      <c r="I10" s="38">
        <v>-384774.05</v>
      </c>
      <c r="J10" s="182">
        <f t="shared" si="3"/>
        <v>16312.709999999788</v>
      </c>
      <c r="K10" s="178">
        <v>153431.35999999999</v>
      </c>
      <c r="L10" s="38">
        <f t="shared" si="5"/>
        <v>-137118.65</v>
      </c>
      <c r="M10" s="38"/>
      <c r="N10" s="38"/>
      <c r="O10" s="37">
        <f t="shared" si="1"/>
        <v>0</v>
      </c>
      <c r="P10" s="38"/>
      <c r="Q10" s="39"/>
      <c r="R10" s="38">
        <f>-[1]reconciliation!E43</f>
        <v>-1697393.7900000005</v>
      </c>
      <c r="S10" s="181">
        <f>-[1]reconciliation!K43</f>
        <v>-569269.16375399975</v>
      </c>
      <c r="T10" s="180">
        <f t="shared" si="4"/>
        <v>-1128124.6262460006</v>
      </c>
      <c r="U10" s="34">
        <v>153431.35999999999</v>
      </c>
    </row>
    <row r="11" spans="2:32" x14ac:dyDescent="0.35">
      <c r="B11" s="177">
        <v>42186</v>
      </c>
      <c r="C11" s="178">
        <f t="shared" si="6"/>
        <v>-1751314.01</v>
      </c>
      <c r="D11" s="179">
        <v>11110.55</v>
      </c>
      <c r="E11" s="178">
        <v>-1740203.46</v>
      </c>
      <c r="F11" s="180">
        <v>-1322643.4099999999</v>
      </c>
      <c r="G11" s="181">
        <f t="shared" si="2"/>
        <v>428670.60000000009</v>
      </c>
      <c r="H11" s="38">
        <v>-147289.74</v>
      </c>
      <c r="I11" s="38">
        <v>-397439.52</v>
      </c>
      <c r="J11" s="182">
        <f t="shared" si="3"/>
        <v>-116058.65999999992</v>
      </c>
      <c r="K11" s="178">
        <v>37372.699999999997</v>
      </c>
      <c r="L11" s="38">
        <f t="shared" si="5"/>
        <v>-153431.35999999999</v>
      </c>
      <c r="M11" s="38"/>
      <c r="N11" s="38"/>
      <c r="O11" s="37">
        <f t="shared" si="1"/>
        <v>0</v>
      </c>
      <c r="P11" s="38"/>
      <c r="Q11" s="39"/>
      <c r="R11" s="38">
        <f>-[1]reconciliation!E44</f>
        <v>-1948929.8800000011</v>
      </c>
      <c r="S11" s="181">
        <f>-[1]reconciliation!K44</f>
        <v>-498452.35681920085</v>
      </c>
      <c r="T11" s="180">
        <f t="shared" si="4"/>
        <v>-1450477.5231808003</v>
      </c>
      <c r="U11" s="34">
        <v>37372.699999999997</v>
      </c>
    </row>
    <row r="12" spans="2:32" x14ac:dyDescent="0.35">
      <c r="B12" s="177">
        <v>42217</v>
      </c>
      <c r="C12" s="178">
        <f t="shared" si="6"/>
        <v>-1705014.9300000002</v>
      </c>
      <c r="D12" s="179">
        <v>10639.58</v>
      </c>
      <c r="E12" s="178">
        <v>-1694375.35</v>
      </c>
      <c r="F12" s="180">
        <v>-1059351.44</v>
      </c>
      <c r="G12" s="181">
        <f t="shared" si="2"/>
        <v>645663.49000000022</v>
      </c>
      <c r="H12" s="38">
        <v>-162079.07999999999</v>
      </c>
      <c r="I12" s="38">
        <v>-397139.19</v>
      </c>
      <c r="J12" s="182">
        <f t="shared" si="3"/>
        <v>86445.220000000263</v>
      </c>
      <c r="K12" s="178">
        <v>123817.92</v>
      </c>
      <c r="L12" s="38">
        <f t="shared" si="5"/>
        <v>-37372.699999999997</v>
      </c>
      <c r="M12" s="38"/>
      <c r="N12" s="38"/>
      <c r="O12" s="37">
        <f t="shared" si="1"/>
        <v>2.6193447411060333E-10</v>
      </c>
      <c r="P12" s="38"/>
      <c r="Q12" s="39"/>
      <c r="R12" s="38">
        <f>-[1]reconciliation!E45</f>
        <v>-1842962.47</v>
      </c>
      <c r="S12" s="181">
        <f>-[1]reconciliation!K45</f>
        <v>-504167.16057299997</v>
      </c>
      <c r="T12" s="180">
        <f t="shared" si="4"/>
        <v>-1338795.3094270001</v>
      </c>
      <c r="U12" s="34">
        <v>123817.92</v>
      </c>
    </row>
    <row r="13" spans="2:32" x14ac:dyDescent="0.35">
      <c r="B13" s="177">
        <v>42248</v>
      </c>
      <c r="C13" s="178">
        <f t="shared" si="6"/>
        <v>-1356202.52</v>
      </c>
      <c r="D13" s="179">
        <v>9087.83</v>
      </c>
      <c r="E13" s="178">
        <v>-1347114.69</v>
      </c>
      <c r="F13" s="180">
        <v>-990451.42</v>
      </c>
      <c r="G13" s="181">
        <f t="shared" si="2"/>
        <v>365751.1</v>
      </c>
      <c r="H13" s="38">
        <v>-150787.04</v>
      </c>
      <c r="I13" s="38">
        <v>-412713.48</v>
      </c>
      <c r="J13" s="182">
        <f t="shared" si="3"/>
        <v>-197749.42</v>
      </c>
      <c r="K13" s="178">
        <v>-73931.5</v>
      </c>
      <c r="L13" s="38">
        <f t="shared" si="5"/>
        <v>-123817.92</v>
      </c>
      <c r="M13" s="38"/>
      <c r="N13" s="38"/>
      <c r="O13" s="37">
        <f t="shared" si="1"/>
        <v>0</v>
      </c>
      <c r="P13" s="38"/>
      <c r="Q13" s="39"/>
      <c r="R13" s="38">
        <f>-[1]reconciliation!E46</f>
        <v>-1650860.6900000002</v>
      </c>
      <c r="S13" s="181">
        <f>-[1]reconciliation!K46</f>
        <v>-416067.9785446999</v>
      </c>
      <c r="T13" s="180">
        <f t="shared" si="4"/>
        <v>-1234792.7114553002</v>
      </c>
      <c r="U13" s="34">
        <v>-73931.5</v>
      </c>
    </row>
    <row r="14" spans="2:32" x14ac:dyDescent="0.35">
      <c r="B14" s="177">
        <v>42278</v>
      </c>
      <c r="C14" s="178">
        <f t="shared" si="6"/>
        <v>-1495037.77</v>
      </c>
      <c r="D14" s="179">
        <v>10850</v>
      </c>
      <c r="E14" s="178">
        <v>-1484187.77</v>
      </c>
      <c r="F14" s="180">
        <v>-956831.1</v>
      </c>
      <c r="G14" s="181">
        <f t="shared" si="2"/>
        <v>538206.67000000004</v>
      </c>
      <c r="H14" s="38">
        <v>-133837.21</v>
      </c>
      <c r="I14" s="38">
        <v>-380896.88</v>
      </c>
      <c r="J14" s="182">
        <f t="shared" si="3"/>
        <v>23472.580000000075</v>
      </c>
      <c r="K14" s="178">
        <v>-50458.92</v>
      </c>
      <c r="L14" s="38">
        <f t="shared" si="5"/>
        <v>73931.5</v>
      </c>
      <c r="M14" s="38"/>
      <c r="N14" s="38"/>
      <c r="O14" s="37">
        <f t="shared" si="1"/>
        <v>0</v>
      </c>
      <c r="P14" s="38"/>
      <c r="Q14" s="39"/>
      <c r="R14" s="38">
        <f>-[1]reconciliation!E47</f>
        <v>-1240326.7200000004</v>
      </c>
      <c r="S14" s="181">
        <f>-[1]reconciliation!K47</f>
        <v>-470965.45026559953</v>
      </c>
      <c r="T14" s="180">
        <f t="shared" si="4"/>
        <v>-769361.26973440091</v>
      </c>
      <c r="U14" s="34">
        <v>-50458.92</v>
      </c>
    </row>
    <row r="15" spans="2:32" x14ac:dyDescent="0.35">
      <c r="B15" s="177">
        <v>42309</v>
      </c>
      <c r="C15" s="178">
        <f t="shared" si="6"/>
        <v>-2473230.87</v>
      </c>
      <c r="D15" s="179">
        <v>6819.37</v>
      </c>
      <c r="E15" s="178">
        <v>-2466411.5</v>
      </c>
      <c r="F15" s="180">
        <v>-1738498.76</v>
      </c>
      <c r="G15" s="181">
        <f t="shared" si="2"/>
        <v>734732.1100000001</v>
      </c>
      <c r="H15" s="38">
        <v>-105154.01</v>
      </c>
      <c r="I15" s="38">
        <v>-281985.02</v>
      </c>
      <c r="J15" s="182">
        <f t="shared" si="3"/>
        <v>347593.08000000007</v>
      </c>
      <c r="K15" s="178">
        <v>297134.15999999997</v>
      </c>
      <c r="L15" s="38">
        <f t="shared" si="5"/>
        <v>50458.92</v>
      </c>
      <c r="M15" s="38"/>
      <c r="N15" s="38"/>
      <c r="O15" s="37">
        <f t="shared" si="1"/>
        <v>1.0186340659856796E-10</v>
      </c>
      <c r="P15" s="38"/>
      <c r="Q15" s="39"/>
      <c r="R15" s="38">
        <f>-[1]reconciliation!E48</f>
        <v>-1524123.1900000002</v>
      </c>
      <c r="S15" s="181">
        <f>-[1]reconciliation!K48</f>
        <v>-691679.98190800019</v>
      </c>
      <c r="T15" s="180">
        <f t="shared" si="4"/>
        <v>-832443.20809199999</v>
      </c>
      <c r="U15" s="34">
        <v>297134.15999999997</v>
      </c>
    </row>
    <row r="16" spans="2:32" x14ac:dyDescent="0.35">
      <c r="B16" s="183">
        <v>42339</v>
      </c>
      <c r="C16" s="41">
        <f t="shared" si="6"/>
        <v>-1979121.85</v>
      </c>
      <c r="D16" s="184">
        <v>5739.49</v>
      </c>
      <c r="E16" s="41">
        <v>-1973382.36</v>
      </c>
      <c r="F16" s="43">
        <v>-1436196.78</v>
      </c>
      <c r="G16" s="44">
        <f t="shared" si="2"/>
        <v>542925.07000000007</v>
      </c>
      <c r="H16" s="185">
        <v>-125022.01</v>
      </c>
      <c r="I16" s="185">
        <v>-351400.92</v>
      </c>
      <c r="J16" s="46">
        <f t="shared" si="3"/>
        <v>66502.140000000072</v>
      </c>
      <c r="K16" s="178">
        <v>363636.3</v>
      </c>
      <c r="L16" s="38">
        <f t="shared" si="5"/>
        <v>-297134.15999999997</v>
      </c>
      <c r="M16" s="38"/>
      <c r="N16" s="38"/>
      <c r="O16" s="37">
        <f t="shared" si="1"/>
        <v>0</v>
      </c>
      <c r="P16" s="38"/>
      <c r="Q16" s="39"/>
      <c r="R16" s="38">
        <f>-[1]reconciliation!E49</f>
        <v>-2552961.4900000016</v>
      </c>
      <c r="S16" s="181">
        <f>-[1]reconciliation!K49</f>
        <v>-604416.49338840018</v>
      </c>
      <c r="T16" s="180">
        <f t="shared" si="4"/>
        <v>-1948544.9966116014</v>
      </c>
      <c r="U16" s="34">
        <v>363636.3</v>
      </c>
      <c r="W16" s="47" t="s">
        <v>55</v>
      </c>
      <c r="X16" s="48">
        <v>2015</v>
      </c>
    </row>
    <row r="17" spans="2:24" x14ac:dyDescent="0.35">
      <c r="B17" s="177"/>
      <c r="C17" s="178">
        <f>SUM(C5:C16)</f>
        <v>-20001367.710000001</v>
      </c>
      <c r="D17" s="179">
        <f>SUM(D5:D16)</f>
        <v>66058.52</v>
      </c>
      <c r="E17" s="178">
        <f>SUM(E5:E16)</f>
        <v>-19935309.189999998</v>
      </c>
      <c r="F17" s="180">
        <f t="shared" ref="F17:T17" si="7">SUM(F5:F16)</f>
        <v>-14136087.489999998</v>
      </c>
      <c r="G17" s="181">
        <f t="shared" si="7"/>
        <v>5865280.2200000016</v>
      </c>
      <c r="H17" s="38">
        <f t="shared" si="7"/>
        <v>-1613605.8599999999</v>
      </c>
      <c r="I17" s="38">
        <f t="shared" si="7"/>
        <v>-3888038.06</v>
      </c>
      <c r="J17" s="182">
        <f t="shared" si="7"/>
        <v>363636.30000000069</v>
      </c>
      <c r="K17" s="178"/>
      <c r="L17" s="38"/>
      <c r="M17" s="38"/>
      <c r="N17" s="38"/>
      <c r="O17" s="37"/>
      <c r="P17" s="38"/>
      <c r="Q17" s="186" t="s">
        <v>56</v>
      </c>
      <c r="R17" s="187">
        <f t="shared" si="7"/>
        <v>-19602554.650000006</v>
      </c>
      <c r="S17" s="188">
        <f>SUM(S5:S16)</f>
        <v>-5838984.5246105008</v>
      </c>
      <c r="T17" s="189">
        <f t="shared" si="7"/>
        <v>-13763570.125389503</v>
      </c>
      <c r="U17" s="34"/>
    </row>
    <row r="18" spans="2:24" x14ac:dyDescent="0.35">
      <c r="B18" s="177"/>
      <c r="C18" s="178"/>
      <c r="D18" s="179"/>
      <c r="E18" s="178"/>
      <c r="F18" s="180"/>
      <c r="G18" s="181"/>
      <c r="H18" s="38"/>
      <c r="I18" s="38"/>
      <c r="J18" s="182"/>
      <c r="K18" s="178"/>
      <c r="L18" s="38"/>
      <c r="M18" s="38"/>
      <c r="N18" s="38"/>
      <c r="O18" s="37"/>
      <c r="P18" s="38"/>
      <c r="Q18" s="186" t="s">
        <v>57</v>
      </c>
      <c r="R18" s="187">
        <f>C17</f>
        <v>-20001367.710000001</v>
      </c>
      <c r="S18" s="188">
        <f>-G17</f>
        <v>-5865280.2200000016</v>
      </c>
      <c r="T18" s="189">
        <f>F17</f>
        <v>-14136087.489999998</v>
      </c>
      <c r="U18" s="34"/>
      <c r="W18" t="s">
        <v>58</v>
      </c>
      <c r="X18" s="3">
        <f>S19</f>
        <v>26295.695389500819</v>
      </c>
    </row>
    <row r="19" spans="2:24" x14ac:dyDescent="0.35">
      <c r="B19" s="177"/>
      <c r="C19" s="178"/>
      <c r="D19" s="179"/>
      <c r="E19" s="178"/>
      <c r="F19" s="180"/>
      <c r="G19" s="181"/>
      <c r="H19" s="38"/>
      <c r="I19" s="38"/>
      <c r="J19" s="182"/>
      <c r="K19" s="178"/>
      <c r="L19" s="38"/>
      <c r="M19" s="38"/>
      <c r="N19" s="38"/>
      <c r="O19" s="37">
        <f>R19-S19-T19</f>
        <v>-9.3132257461547852E-10</v>
      </c>
      <c r="P19" s="38"/>
      <c r="Q19" s="186" t="s">
        <v>51</v>
      </c>
      <c r="R19" s="187">
        <f>R17-R18</f>
        <v>398813.05999999493</v>
      </c>
      <c r="S19" s="188">
        <f>S17-S18</f>
        <v>26295.695389500819</v>
      </c>
      <c r="T19" s="189">
        <f t="shared" ref="T19" si="8">T17-T18</f>
        <v>372517.36461049505</v>
      </c>
      <c r="U19" s="34"/>
      <c r="W19" t="s">
        <v>59</v>
      </c>
      <c r="X19" s="3">
        <f>-X18</f>
        <v>-26295.695389500819</v>
      </c>
    </row>
    <row r="20" spans="2:24" x14ac:dyDescent="0.35">
      <c r="B20" s="177"/>
      <c r="C20" s="178"/>
      <c r="D20" s="179"/>
      <c r="E20" s="178"/>
      <c r="F20" s="180"/>
      <c r="G20" s="181"/>
      <c r="H20" s="38"/>
      <c r="I20" s="38"/>
      <c r="J20" s="182"/>
      <c r="K20" s="178"/>
      <c r="L20" s="38"/>
      <c r="M20" s="38"/>
      <c r="N20" s="38"/>
      <c r="O20" s="37"/>
      <c r="P20" s="38"/>
      <c r="Q20" s="186"/>
      <c r="R20" s="187"/>
      <c r="S20" s="188"/>
      <c r="T20" s="189"/>
      <c r="U20" s="34"/>
      <c r="V20" s="38"/>
    </row>
    <row r="21" spans="2:24" x14ac:dyDescent="0.35">
      <c r="B21" s="177">
        <v>42370</v>
      </c>
      <c r="C21" s="178">
        <f t="shared" ref="C21:C48" si="9">E21-D21</f>
        <v>-2327022.5699999998</v>
      </c>
      <c r="D21" s="179">
        <v>6587.6599999996834</v>
      </c>
      <c r="E21" s="178">
        <v>-2320434.91</v>
      </c>
      <c r="F21" s="180">
        <v>-1696971.31</v>
      </c>
      <c r="G21" s="181">
        <f t="shared" ref="G21:G48" si="10">F21-C21</f>
        <v>630051.25999999978</v>
      </c>
      <c r="H21" s="38">
        <v>-202431.52</v>
      </c>
      <c r="I21" s="38">
        <v>-522630.68</v>
      </c>
      <c r="J21" s="182">
        <f t="shared" si="3"/>
        <v>-95010.940000000235</v>
      </c>
      <c r="K21" s="178">
        <v>-95010.94</v>
      </c>
      <c r="L21" s="38">
        <v>0</v>
      </c>
      <c r="M21" s="38"/>
      <c r="N21" s="38"/>
      <c r="O21" s="37">
        <f>J21-K21-L21</f>
        <v>-2.3283064365386963E-10</v>
      </c>
      <c r="P21" s="38"/>
      <c r="Q21" s="39"/>
      <c r="R21" s="38">
        <f>-[1]reconciliation!E50</f>
        <v>-2095657.5099999998</v>
      </c>
      <c r="S21" s="181">
        <f>-[1]reconciliation!K50</f>
        <v>-617107.81406299968</v>
      </c>
      <c r="T21" s="180">
        <f t="shared" si="4"/>
        <v>-1478549.6959370002</v>
      </c>
      <c r="U21" s="34">
        <f t="shared" ref="U21:U48" si="11">J21</f>
        <v>-95010.940000000235</v>
      </c>
    </row>
    <row r="22" spans="2:24" x14ac:dyDescent="0.35">
      <c r="B22" s="177">
        <v>42401</v>
      </c>
      <c r="C22" s="178">
        <f t="shared" si="9"/>
        <v>-2279814.62</v>
      </c>
      <c r="D22" s="179">
        <v>6301.5900000003166</v>
      </c>
      <c r="E22" s="178">
        <v>-2273513.0299999998</v>
      </c>
      <c r="F22" s="180">
        <v>-1575102.41</v>
      </c>
      <c r="G22" s="181">
        <f t="shared" si="10"/>
        <v>704712.2100000002</v>
      </c>
      <c r="H22" s="38">
        <v>-154506.88</v>
      </c>
      <c r="I22" s="38">
        <v>-413825.56</v>
      </c>
      <c r="J22" s="182">
        <f t="shared" si="3"/>
        <v>136379.77000000019</v>
      </c>
      <c r="K22" s="178">
        <v>41368.83</v>
      </c>
      <c r="L22" s="38">
        <f t="shared" si="5"/>
        <v>95010.94</v>
      </c>
      <c r="M22" s="38"/>
      <c r="N22" s="38"/>
      <c r="O22" s="37">
        <f t="shared" ref="O22:O48" si="12">J22-K22-L22</f>
        <v>1.8917489796876907E-10</v>
      </c>
      <c r="P22" s="38"/>
      <c r="Q22" s="39"/>
      <c r="R22" s="38">
        <f>-[1]reconciliation!E51</f>
        <v>-2385085.9500000007</v>
      </c>
      <c r="S22" s="181">
        <f>-[1]reconciliation!K51</f>
        <v>-620430.74664900138</v>
      </c>
      <c r="T22" s="180">
        <f t="shared" si="4"/>
        <v>-1764655.2033509994</v>
      </c>
      <c r="U22" s="34">
        <f t="shared" si="11"/>
        <v>136379.77000000019</v>
      </c>
    </row>
    <row r="23" spans="2:24" x14ac:dyDescent="0.35">
      <c r="B23" s="177">
        <v>42430</v>
      </c>
      <c r="C23" s="178">
        <f t="shared" si="9"/>
        <v>-2346825.29</v>
      </c>
      <c r="D23" s="179">
        <v>6221.0499999998137</v>
      </c>
      <c r="E23" s="178">
        <v>-2340604.2400000002</v>
      </c>
      <c r="F23" s="180">
        <v>-1583667.98</v>
      </c>
      <c r="G23" s="181">
        <f t="shared" si="10"/>
        <v>763157.31</v>
      </c>
      <c r="H23" s="38">
        <v>-181098.23</v>
      </c>
      <c r="I23" s="38">
        <v>-475043.21</v>
      </c>
      <c r="J23" s="182">
        <f t="shared" si="3"/>
        <v>107015.87000000005</v>
      </c>
      <c r="K23" s="178">
        <v>148384.70000000001</v>
      </c>
      <c r="L23" s="38">
        <f t="shared" si="5"/>
        <v>-41368.83</v>
      </c>
      <c r="M23" s="38"/>
      <c r="N23" s="38"/>
      <c r="O23" s="37">
        <f t="shared" si="12"/>
        <v>0</v>
      </c>
      <c r="P23" s="38"/>
      <c r="Q23" s="39"/>
      <c r="R23" s="38">
        <f>-[1]reconciliation!E52</f>
        <v>-1982557.6499999994</v>
      </c>
      <c r="S23" s="181">
        <f>-[1]reconciliation!K52</f>
        <v>-686059.25982200017</v>
      </c>
      <c r="T23" s="180">
        <f t="shared" si="4"/>
        <v>-1296498.3901779992</v>
      </c>
      <c r="U23" s="34">
        <f t="shared" si="11"/>
        <v>107015.87000000005</v>
      </c>
    </row>
    <row r="24" spans="2:24" x14ac:dyDescent="0.35">
      <c r="B24" s="177">
        <v>42461</v>
      </c>
      <c r="C24" s="178">
        <f t="shared" si="9"/>
        <v>-2246977.66</v>
      </c>
      <c r="D24" s="179">
        <v>6548.4399999999441</v>
      </c>
      <c r="E24" s="178">
        <v>-2240429.2200000002</v>
      </c>
      <c r="F24" s="180">
        <v>-1548237.59</v>
      </c>
      <c r="G24" s="181">
        <f t="shared" si="10"/>
        <v>698740.07000000007</v>
      </c>
      <c r="H24" s="38">
        <v>-150194.12</v>
      </c>
      <c r="I24" s="38">
        <v>-431516.08</v>
      </c>
      <c r="J24" s="182">
        <f t="shared" si="3"/>
        <v>117029.87000000005</v>
      </c>
      <c r="K24" s="178">
        <v>265414.57</v>
      </c>
      <c r="L24" s="38">
        <f t="shared" si="5"/>
        <v>-148384.70000000001</v>
      </c>
      <c r="M24" s="38"/>
      <c r="N24" s="38"/>
      <c r="O24" s="37">
        <f t="shared" si="12"/>
        <v>0</v>
      </c>
      <c r="P24" s="38"/>
      <c r="Q24" s="39"/>
      <c r="R24" s="38">
        <f>-[1]reconciliation!E53</f>
        <v>-2433886.5800000005</v>
      </c>
      <c r="S24" s="181">
        <f>-[1]reconciliation!K53</f>
        <v>-676525.8530887987</v>
      </c>
      <c r="T24" s="180">
        <f t="shared" si="4"/>
        <v>-1757360.7269112018</v>
      </c>
      <c r="U24" s="34">
        <f t="shared" si="11"/>
        <v>117029.87000000005</v>
      </c>
    </row>
    <row r="25" spans="2:24" x14ac:dyDescent="0.35">
      <c r="B25" s="177">
        <v>42491</v>
      </c>
      <c r="C25" s="178">
        <f t="shared" si="9"/>
        <v>-2055476.51</v>
      </c>
      <c r="D25" s="179">
        <v>6659.7399999999907</v>
      </c>
      <c r="E25" s="178">
        <v>-2048816.77</v>
      </c>
      <c r="F25" s="180">
        <v>-1468333.83</v>
      </c>
      <c r="G25" s="181">
        <f t="shared" si="10"/>
        <v>587142.67999999993</v>
      </c>
      <c r="H25" s="38">
        <v>-186132.27</v>
      </c>
      <c r="I25" s="38">
        <v>-549807.44999999995</v>
      </c>
      <c r="J25" s="182">
        <f t="shared" si="3"/>
        <v>-148797.04000000004</v>
      </c>
      <c r="K25" s="178">
        <v>116617.53</v>
      </c>
      <c r="L25" s="38">
        <f t="shared" si="5"/>
        <v>-265414.57</v>
      </c>
      <c r="M25" s="38"/>
      <c r="N25" s="38"/>
      <c r="O25" s="37">
        <f t="shared" si="12"/>
        <v>0</v>
      </c>
      <c r="P25" s="38"/>
      <c r="Q25" s="39"/>
      <c r="R25" s="38">
        <f>-[1]reconciliation!E54</f>
        <v>-1984722.1600000006</v>
      </c>
      <c r="S25" s="181">
        <f>-[1]reconciliation!K54</f>
        <v>-641329.56568560086</v>
      </c>
      <c r="T25" s="180">
        <f t="shared" si="4"/>
        <v>-1343392.5943143996</v>
      </c>
      <c r="U25" s="34">
        <f t="shared" si="11"/>
        <v>-148797.04000000004</v>
      </c>
    </row>
    <row r="26" spans="2:24" x14ac:dyDescent="0.35">
      <c r="B26" s="177">
        <v>42522</v>
      </c>
      <c r="C26" s="178">
        <f t="shared" si="9"/>
        <v>-1880328.54</v>
      </c>
      <c r="D26" s="179">
        <v>8021.8000000000466</v>
      </c>
      <c r="E26" s="178">
        <v>-1872306.74</v>
      </c>
      <c r="F26" s="180">
        <v>-1250102.0900000001</v>
      </c>
      <c r="G26" s="181">
        <f t="shared" si="10"/>
        <v>630226.44999999995</v>
      </c>
      <c r="H26" s="38">
        <v>-164170.94</v>
      </c>
      <c r="I26" s="38">
        <v>-456694.05</v>
      </c>
      <c r="J26" s="182">
        <f t="shared" si="3"/>
        <v>9361.4599999999627</v>
      </c>
      <c r="K26" s="178">
        <v>125978.99</v>
      </c>
      <c r="L26" s="38">
        <f t="shared" si="5"/>
        <v>-116617.53</v>
      </c>
      <c r="M26" s="38"/>
      <c r="N26" s="38"/>
      <c r="O26" s="37">
        <f t="shared" si="12"/>
        <v>0</v>
      </c>
      <c r="P26" s="38"/>
      <c r="Q26" s="39"/>
      <c r="R26" s="38">
        <f>-[1]reconciliation!E55</f>
        <v>-2320358.4700000002</v>
      </c>
      <c r="S26" s="181">
        <f>-[1]reconciliation!K55</f>
        <v>-574945.63687800034</v>
      </c>
      <c r="T26" s="180">
        <f t="shared" si="4"/>
        <v>-1745412.8331219999</v>
      </c>
      <c r="U26" s="34">
        <f t="shared" si="11"/>
        <v>9361.4599999999627</v>
      </c>
    </row>
    <row r="27" spans="2:24" x14ac:dyDescent="0.35">
      <c r="B27" s="177">
        <v>42552</v>
      </c>
      <c r="C27" s="178">
        <f t="shared" si="9"/>
        <v>-1987580.82</v>
      </c>
      <c r="D27" s="179">
        <v>9540.2800000000279</v>
      </c>
      <c r="E27" s="178">
        <v>-1978040.54</v>
      </c>
      <c r="F27" s="180">
        <v>-1434684.61</v>
      </c>
      <c r="G27" s="181">
        <f t="shared" si="10"/>
        <v>552896.21</v>
      </c>
      <c r="H27" s="38">
        <v>-192517.98</v>
      </c>
      <c r="I27" s="38">
        <v>-535759.69999999995</v>
      </c>
      <c r="J27" s="182">
        <f t="shared" si="3"/>
        <v>-175381.46999999997</v>
      </c>
      <c r="K27" s="178">
        <v>-49402.48</v>
      </c>
      <c r="L27" s="38">
        <f t="shared" si="5"/>
        <v>-125978.99</v>
      </c>
      <c r="M27" s="38"/>
      <c r="N27" s="38"/>
      <c r="O27" s="37">
        <f t="shared" si="12"/>
        <v>0</v>
      </c>
      <c r="P27" s="38"/>
      <c r="Q27" s="39"/>
      <c r="R27" s="38">
        <f>-[1]reconciliation!E56</f>
        <v>-1814305.9900000005</v>
      </c>
      <c r="S27" s="181">
        <f>-[1]reconciliation!K56</f>
        <v>-531601.34874219948</v>
      </c>
      <c r="T27" s="180">
        <f t="shared" si="4"/>
        <v>-1282704.6412578011</v>
      </c>
      <c r="U27" s="34">
        <f t="shared" si="11"/>
        <v>-175381.46999999997</v>
      </c>
    </row>
    <row r="28" spans="2:24" x14ac:dyDescent="0.35">
      <c r="B28" s="177">
        <v>42583</v>
      </c>
      <c r="C28" s="178">
        <f t="shared" si="9"/>
        <v>-1782082.92</v>
      </c>
      <c r="D28" s="179">
        <v>8397.0300000000279</v>
      </c>
      <c r="E28" s="178">
        <v>-1773685.89</v>
      </c>
      <c r="F28" s="180">
        <v>-1264620.24</v>
      </c>
      <c r="G28" s="181">
        <f t="shared" si="10"/>
        <v>517462.67999999993</v>
      </c>
      <c r="H28" s="38">
        <v>-142047.78</v>
      </c>
      <c r="I28" s="38">
        <v>-326163.40999999997</v>
      </c>
      <c r="J28" s="182">
        <f t="shared" si="3"/>
        <v>49251.489999999932</v>
      </c>
      <c r="K28" s="178">
        <v>-150.99</v>
      </c>
      <c r="L28" s="38">
        <f t="shared" si="5"/>
        <v>49402.48</v>
      </c>
      <c r="M28" s="38"/>
      <c r="N28" s="38"/>
      <c r="O28" s="37">
        <f t="shared" si="12"/>
        <v>-7.2759576141834259E-11</v>
      </c>
      <c r="P28" s="38"/>
      <c r="Q28" s="39"/>
      <c r="R28" s="38">
        <f>-[1]reconciliation!E57</f>
        <v>-2111191.9500000011</v>
      </c>
      <c r="S28" s="181">
        <f>-[1]reconciliation!K57</f>
        <v>-476597.569901001</v>
      </c>
      <c r="T28" s="180">
        <f t="shared" si="4"/>
        <v>-1634594.3800990002</v>
      </c>
      <c r="U28" s="34">
        <f t="shared" si="11"/>
        <v>49251.489999999932</v>
      </c>
    </row>
    <row r="29" spans="2:24" x14ac:dyDescent="0.35">
      <c r="B29" s="177">
        <v>42614</v>
      </c>
      <c r="C29" s="178">
        <f t="shared" si="9"/>
        <v>-1875012.23</v>
      </c>
      <c r="D29" s="179">
        <v>5953.2199999999721</v>
      </c>
      <c r="E29" s="178">
        <v>-1869059.01</v>
      </c>
      <c r="F29" s="180">
        <v>-1185183.77</v>
      </c>
      <c r="G29" s="181">
        <f t="shared" si="10"/>
        <v>689828.46</v>
      </c>
      <c r="H29" s="38">
        <v>-163662.66</v>
      </c>
      <c r="I29" s="38">
        <v>-411389.83</v>
      </c>
      <c r="J29" s="182">
        <f t="shared" si="3"/>
        <v>114775.96999999991</v>
      </c>
      <c r="K29" s="178">
        <v>114624.98</v>
      </c>
      <c r="L29" s="38">
        <f t="shared" si="5"/>
        <v>150.99</v>
      </c>
      <c r="M29" s="38"/>
      <c r="N29" s="38"/>
      <c r="O29" s="37">
        <f t="shared" si="12"/>
        <v>-8.2081896835006773E-11</v>
      </c>
      <c r="P29" s="38"/>
      <c r="Q29" s="39"/>
      <c r="R29" s="38">
        <f>-[1]reconciliation!E58</f>
        <v>-1369886.3700000006</v>
      </c>
      <c r="S29" s="181">
        <f>-[1]reconciliation!K58</f>
        <v>-583072.33607009973</v>
      </c>
      <c r="T29" s="180">
        <f t="shared" si="4"/>
        <v>-786814.03392990085</v>
      </c>
      <c r="U29" s="34">
        <f t="shared" si="11"/>
        <v>114775.96999999991</v>
      </c>
    </row>
    <row r="30" spans="2:24" x14ac:dyDescent="0.35">
      <c r="B30" s="177">
        <v>42644</v>
      </c>
      <c r="C30" s="178">
        <f t="shared" si="9"/>
        <v>-2218630.54</v>
      </c>
      <c r="D30" s="179">
        <v>10563.839999999851</v>
      </c>
      <c r="E30" s="178">
        <v>-2208066.7000000002</v>
      </c>
      <c r="F30" s="180">
        <v>-1552812.4</v>
      </c>
      <c r="G30" s="181">
        <f t="shared" si="10"/>
        <v>665818.14000000013</v>
      </c>
      <c r="H30" s="38">
        <v>-108659.68</v>
      </c>
      <c r="I30" s="38">
        <v>-320373.28999999998</v>
      </c>
      <c r="J30" s="182">
        <f t="shared" si="3"/>
        <v>236785.17000000022</v>
      </c>
      <c r="K30" s="178">
        <v>351410.15</v>
      </c>
      <c r="L30" s="38">
        <f t="shared" si="5"/>
        <v>-114624.98</v>
      </c>
      <c r="M30" s="38"/>
      <c r="N30" s="38"/>
      <c r="O30" s="37">
        <f t="shared" si="12"/>
        <v>1.8917489796876907E-10</v>
      </c>
      <c r="P30" s="38"/>
      <c r="Q30" s="39"/>
      <c r="R30" s="38">
        <f>-[1]reconciliation!E59</f>
        <v>-1877755.11</v>
      </c>
      <c r="S30" s="181">
        <f>-[1]reconciliation!K59</f>
        <v>-713202.0302844001</v>
      </c>
      <c r="T30" s="180">
        <f t="shared" si="4"/>
        <v>-1164553.0797156</v>
      </c>
      <c r="U30" s="34">
        <f t="shared" si="11"/>
        <v>236785.17000000022</v>
      </c>
    </row>
    <row r="31" spans="2:24" x14ac:dyDescent="0.35">
      <c r="B31" s="177">
        <v>42675</v>
      </c>
      <c r="C31" s="178">
        <f t="shared" si="9"/>
        <v>-2414482.5099999998</v>
      </c>
      <c r="D31" s="179">
        <v>9575.3599999998696</v>
      </c>
      <c r="E31" s="178">
        <v>-2404907.15</v>
      </c>
      <c r="F31" s="180">
        <v>-1642195.3</v>
      </c>
      <c r="G31" s="181">
        <f t="shared" si="10"/>
        <v>772287.20999999973</v>
      </c>
      <c r="H31" s="38">
        <v>-147633.78</v>
      </c>
      <c r="I31" s="38">
        <v>-472787.65</v>
      </c>
      <c r="J31" s="182">
        <f t="shared" si="3"/>
        <v>151865.77999999968</v>
      </c>
      <c r="K31" s="178">
        <v>503275.93</v>
      </c>
      <c r="L31" s="38">
        <f t="shared" si="5"/>
        <v>-351410.15</v>
      </c>
      <c r="M31" s="38"/>
      <c r="N31" s="38"/>
      <c r="O31" s="37">
        <f t="shared" si="12"/>
        <v>0</v>
      </c>
      <c r="P31" s="38"/>
      <c r="Q31" s="39"/>
      <c r="R31" s="38">
        <f>-[1]reconciliation!E60</f>
        <v>-2482941.6599999992</v>
      </c>
      <c r="S31" s="181">
        <f>-[1]reconciliation!K60</f>
        <v>-714188.15513010032</v>
      </c>
      <c r="T31" s="180">
        <f t="shared" si="4"/>
        <v>-1768753.5048698988</v>
      </c>
      <c r="U31" s="34">
        <f t="shared" si="11"/>
        <v>151865.77999999968</v>
      </c>
    </row>
    <row r="32" spans="2:24" x14ac:dyDescent="0.35">
      <c r="B32" s="183">
        <v>42705</v>
      </c>
      <c r="C32" s="41">
        <f t="shared" si="9"/>
        <v>-2032114.14</v>
      </c>
      <c r="D32" s="184">
        <v>8868.8799999999992</v>
      </c>
      <c r="E32" s="41">
        <v>-2023245.26</v>
      </c>
      <c r="F32" s="43">
        <v>-1422068.91</v>
      </c>
      <c r="G32" s="44">
        <f t="shared" si="10"/>
        <v>610045.23</v>
      </c>
      <c r="H32" s="185">
        <v>-187287.55</v>
      </c>
      <c r="I32" s="185">
        <v>-601754.35</v>
      </c>
      <c r="J32" s="46">
        <f t="shared" si="3"/>
        <v>-178996.66999999998</v>
      </c>
      <c r="K32" s="178">
        <v>324279.26</v>
      </c>
      <c r="L32" s="38">
        <f t="shared" si="5"/>
        <v>-503275.93</v>
      </c>
      <c r="M32" s="38"/>
      <c r="N32" s="38"/>
      <c r="O32" s="37">
        <f t="shared" si="12"/>
        <v>0</v>
      </c>
      <c r="P32" s="38"/>
      <c r="Q32" s="39"/>
      <c r="R32" s="38">
        <f>-[1]reconciliation!E61</f>
        <v>-2581571.180000002</v>
      </c>
      <c r="S32" s="181">
        <f>-[1]reconciliation!K61</f>
        <v>-573061.52130360052</v>
      </c>
      <c r="T32" s="180">
        <f t="shared" si="4"/>
        <v>-2008509.6586964014</v>
      </c>
      <c r="U32" s="34">
        <f t="shared" si="11"/>
        <v>-178996.66999999998</v>
      </c>
      <c r="W32" s="47" t="s">
        <v>55</v>
      </c>
      <c r="X32" s="48">
        <v>2016</v>
      </c>
    </row>
    <row r="33" spans="2:24" x14ac:dyDescent="0.35">
      <c r="B33" s="177"/>
      <c r="C33" s="178">
        <f>SUM(C21:C32)</f>
        <v>-25446348.350000001</v>
      </c>
      <c r="D33" s="179">
        <f>SUM(D21:D32)</f>
        <v>93238.889999999548</v>
      </c>
      <c r="E33" s="178">
        <f>SUM(E21:E32)</f>
        <v>-25353109.460000001</v>
      </c>
      <c r="F33" s="180">
        <f t="shared" ref="F33:J33" si="13">SUM(F21:F32)</f>
        <v>-17623980.439999998</v>
      </c>
      <c r="G33" s="181">
        <f t="shared" si="13"/>
        <v>7822367.9100000001</v>
      </c>
      <c r="H33" s="38">
        <f t="shared" si="13"/>
        <v>-1980343.39</v>
      </c>
      <c r="I33" s="38">
        <f t="shared" si="13"/>
        <v>-5517745.2599999998</v>
      </c>
      <c r="J33" s="182">
        <f t="shared" si="13"/>
        <v>324279.25999999978</v>
      </c>
      <c r="K33" s="178"/>
      <c r="L33" s="38"/>
      <c r="M33" s="38"/>
      <c r="N33" s="38"/>
      <c r="O33" s="37"/>
      <c r="P33" s="38"/>
      <c r="Q33" s="186" t="s">
        <v>56</v>
      </c>
      <c r="R33" s="187">
        <f t="shared" ref="R33" si="14">SUM(R21:R32)</f>
        <v>-25439920.580000009</v>
      </c>
      <c r="S33" s="188">
        <f>SUM(S21:S32)</f>
        <v>-7408121.8376178024</v>
      </c>
      <c r="T33" s="189">
        <f t="shared" ref="T33" si="15">SUM(T21:T32)</f>
        <v>-18031798.742382206</v>
      </c>
      <c r="U33" s="34"/>
    </row>
    <row r="34" spans="2:24" x14ac:dyDescent="0.35">
      <c r="B34" s="177"/>
      <c r="C34" s="178"/>
      <c r="D34" s="179"/>
      <c r="E34" s="178"/>
      <c r="F34" s="180"/>
      <c r="G34" s="181"/>
      <c r="H34" s="38"/>
      <c r="I34" s="38"/>
      <c r="J34" s="182"/>
      <c r="K34" s="178"/>
      <c r="L34" s="38"/>
      <c r="M34" s="38"/>
      <c r="N34" s="38"/>
      <c r="O34" s="37"/>
      <c r="P34" s="38"/>
      <c r="Q34" s="186" t="s">
        <v>57</v>
      </c>
      <c r="R34" s="187">
        <f>C33</f>
        <v>-25446348.350000001</v>
      </c>
      <c r="S34" s="188">
        <f>-G33</f>
        <v>-7822367.9100000001</v>
      </c>
      <c r="T34" s="189">
        <f>F33</f>
        <v>-17623980.439999998</v>
      </c>
      <c r="U34" s="34"/>
      <c r="W34" t="str">
        <f>W18</f>
        <v>1.00.1588.800.000</v>
      </c>
      <c r="X34" s="3">
        <f>S35</f>
        <v>414246.07238219772</v>
      </c>
    </row>
    <row r="35" spans="2:24" x14ac:dyDescent="0.35">
      <c r="B35" s="177"/>
      <c r="C35" s="178"/>
      <c r="D35" s="179"/>
      <c r="E35" s="178"/>
      <c r="F35" s="180"/>
      <c r="G35" s="181"/>
      <c r="H35" s="38"/>
      <c r="I35" s="38"/>
      <c r="J35" s="182"/>
      <c r="K35" s="178"/>
      <c r="L35" s="38"/>
      <c r="M35" s="38"/>
      <c r="N35" s="38"/>
      <c r="O35" s="37">
        <f>R35-S35-T35</f>
        <v>2.7939677238464355E-9</v>
      </c>
      <c r="P35" s="38"/>
      <c r="Q35" s="186" t="s">
        <v>51</v>
      </c>
      <c r="R35" s="187">
        <f>R33-R34</f>
        <v>6427.7699999921024</v>
      </c>
      <c r="S35" s="188">
        <f>S33-S34</f>
        <v>414246.07238219772</v>
      </c>
      <c r="T35" s="189">
        <f t="shared" ref="T35" si="16">T33-T34</f>
        <v>-407818.30238220841</v>
      </c>
      <c r="U35" s="34"/>
      <c r="W35" t="str">
        <f>W19</f>
        <v>1.00.1589.800.000</v>
      </c>
      <c r="X35" s="3">
        <f>-X34</f>
        <v>-414246.07238219772</v>
      </c>
    </row>
    <row r="36" spans="2:24" x14ac:dyDescent="0.35">
      <c r="B36" s="177"/>
      <c r="C36" s="178"/>
      <c r="D36" s="179"/>
      <c r="E36" s="178"/>
      <c r="F36" s="180"/>
      <c r="G36" s="181"/>
      <c r="H36" s="38"/>
      <c r="I36" s="38"/>
      <c r="J36" s="182"/>
      <c r="K36" s="178"/>
      <c r="L36" s="38"/>
      <c r="M36" s="38"/>
      <c r="N36" s="38"/>
      <c r="O36" s="37"/>
      <c r="P36" s="38"/>
      <c r="Q36" s="186"/>
      <c r="R36" s="187"/>
      <c r="S36" s="188"/>
      <c r="T36" s="189"/>
      <c r="U36" s="34"/>
      <c r="V36" s="38"/>
    </row>
    <row r="37" spans="2:24" x14ac:dyDescent="0.35">
      <c r="B37" s="35">
        <v>42736</v>
      </c>
      <c r="C37" s="178">
        <f t="shared" si="9"/>
        <v>-2055012.84</v>
      </c>
      <c r="D37" s="179">
        <v>7872.410000000149</v>
      </c>
      <c r="E37" s="178">
        <v>-2047140.43</v>
      </c>
      <c r="F37" s="180">
        <v>-1541886.42</v>
      </c>
      <c r="G37" s="181">
        <f t="shared" si="10"/>
        <v>513126.42000000016</v>
      </c>
      <c r="H37" s="38">
        <v>-176623.64</v>
      </c>
      <c r="I37" s="38">
        <v>-520429.12</v>
      </c>
      <c r="J37" s="182">
        <f t="shared" si="3"/>
        <v>-183926.33999999985</v>
      </c>
      <c r="K37" s="178">
        <v>-183926.34</v>
      </c>
      <c r="L37" s="38">
        <v>0</v>
      </c>
      <c r="M37" s="38"/>
      <c r="N37" s="38"/>
      <c r="O37" s="37">
        <f t="shared" si="12"/>
        <v>1.4551915228366852E-10</v>
      </c>
      <c r="P37" s="38"/>
      <c r="Q37" s="39"/>
      <c r="R37" s="38">
        <f>-[1]reconciliation!E62</f>
        <v>-1653960.5399999996</v>
      </c>
      <c r="S37" s="181">
        <f>-[1]reconciliation!K62</f>
        <v>-584477.94563910074</v>
      </c>
      <c r="T37" s="180">
        <f t="shared" si="4"/>
        <v>-1069482.5943608987</v>
      </c>
      <c r="U37" s="34">
        <f t="shared" si="11"/>
        <v>-183926.33999999985</v>
      </c>
    </row>
    <row r="38" spans="2:24" x14ac:dyDescent="0.35">
      <c r="B38" s="35">
        <v>42767</v>
      </c>
      <c r="C38" s="178">
        <f t="shared" si="9"/>
        <v>-1865946.39</v>
      </c>
      <c r="D38" s="179">
        <v>8329.7099999999627</v>
      </c>
      <c r="E38" s="178">
        <v>-1857616.68</v>
      </c>
      <c r="F38" s="180">
        <v>-1249751.76</v>
      </c>
      <c r="G38" s="181">
        <f t="shared" si="10"/>
        <v>616194.62999999989</v>
      </c>
      <c r="H38" s="38">
        <v>-117604.89</v>
      </c>
      <c r="I38" s="38">
        <v>-353538.18</v>
      </c>
      <c r="J38" s="182">
        <f t="shared" si="3"/>
        <v>145051.55999999988</v>
      </c>
      <c r="K38" s="178">
        <v>-38874.78</v>
      </c>
      <c r="L38" s="38">
        <f t="shared" si="5"/>
        <v>183926.34</v>
      </c>
      <c r="M38" s="38"/>
      <c r="N38" s="38"/>
      <c r="O38" s="37">
        <f t="shared" si="12"/>
        <v>0</v>
      </c>
      <c r="P38" s="38"/>
      <c r="Q38" s="39"/>
      <c r="R38" s="38">
        <f>-[1]reconciliation!E63</f>
        <v>-2256004.06</v>
      </c>
      <c r="S38" s="181">
        <f>-[1]reconciliation!K63</f>
        <v>-530181.06090019958</v>
      </c>
      <c r="T38" s="180">
        <f t="shared" si="4"/>
        <v>-1725822.9990998004</v>
      </c>
      <c r="U38" s="34">
        <f t="shared" si="11"/>
        <v>145051.55999999988</v>
      </c>
    </row>
    <row r="39" spans="2:24" x14ac:dyDescent="0.35">
      <c r="B39" s="35">
        <v>42795</v>
      </c>
      <c r="C39" s="178">
        <f t="shared" si="9"/>
        <v>-1707735.85</v>
      </c>
      <c r="D39" s="179">
        <v>7884.0700000000652</v>
      </c>
      <c r="E39" s="178">
        <v>-1699851.78</v>
      </c>
      <c r="F39" s="180">
        <v>-1173653.81</v>
      </c>
      <c r="G39" s="181">
        <f t="shared" si="10"/>
        <v>534082.04</v>
      </c>
      <c r="H39" s="38">
        <v>-150369.39000000001</v>
      </c>
      <c r="I39" s="38">
        <v>-492984.93</v>
      </c>
      <c r="J39" s="182">
        <f t="shared" si="3"/>
        <v>-109272.27999999997</v>
      </c>
      <c r="K39" s="178">
        <v>-148147.06</v>
      </c>
      <c r="L39" s="38">
        <f t="shared" si="5"/>
        <v>38874.78</v>
      </c>
      <c r="M39" s="38"/>
      <c r="N39" s="38"/>
      <c r="O39" s="37">
        <f t="shared" si="12"/>
        <v>0</v>
      </c>
      <c r="P39" s="38"/>
      <c r="Q39" s="39"/>
      <c r="R39" s="38">
        <f>-[1]reconciliation!E64</f>
        <v>-1997640.5600000003</v>
      </c>
      <c r="S39" s="181">
        <f>-[1]reconciliation!K64</f>
        <v>-504685.85778549977</v>
      </c>
      <c r="T39" s="180">
        <f t="shared" si="4"/>
        <v>-1492954.7022145004</v>
      </c>
      <c r="U39" s="34">
        <f t="shared" si="11"/>
        <v>-109272.27999999997</v>
      </c>
    </row>
    <row r="40" spans="2:24" x14ac:dyDescent="0.35">
      <c r="B40" s="35">
        <v>42826</v>
      </c>
      <c r="C40" s="178">
        <f t="shared" si="9"/>
        <v>-2072195.83</v>
      </c>
      <c r="D40" s="179">
        <v>9148.8200000000652</v>
      </c>
      <c r="E40" s="178">
        <v>-2063047.01</v>
      </c>
      <c r="F40" s="180">
        <v>-1272312.8600000001</v>
      </c>
      <c r="G40" s="181">
        <f t="shared" si="10"/>
        <v>799882.97</v>
      </c>
      <c r="H40" s="38">
        <v>-141708.85</v>
      </c>
      <c r="I40" s="38">
        <v>-437448.28</v>
      </c>
      <c r="J40" s="182">
        <f t="shared" si="3"/>
        <v>220725.83999999997</v>
      </c>
      <c r="K40" s="178">
        <v>72578.78</v>
      </c>
      <c r="L40" s="38">
        <f t="shared" si="5"/>
        <v>148147.06</v>
      </c>
      <c r="M40" s="38"/>
      <c r="N40" s="38"/>
      <c r="O40" s="37">
        <f t="shared" si="12"/>
        <v>0</v>
      </c>
      <c r="P40" s="38"/>
      <c r="Q40" s="39"/>
      <c r="R40" s="38">
        <f>-[1]reconciliation!E65</f>
        <v>-1316776.2500000005</v>
      </c>
      <c r="S40" s="181">
        <f>-[1]reconciliation!K65</f>
        <v>-656925.33938420028</v>
      </c>
      <c r="T40" s="180">
        <f t="shared" si="4"/>
        <v>-659850.91061580018</v>
      </c>
      <c r="U40" s="34">
        <f t="shared" si="11"/>
        <v>220725.83999999997</v>
      </c>
    </row>
    <row r="41" spans="2:24" x14ac:dyDescent="0.35">
      <c r="B41" s="35">
        <v>42856</v>
      </c>
      <c r="C41" s="178">
        <f t="shared" si="9"/>
        <v>-2372985.19</v>
      </c>
      <c r="D41" s="179">
        <v>6116.8799999998882</v>
      </c>
      <c r="E41" s="178">
        <v>-2366868.31</v>
      </c>
      <c r="F41" s="180">
        <v>-1629335.33</v>
      </c>
      <c r="G41" s="181">
        <f t="shared" si="10"/>
        <v>743649.85999999987</v>
      </c>
      <c r="H41" s="38">
        <v>-99510.99</v>
      </c>
      <c r="I41" s="38">
        <v>-342374.18</v>
      </c>
      <c r="J41" s="182">
        <f t="shared" si="3"/>
        <v>301764.68999999989</v>
      </c>
      <c r="K41" s="178">
        <v>374343.47</v>
      </c>
      <c r="L41" s="38">
        <f t="shared" si="5"/>
        <v>-72578.78</v>
      </c>
      <c r="M41" s="38"/>
      <c r="N41" s="38"/>
      <c r="O41" s="37">
        <f t="shared" si="12"/>
        <v>0</v>
      </c>
      <c r="P41" s="38"/>
      <c r="Q41" s="39"/>
      <c r="R41" s="38">
        <f>-[1]reconciliation!E66</f>
        <v>-2024267.6799999983</v>
      </c>
      <c r="S41" s="181">
        <f>-[1]reconciliation!K66</f>
        <v>-771296.83242029918</v>
      </c>
      <c r="T41" s="180">
        <f t="shared" si="4"/>
        <v>-1252970.847579699</v>
      </c>
      <c r="U41" s="34">
        <f t="shared" si="11"/>
        <v>301764.68999999989</v>
      </c>
    </row>
    <row r="42" spans="2:24" x14ac:dyDescent="0.35">
      <c r="B42" s="35">
        <v>42887</v>
      </c>
      <c r="C42" s="178">
        <f t="shared" si="9"/>
        <v>-2354765.75</v>
      </c>
      <c r="D42" s="179">
        <v>7271.3100000000559</v>
      </c>
      <c r="E42" s="178">
        <v>-2347494.44</v>
      </c>
      <c r="F42" s="180">
        <v>-1652729.14</v>
      </c>
      <c r="G42" s="181">
        <f t="shared" si="10"/>
        <v>702036.6100000001</v>
      </c>
      <c r="H42" s="38">
        <v>-188831.18</v>
      </c>
      <c r="I42" s="38">
        <v>-470258.26</v>
      </c>
      <c r="J42" s="182">
        <f t="shared" si="3"/>
        <v>42947.1700000001</v>
      </c>
      <c r="K42" s="178">
        <v>417290.64</v>
      </c>
      <c r="L42" s="38">
        <f t="shared" si="5"/>
        <v>-374343.47</v>
      </c>
      <c r="M42" s="38"/>
      <c r="N42" s="38"/>
      <c r="O42" s="37">
        <f t="shared" si="12"/>
        <v>0</v>
      </c>
      <c r="P42" s="38"/>
      <c r="Q42" s="39"/>
      <c r="R42" s="38">
        <f>-[1]reconciliation!E67</f>
        <v>-2370229.2700000005</v>
      </c>
      <c r="S42" s="181">
        <f>-[1]reconciliation!K67</f>
        <v>-748942.24263840041</v>
      </c>
      <c r="T42" s="180">
        <f t="shared" si="4"/>
        <v>-1621287.0273616002</v>
      </c>
      <c r="U42" s="34">
        <f t="shared" si="11"/>
        <v>42947.1700000001</v>
      </c>
    </row>
    <row r="43" spans="2:24" x14ac:dyDescent="0.35">
      <c r="B43" s="35">
        <v>42917</v>
      </c>
      <c r="C43" s="178">
        <f t="shared" si="9"/>
        <v>-2566944.39</v>
      </c>
      <c r="D43" s="179">
        <v>0</v>
      </c>
      <c r="E43" s="178">
        <v>-2566944.39</v>
      </c>
      <c r="F43" s="180">
        <v>-1634486.89</v>
      </c>
      <c r="G43" s="181">
        <f t="shared" si="10"/>
        <v>932457.50000000023</v>
      </c>
      <c r="H43" s="38">
        <v>-228648.12</v>
      </c>
      <c r="I43" s="38">
        <v>-533585.06000000006</v>
      </c>
      <c r="J43" s="182">
        <f t="shared" si="3"/>
        <v>170224.32000000018</v>
      </c>
      <c r="K43" s="178">
        <v>587514.96</v>
      </c>
      <c r="L43" s="38">
        <f t="shared" si="5"/>
        <v>-417290.64</v>
      </c>
      <c r="M43" s="38"/>
      <c r="N43" s="38"/>
      <c r="O43" s="37">
        <f t="shared" si="12"/>
        <v>0</v>
      </c>
      <c r="P43" s="38"/>
      <c r="Q43" s="39"/>
      <c r="R43" s="38">
        <f>-[1]reconciliation!E68</f>
        <v>-2339209.3899999997</v>
      </c>
      <c r="S43" s="181">
        <f>-[1]reconciliation!K68</f>
        <v>-691561.48401600006</v>
      </c>
      <c r="T43" s="180">
        <f t="shared" si="4"/>
        <v>-1647647.9059839996</v>
      </c>
      <c r="U43" s="34">
        <f t="shared" si="11"/>
        <v>170224.32000000018</v>
      </c>
    </row>
    <row r="44" spans="2:24" x14ac:dyDescent="0.35">
      <c r="B44" s="35">
        <v>42948</v>
      </c>
      <c r="C44" s="178">
        <f t="shared" si="9"/>
        <v>-2129831.15</v>
      </c>
      <c r="D44" s="179">
        <v>0</v>
      </c>
      <c r="E44" s="178">
        <v>-2129831.15</v>
      </c>
      <c r="F44" s="180">
        <v>-1438270.72</v>
      </c>
      <c r="G44" s="181">
        <f t="shared" si="10"/>
        <v>691560.42999999993</v>
      </c>
      <c r="H44" s="38">
        <v>-184675.02</v>
      </c>
      <c r="I44" s="38">
        <v>-542785</v>
      </c>
      <c r="J44" s="182">
        <f t="shared" si="3"/>
        <v>-35899.590000000084</v>
      </c>
      <c r="K44" s="178">
        <v>551615.37</v>
      </c>
      <c r="L44" s="38">
        <f t="shared" si="5"/>
        <v>-587514.96</v>
      </c>
      <c r="M44" s="38"/>
      <c r="N44" s="38"/>
      <c r="O44" s="37">
        <f t="shared" si="12"/>
        <v>0</v>
      </c>
      <c r="P44" s="38"/>
      <c r="Q44" s="39"/>
      <c r="R44" s="38">
        <f>-[1]reconciliation!E69</f>
        <v>-2415049.21</v>
      </c>
      <c r="S44" s="181">
        <f>-[1]reconciliation!K69</f>
        <v>-620986.79211799847</v>
      </c>
      <c r="T44" s="180">
        <f t="shared" si="4"/>
        <v>-1794062.4178820015</v>
      </c>
      <c r="U44" s="34">
        <f t="shared" si="11"/>
        <v>-35899.590000000084</v>
      </c>
    </row>
    <row r="45" spans="2:24" x14ac:dyDescent="0.35">
      <c r="B45" s="35">
        <v>42979</v>
      </c>
      <c r="C45" s="178">
        <f t="shared" si="9"/>
        <v>-1773292.46</v>
      </c>
      <c r="D45" s="179">
        <v>0</v>
      </c>
      <c r="E45" s="178">
        <v>-1773292.46</v>
      </c>
      <c r="F45" s="180">
        <v>-1300167.49</v>
      </c>
      <c r="G45" s="181">
        <f t="shared" si="10"/>
        <v>473124.97</v>
      </c>
      <c r="H45" s="38">
        <v>-187293.18</v>
      </c>
      <c r="I45" s="38">
        <v>-576569.99</v>
      </c>
      <c r="J45" s="182">
        <f t="shared" si="3"/>
        <v>-290738.2</v>
      </c>
      <c r="K45" s="178">
        <v>260877.17</v>
      </c>
      <c r="L45" s="38">
        <f t="shared" si="5"/>
        <v>-551615.37</v>
      </c>
      <c r="M45" s="38"/>
      <c r="N45" s="38"/>
      <c r="O45" s="37">
        <f t="shared" si="12"/>
        <v>0</v>
      </c>
      <c r="P45" s="38"/>
      <c r="Q45" s="39"/>
      <c r="R45" s="38">
        <f>-[1]reconciliation!E70</f>
        <v>-2517811.7799999998</v>
      </c>
      <c r="S45" s="181">
        <f>-[1]reconciliation!K70</f>
        <v>-531921.7331711998</v>
      </c>
      <c r="T45" s="180">
        <f t="shared" si="4"/>
        <v>-1985890.0468287999</v>
      </c>
      <c r="U45" s="34">
        <f t="shared" si="11"/>
        <v>-290738.2</v>
      </c>
    </row>
    <row r="46" spans="2:24" x14ac:dyDescent="0.35">
      <c r="B46" s="35">
        <v>43009</v>
      </c>
      <c r="C46" s="178">
        <f t="shared" si="9"/>
        <v>-2416255.94</v>
      </c>
      <c r="D46" s="179">
        <v>0</v>
      </c>
      <c r="E46" s="178">
        <v>-2416255.94</v>
      </c>
      <c r="F46" s="180">
        <v>-1492149.05</v>
      </c>
      <c r="G46" s="181">
        <f t="shared" si="10"/>
        <v>924106.8899999999</v>
      </c>
      <c r="H46" s="38">
        <v>-182755.27</v>
      </c>
      <c r="I46" s="38">
        <v>-607210.98</v>
      </c>
      <c r="J46" s="182">
        <f t="shared" si="3"/>
        <v>134140.6399999999</v>
      </c>
      <c r="K46" s="178">
        <v>395017.81</v>
      </c>
      <c r="L46" s="38">
        <f t="shared" si="5"/>
        <v>-260877.17</v>
      </c>
      <c r="M46" s="38"/>
      <c r="N46" s="38"/>
      <c r="O46" s="37">
        <f t="shared" si="12"/>
        <v>0</v>
      </c>
      <c r="P46" s="38"/>
      <c r="Q46" s="39"/>
      <c r="R46" s="38">
        <f>-[1]reconciliation!E71</f>
        <v>-1949632.9099999988</v>
      </c>
      <c r="S46" s="181">
        <f>-[1]reconciliation!K71</f>
        <v>-753233.87005809962</v>
      </c>
      <c r="T46" s="180">
        <f t="shared" si="4"/>
        <v>-1196399.039941899</v>
      </c>
      <c r="U46" s="34">
        <f t="shared" si="11"/>
        <v>134140.6399999999</v>
      </c>
    </row>
    <row r="47" spans="2:24" x14ac:dyDescent="0.35">
      <c r="B47" s="35">
        <v>43040</v>
      </c>
      <c r="C47" s="178">
        <f t="shared" si="9"/>
        <v>-2113737.2999999998</v>
      </c>
      <c r="D47" s="179">
        <v>0</v>
      </c>
      <c r="E47" s="178">
        <v>-2113737.2999999998</v>
      </c>
      <c r="F47" s="180">
        <v>-1478185.55</v>
      </c>
      <c r="G47" s="181">
        <f t="shared" si="10"/>
        <v>635551.74999999977</v>
      </c>
      <c r="H47" s="38">
        <v>-141562.22</v>
      </c>
      <c r="I47" s="38">
        <v>-482325.65</v>
      </c>
      <c r="J47" s="182">
        <f t="shared" si="3"/>
        <v>11663.879999999772</v>
      </c>
      <c r="K47" s="178">
        <v>406681.69</v>
      </c>
      <c r="L47" s="38">
        <f t="shared" si="5"/>
        <v>-395017.81</v>
      </c>
      <c r="M47" s="38"/>
      <c r="N47" s="38"/>
      <c r="O47" s="37">
        <f t="shared" si="12"/>
        <v>0</v>
      </c>
      <c r="P47" s="38"/>
      <c r="Q47" s="39"/>
      <c r="R47" s="38">
        <f>-[1]reconciliation!E72</f>
        <v>-2415063.5499999984</v>
      </c>
      <c r="S47" s="181">
        <f>-[1]reconciliation!K72</f>
        <v>-606139.27320800046</v>
      </c>
      <c r="T47" s="180">
        <f t="shared" si="4"/>
        <v>-1808924.276791998</v>
      </c>
      <c r="U47" s="34">
        <f t="shared" si="11"/>
        <v>11663.879999999772</v>
      </c>
    </row>
    <row r="48" spans="2:24" x14ac:dyDescent="0.35">
      <c r="B48" s="40">
        <v>43070</v>
      </c>
      <c r="C48" s="41">
        <f t="shared" si="9"/>
        <v>-2413559.14</v>
      </c>
      <c r="D48" s="184">
        <v>0</v>
      </c>
      <c r="E48" s="41">
        <v>-2413559.14</v>
      </c>
      <c r="F48" s="43">
        <v>-1867855.89</v>
      </c>
      <c r="G48" s="44">
        <f t="shared" si="10"/>
        <v>545703.25000000023</v>
      </c>
      <c r="H48" s="185">
        <v>-175065.97</v>
      </c>
      <c r="I48" s="185">
        <v>-499775.6</v>
      </c>
      <c r="J48" s="46">
        <f t="shared" si="3"/>
        <v>-129138.31999999972</v>
      </c>
      <c r="K48" s="190">
        <f>277543.37+101100.09</f>
        <v>378643.45999999996</v>
      </c>
      <c r="L48" s="38">
        <f t="shared" si="5"/>
        <v>-406681.69</v>
      </c>
      <c r="M48" s="38"/>
      <c r="N48" s="38"/>
      <c r="O48" s="191">
        <f t="shared" si="12"/>
        <v>-101100.08999999968</v>
      </c>
      <c r="P48" s="38"/>
      <c r="Q48" s="39"/>
      <c r="R48" s="38">
        <f>-[1]reconciliation!E73</f>
        <v>-2179335.1800000006</v>
      </c>
      <c r="S48" s="181">
        <f>-[1]reconciliation!K73</f>
        <v>-601818.52701960108</v>
      </c>
      <c r="T48" s="180">
        <f t="shared" si="4"/>
        <v>-1577516.6529803996</v>
      </c>
      <c r="U48" s="34">
        <f t="shared" si="11"/>
        <v>-129138.31999999972</v>
      </c>
      <c r="W48" s="47" t="s">
        <v>55</v>
      </c>
      <c r="X48" s="48">
        <v>2017</v>
      </c>
    </row>
    <row r="49" spans="2:24" ht="15" thickBot="1" x14ac:dyDescent="0.4">
      <c r="B49" s="192"/>
      <c r="C49" s="50">
        <f>SUM(C37:C48)</f>
        <v>-25842262.230000004</v>
      </c>
      <c r="D49" s="193">
        <f>SUM(D37:D48)</f>
        <v>46623.200000000186</v>
      </c>
      <c r="E49" s="50">
        <f>SUM(E37:E48)</f>
        <v>-25795639.030000001</v>
      </c>
      <c r="F49" s="52">
        <f t="shared" ref="F49:J49" si="17">SUM(F37:F48)</f>
        <v>-17730784.910000004</v>
      </c>
      <c r="G49" s="53">
        <f t="shared" si="17"/>
        <v>8111477.3199999994</v>
      </c>
      <c r="H49" s="194">
        <f t="shared" si="17"/>
        <v>-1974648.72</v>
      </c>
      <c r="I49" s="194">
        <f t="shared" si="17"/>
        <v>-5859285.2300000004</v>
      </c>
      <c r="J49" s="55">
        <f t="shared" si="17"/>
        <v>277543.37000000005</v>
      </c>
      <c r="K49" s="50"/>
      <c r="L49" s="194"/>
      <c r="M49" s="194"/>
      <c r="N49" s="194"/>
      <c r="O49" s="195" t="s">
        <v>164</v>
      </c>
      <c r="P49" s="38"/>
      <c r="Q49" s="186" t="s">
        <v>56</v>
      </c>
      <c r="R49" s="187">
        <f t="shared" ref="R49" si="18">SUM(R37:R48)</f>
        <v>-25434980.379999999</v>
      </c>
      <c r="S49" s="188">
        <f>SUM(S37:S48)</f>
        <v>-7602170.9583585998</v>
      </c>
      <c r="T49" s="189">
        <f t="shared" ref="T49" si="19">SUM(T37:T48)</f>
        <v>-17832809.421641394</v>
      </c>
      <c r="U49" s="34"/>
    </row>
    <row r="50" spans="2:24" ht="15" thickTop="1" x14ac:dyDescent="0.35">
      <c r="B50" s="177"/>
      <c r="C50" s="38"/>
      <c r="D50" s="179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7"/>
      <c r="P50" s="38"/>
      <c r="Q50" s="186" t="s">
        <v>57</v>
      </c>
      <c r="R50" s="187">
        <f>C49</f>
        <v>-25842262.230000004</v>
      </c>
      <c r="S50" s="188">
        <f>-G49</f>
        <v>-8111477.3199999994</v>
      </c>
      <c r="T50" s="189">
        <f>F49</f>
        <v>-17730784.910000004</v>
      </c>
      <c r="U50" s="34"/>
      <c r="W50" t="str">
        <f>W34</f>
        <v>1.00.1588.800.000</v>
      </c>
      <c r="X50" s="3">
        <f>S51</f>
        <v>509306.36164139956</v>
      </c>
    </row>
    <row r="51" spans="2:24" x14ac:dyDescent="0.35">
      <c r="B51" s="177"/>
      <c r="C51" s="38"/>
      <c r="D51" s="179"/>
      <c r="E51" s="38"/>
      <c r="F51" s="38"/>
      <c r="G51" s="38"/>
      <c r="H51" s="38"/>
      <c r="I51" s="38"/>
      <c r="J51" s="38">
        <f>-J49</f>
        <v>-277543.37000000005</v>
      </c>
      <c r="K51" s="38"/>
      <c r="L51" s="38"/>
      <c r="M51" s="38"/>
      <c r="N51" s="38"/>
      <c r="O51" s="37">
        <f>R51-S51-T51</f>
        <v>-3.7252902984619141E-9</v>
      </c>
      <c r="P51" s="38"/>
      <c r="Q51" s="186" t="s">
        <v>51</v>
      </c>
      <c r="R51" s="187">
        <f>R49-R50</f>
        <v>407281.85000000522</v>
      </c>
      <c r="S51" s="188">
        <f>S49-S50</f>
        <v>509306.36164139956</v>
      </c>
      <c r="T51" s="189">
        <f t="shared" ref="T51" si="20">T49-T50</f>
        <v>-102024.51164139062</v>
      </c>
      <c r="U51" s="34"/>
      <c r="W51" t="str">
        <f>W35</f>
        <v>1.00.1589.800.000</v>
      </c>
      <c r="X51" s="3">
        <f>-X50</f>
        <v>-509306.36164139956</v>
      </c>
    </row>
    <row r="52" spans="2:24" x14ac:dyDescent="0.35">
      <c r="B52" s="196"/>
      <c r="C52" s="38"/>
      <c r="D52" s="38"/>
      <c r="E52" s="38"/>
      <c r="O52" s="197"/>
      <c r="Q52" s="196"/>
      <c r="U52" s="197"/>
    </row>
    <row r="53" spans="2:24" x14ac:dyDescent="0.35">
      <c r="B53" s="196"/>
      <c r="C53" s="38"/>
      <c r="D53" s="38"/>
      <c r="E53" s="38"/>
      <c r="O53" s="197"/>
      <c r="Q53" s="196"/>
      <c r="U53" s="197"/>
    </row>
    <row r="54" spans="2:24" x14ac:dyDescent="0.35">
      <c r="B54" s="35">
        <v>43101</v>
      </c>
      <c r="C54" s="178">
        <f t="shared" ref="C54:C65" si="21">E54-D54</f>
        <v>-1833536.93</v>
      </c>
      <c r="D54" s="179">
        <v>0</v>
      </c>
      <c r="E54" s="178">
        <v>-1833536.93</v>
      </c>
      <c r="F54" s="180">
        <v>-1280502.3799999999</v>
      </c>
      <c r="G54" s="181">
        <f t="shared" ref="G54:G65" si="22">F54-C54</f>
        <v>553034.55000000005</v>
      </c>
      <c r="H54" s="38">
        <f>'[1]2018'!E51</f>
        <v>-292185.33</v>
      </c>
      <c r="I54" s="38">
        <f>'[1]2018'!E8</f>
        <v>-334347.29000000004</v>
      </c>
      <c r="J54" s="182">
        <f t="shared" ref="J54:J65" si="23">SUM(G54:I54)</f>
        <v>-73498.070000000007</v>
      </c>
      <c r="K54" s="178">
        <v>-17859.68</v>
      </c>
      <c r="L54" s="38">
        <v>0</v>
      </c>
      <c r="M54" s="38"/>
      <c r="N54" s="38"/>
      <c r="O54" s="37">
        <f t="shared" ref="O54:O65" si="24">J54-K54-L54</f>
        <v>-55638.390000000007</v>
      </c>
      <c r="P54" s="38"/>
      <c r="Q54" s="39"/>
      <c r="R54" s="38">
        <f>-[1]reconciliation!E74</f>
        <v>-2365551.0399999972</v>
      </c>
      <c r="S54" s="181">
        <f>-[1]reconciliation!K74</f>
        <v>-450057.12428959971</v>
      </c>
      <c r="T54" s="180">
        <f t="shared" ref="T54:T65" si="25">R54-S54</f>
        <v>-1915493.9157103975</v>
      </c>
      <c r="U54" s="34">
        <f t="shared" ref="U54:U65" si="26">J54</f>
        <v>-73498.070000000007</v>
      </c>
    </row>
    <row r="55" spans="2:24" x14ac:dyDescent="0.35">
      <c r="B55" s="35">
        <v>43132</v>
      </c>
      <c r="C55" s="178">
        <f t="shared" si="21"/>
        <v>-1850558.22</v>
      </c>
      <c r="D55" s="179">
        <v>0</v>
      </c>
      <c r="E55" s="178">
        <v>-1850558.22</v>
      </c>
      <c r="F55" s="180">
        <v>-1498428.67</v>
      </c>
      <c r="G55" s="181">
        <f t="shared" si="22"/>
        <v>352129.55000000005</v>
      </c>
      <c r="H55" s="38">
        <f>'[1]2018'!F52</f>
        <v>-106009.60999999999</v>
      </c>
      <c r="I55" s="38">
        <f>'[1]2018'!F8</f>
        <v>-321724.31000000006</v>
      </c>
      <c r="J55" s="182">
        <f t="shared" si="23"/>
        <v>-75604.37</v>
      </c>
      <c r="K55" s="178">
        <f>-149197.75-149197.75</f>
        <v>-298395.5</v>
      </c>
      <c r="L55" s="38">
        <f t="shared" ref="L55:L65" si="27">-K54</f>
        <v>17859.68</v>
      </c>
      <c r="M55" s="38"/>
      <c r="N55" s="38"/>
      <c r="O55" s="37">
        <f t="shared" si="24"/>
        <v>204931.45</v>
      </c>
      <c r="P55" s="38"/>
      <c r="Q55" s="39"/>
      <c r="R55" s="38">
        <f>-[1]reconciliation!E75</f>
        <v>-1649574.0700000003</v>
      </c>
      <c r="S55" s="181">
        <f>-[1]reconciliation!K75</f>
        <v>-476417.27837620245</v>
      </c>
      <c r="T55" s="180">
        <f t="shared" si="25"/>
        <v>-1173156.7916237977</v>
      </c>
      <c r="U55" s="34">
        <f t="shared" si="26"/>
        <v>-75604.37</v>
      </c>
    </row>
    <row r="56" spans="2:24" x14ac:dyDescent="0.35">
      <c r="B56" s="35">
        <v>43160</v>
      </c>
      <c r="C56" s="178">
        <f t="shared" si="21"/>
        <v>-2229320.84</v>
      </c>
      <c r="D56" s="179">
        <v>0</v>
      </c>
      <c r="E56" s="178">
        <v>-2229320.84</v>
      </c>
      <c r="F56" s="180">
        <v>-1428974.72</v>
      </c>
      <c r="G56" s="181">
        <f t="shared" si="22"/>
        <v>800346.11999999988</v>
      </c>
      <c r="H56" s="38">
        <f>'[1]2018'!G52</f>
        <v>-120538.49999999994</v>
      </c>
      <c r="I56" s="38">
        <f>'[1]2018'!G8</f>
        <v>-374222.73</v>
      </c>
      <c r="J56" s="182">
        <f t="shared" si="23"/>
        <v>305584.8899999999</v>
      </c>
      <c r="K56" s="178">
        <v>223414.45</v>
      </c>
      <c r="L56" s="38">
        <f t="shared" si="27"/>
        <v>298395.5</v>
      </c>
      <c r="M56" s="38"/>
      <c r="N56" s="38"/>
      <c r="O56" s="37">
        <f t="shared" si="24"/>
        <v>-216225.06000000011</v>
      </c>
      <c r="P56" s="38"/>
      <c r="Q56" s="39"/>
      <c r="R56" s="38">
        <f>-[1]reconciliation!E76</f>
        <v>-1842661.5000000007</v>
      </c>
      <c r="S56" s="181">
        <f>-[1]reconciliation!K76</f>
        <v>-596645.47273990035</v>
      </c>
      <c r="T56" s="180">
        <f t="shared" si="25"/>
        <v>-1246016.0272601005</v>
      </c>
      <c r="U56" s="34">
        <f t="shared" si="26"/>
        <v>305584.8899999999</v>
      </c>
    </row>
    <row r="57" spans="2:24" x14ac:dyDescent="0.35">
      <c r="B57" s="35">
        <v>43191</v>
      </c>
      <c r="C57" s="178">
        <f t="shared" si="21"/>
        <v>-2168680.0699999998</v>
      </c>
      <c r="D57" s="179">
        <v>0</v>
      </c>
      <c r="E57" s="178">
        <v>-2168680.0699999998</v>
      </c>
      <c r="F57" s="180">
        <v>-1505845.04</v>
      </c>
      <c r="G57" s="181">
        <f t="shared" si="22"/>
        <v>662835.0299999998</v>
      </c>
      <c r="H57" s="38">
        <f>'[1]2018'!H52</f>
        <v>-135292.62000000011</v>
      </c>
      <c r="I57" s="38">
        <f>'[1]2018'!H8</f>
        <v>-426285.1399999999</v>
      </c>
      <c r="J57" s="182">
        <f t="shared" si="23"/>
        <v>101257.26999999979</v>
      </c>
      <c r="K57" s="178">
        <f>391488.25+121955.07</f>
        <v>513443.32</v>
      </c>
      <c r="L57" s="38">
        <f t="shared" si="27"/>
        <v>-223414.45</v>
      </c>
      <c r="M57" s="38"/>
      <c r="N57" s="38"/>
      <c r="O57" s="37">
        <f t="shared" si="24"/>
        <v>-188771.60000000021</v>
      </c>
      <c r="P57" s="38"/>
      <c r="Q57" s="39"/>
      <c r="R57" s="38">
        <f>-[1]reconciliation!E77</f>
        <v>-2109524.5900000012</v>
      </c>
      <c r="S57" s="181">
        <f>-[1]reconciliation!K77</f>
        <v>-568343.78429330047</v>
      </c>
      <c r="T57" s="180">
        <f t="shared" si="25"/>
        <v>-1541180.8057067008</v>
      </c>
      <c r="U57" s="34">
        <f t="shared" si="26"/>
        <v>101257.26999999979</v>
      </c>
    </row>
    <row r="58" spans="2:24" x14ac:dyDescent="0.35">
      <c r="B58" s="35">
        <v>43221</v>
      </c>
      <c r="C58" s="178">
        <f t="shared" si="21"/>
        <v>-2128050.29</v>
      </c>
      <c r="D58" s="179">
        <v>0</v>
      </c>
      <c r="E58" s="178">
        <v>-2128050.29</v>
      </c>
      <c r="F58" s="180">
        <v>-1715976.68</v>
      </c>
      <c r="G58" s="181">
        <f t="shared" si="22"/>
        <v>412073.6100000001</v>
      </c>
      <c r="H58" s="38">
        <f>'[1]2018'!I52</f>
        <v>-124507.85999999999</v>
      </c>
      <c r="I58" s="38">
        <f>'[1]2018'!I8</f>
        <v>-418967.92999999993</v>
      </c>
      <c r="J58" s="182">
        <f t="shared" si="23"/>
        <v>-131402.17999999982</v>
      </c>
      <c r="K58" s="178">
        <v>241984.1</v>
      </c>
      <c r="L58" s="38">
        <f t="shared" si="27"/>
        <v>-513443.32</v>
      </c>
      <c r="M58" s="38"/>
      <c r="N58" s="38"/>
      <c r="O58" s="37">
        <f t="shared" si="24"/>
        <v>140057.04000000021</v>
      </c>
      <c r="P58" s="38"/>
      <c r="Q58" s="39"/>
      <c r="R58" s="38">
        <f>-[1]reconciliation!E78</f>
        <v>-1813722.3199999982</v>
      </c>
      <c r="S58" s="181">
        <f>-[1]reconciliation!K78</f>
        <v>-628168.30597360001</v>
      </c>
      <c r="T58" s="180">
        <f t="shared" si="25"/>
        <v>-1185554.0140263983</v>
      </c>
      <c r="U58" s="34">
        <f t="shared" si="26"/>
        <v>-131402.17999999982</v>
      </c>
    </row>
    <row r="59" spans="2:24" x14ac:dyDescent="0.35">
      <c r="B59" s="35">
        <v>43252</v>
      </c>
      <c r="C59" s="178">
        <f t="shared" si="21"/>
        <v>-2497247.59</v>
      </c>
      <c r="D59" s="179">
        <v>0</v>
      </c>
      <c r="E59" s="178">
        <v>-2497247.59</v>
      </c>
      <c r="F59" s="180">
        <v>-1472362.62</v>
      </c>
      <c r="G59" s="181">
        <f t="shared" si="22"/>
        <v>1024884.9699999997</v>
      </c>
      <c r="H59" s="38">
        <f>'[1]2018'!J52</f>
        <v>-181287.93999999994</v>
      </c>
      <c r="I59" s="38">
        <f>'[1]2018'!J8</f>
        <v>-497949.02</v>
      </c>
      <c r="J59" s="182">
        <f t="shared" si="23"/>
        <v>345648.00999999978</v>
      </c>
      <c r="K59" s="178">
        <f>723393.28+68734.15-381378.44</f>
        <v>410748.99000000005</v>
      </c>
      <c r="L59" s="38">
        <f t="shared" si="27"/>
        <v>-241984.1</v>
      </c>
      <c r="M59" s="38"/>
      <c r="N59" s="38"/>
      <c r="O59" s="37">
        <f t="shared" si="24"/>
        <v>176883.11999999973</v>
      </c>
      <c r="P59" s="38"/>
      <c r="Q59" s="39"/>
      <c r="R59" s="38">
        <f>-[1]reconciliation!E79</f>
        <v>-2725922.660000002</v>
      </c>
      <c r="S59" s="181">
        <f>-[1]reconciliation!K79</f>
        <v>-686736.70498480124</v>
      </c>
      <c r="T59" s="180">
        <f t="shared" si="25"/>
        <v>-2039185.9550152007</v>
      </c>
      <c r="U59" s="34">
        <f t="shared" si="26"/>
        <v>345648.00999999978</v>
      </c>
    </row>
    <row r="60" spans="2:24" x14ac:dyDescent="0.35">
      <c r="B60" s="35">
        <v>43282</v>
      </c>
      <c r="C60" s="178">
        <f t="shared" si="21"/>
        <v>-1982587.9</v>
      </c>
      <c r="D60" s="179">
        <v>0</v>
      </c>
      <c r="E60" s="178">
        <v>-1982587.9</v>
      </c>
      <c r="F60" s="180">
        <v>-1387811.53</v>
      </c>
      <c r="G60" s="181">
        <f t="shared" si="22"/>
        <v>594776.36999999988</v>
      </c>
      <c r="H60" s="38">
        <f>'[1]2018'!K52</f>
        <v>-149582.7699999999</v>
      </c>
      <c r="I60" s="38">
        <f>'[1]2018'!K8</f>
        <v>-424092.35999999987</v>
      </c>
      <c r="J60" s="182">
        <f t="shared" si="23"/>
        <v>21101.240000000107</v>
      </c>
      <c r="K60" s="178">
        <f>570198.54+68734.15</f>
        <v>638932.69000000006</v>
      </c>
      <c r="L60" s="38">
        <f t="shared" si="27"/>
        <v>-410748.99000000005</v>
      </c>
      <c r="M60" s="38"/>
      <c r="N60" s="38"/>
      <c r="O60" s="37">
        <f t="shared" si="24"/>
        <v>-207082.4599999999</v>
      </c>
      <c r="P60" s="38"/>
      <c r="Q60" s="39"/>
      <c r="R60" s="38">
        <f>-[1]reconciliation!E80</f>
        <v>-2122977.3199999989</v>
      </c>
      <c r="S60" s="181">
        <f>-[1]reconciliation!K80</f>
        <v>-466375.98468299996</v>
      </c>
      <c r="T60" s="180">
        <f t="shared" si="25"/>
        <v>-1656601.3353169989</v>
      </c>
      <c r="U60" s="34">
        <f t="shared" si="26"/>
        <v>21101.240000000107</v>
      </c>
    </row>
    <row r="61" spans="2:24" x14ac:dyDescent="0.35">
      <c r="B61" s="35">
        <v>43313</v>
      </c>
      <c r="C61" s="178">
        <f t="shared" si="21"/>
        <v>-1884742.13</v>
      </c>
      <c r="D61" s="179">
        <v>0</v>
      </c>
      <c r="E61" s="178">
        <v>-1884742.13</v>
      </c>
      <c r="F61" s="180">
        <v>-1319319.49</v>
      </c>
      <c r="G61" s="181">
        <f t="shared" si="22"/>
        <v>565422.6399999999</v>
      </c>
      <c r="H61" s="38">
        <f>'[1]2018'!L52</f>
        <v>-125138.05999999982</v>
      </c>
      <c r="I61" s="38">
        <f>'[1]2018'!L8</f>
        <v>-382633.51000000024</v>
      </c>
      <c r="J61" s="182">
        <f t="shared" si="23"/>
        <v>57651.069999999832</v>
      </c>
      <c r="K61" s="178">
        <v>561946.05000000005</v>
      </c>
      <c r="L61" s="38">
        <v>-570198.54</v>
      </c>
      <c r="M61" s="38"/>
      <c r="N61" s="38"/>
      <c r="O61" s="37">
        <f t="shared" si="24"/>
        <v>65903.559999999823</v>
      </c>
      <c r="P61" s="38"/>
      <c r="Q61" s="39"/>
      <c r="R61" s="38">
        <f>-[1]reconciliation!E81</f>
        <v>-1919697.19</v>
      </c>
      <c r="S61" s="181">
        <f>-[1]reconciliation!K81</f>
        <v>-458834.27217600076</v>
      </c>
      <c r="T61" s="180">
        <f t="shared" si="25"/>
        <v>-1460862.9178239992</v>
      </c>
      <c r="U61" s="34">
        <f t="shared" si="26"/>
        <v>57651.069999999832</v>
      </c>
    </row>
    <row r="62" spans="2:24" x14ac:dyDescent="0.35">
      <c r="B62" s="35">
        <v>43344</v>
      </c>
      <c r="C62" s="178">
        <f t="shared" si="21"/>
        <v>-1811530.55</v>
      </c>
      <c r="D62" s="179">
        <v>0</v>
      </c>
      <c r="E62" s="178">
        <v>-1811530.55</v>
      </c>
      <c r="F62" s="180">
        <v>-1268071.3899999999</v>
      </c>
      <c r="G62" s="181">
        <f t="shared" si="22"/>
        <v>543459.16000000015</v>
      </c>
      <c r="H62" s="38">
        <f>'[1]2018'!M52</f>
        <v>-116170.52000000025</v>
      </c>
      <c r="I62" s="38">
        <f>'[1]2018'!M8</f>
        <v>-363271.48</v>
      </c>
      <c r="J62" s="182">
        <f t="shared" si="23"/>
        <v>64017.159999999916</v>
      </c>
      <c r="K62" s="178">
        <v>597633.64</v>
      </c>
      <c r="L62" s="38">
        <f t="shared" si="27"/>
        <v>-561946.05000000005</v>
      </c>
      <c r="M62" s="38"/>
      <c r="N62" s="38"/>
      <c r="O62" s="37">
        <f t="shared" si="24"/>
        <v>28329.569999999949</v>
      </c>
      <c r="P62" s="38"/>
      <c r="Q62" s="39"/>
      <c r="R62" s="38">
        <f>-[1]reconciliation!E82</f>
        <v>-1744566.1000000008</v>
      </c>
      <c r="S62" s="181">
        <f>-[1]reconciliation!K82</f>
        <v>-485766.04402960074</v>
      </c>
      <c r="T62" s="180">
        <f t="shared" si="25"/>
        <v>-1258800.0559704001</v>
      </c>
      <c r="U62" s="34">
        <f t="shared" si="26"/>
        <v>64017.159999999916</v>
      </c>
    </row>
    <row r="63" spans="2:24" x14ac:dyDescent="0.35">
      <c r="B63" s="35">
        <v>43374</v>
      </c>
      <c r="C63" s="178">
        <f t="shared" si="21"/>
        <v>-2500775.9500000002</v>
      </c>
      <c r="D63" s="179">
        <v>0</v>
      </c>
      <c r="E63" s="178">
        <v>-2500775.9500000002</v>
      </c>
      <c r="F63" s="180">
        <v>-1750543.17</v>
      </c>
      <c r="G63" s="181">
        <f t="shared" si="22"/>
        <v>750232.78000000026</v>
      </c>
      <c r="H63" s="38">
        <f>'[1]2018'!N52</f>
        <v>-122067.83000000007</v>
      </c>
      <c r="I63" s="38">
        <f>'[1]2018'!N8</f>
        <v>-364357.63999999966</v>
      </c>
      <c r="J63" s="182">
        <f t="shared" si="23"/>
        <v>263807.31000000052</v>
      </c>
      <c r="K63" s="178">
        <f>1376195.99-507771.57</f>
        <v>868424.41999999993</v>
      </c>
      <c r="L63" s="38">
        <f t="shared" si="27"/>
        <v>-597633.64</v>
      </c>
      <c r="M63" s="38"/>
      <c r="N63" s="38"/>
      <c r="O63" s="37">
        <f t="shared" si="24"/>
        <v>-6983.46999999939</v>
      </c>
      <c r="P63" s="38"/>
      <c r="Q63" s="39"/>
      <c r="R63" s="38">
        <f>-[1]reconciliation!E83</f>
        <v>-1815240.4400000006</v>
      </c>
      <c r="S63" s="181">
        <f>-[1]reconciliation!K83</f>
        <v>-681104.45738350321</v>
      </c>
      <c r="T63" s="180">
        <f t="shared" si="25"/>
        <v>-1134135.9826164974</v>
      </c>
      <c r="U63" s="34">
        <f t="shared" si="26"/>
        <v>263807.31000000052</v>
      </c>
    </row>
    <row r="64" spans="2:24" x14ac:dyDescent="0.35">
      <c r="B64" s="35">
        <v>43405</v>
      </c>
      <c r="C64" s="178">
        <f t="shared" si="21"/>
        <v>-2252262.7000000002</v>
      </c>
      <c r="D64" s="179">
        <v>0</v>
      </c>
      <c r="E64" s="178">
        <v>-2252262.7000000002</v>
      </c>
      <c r="F64" s="180">
        <v>-1576583.89</v>
      </c>
      <c r="G64" s="181">
        <f t="shared" si="22"/>
        <v>675678.81000000029</v>
      </c>
      <c r="H64" s="38">
        <f>'[1]2018'!O52</f>
        <v>-176003.8899999999</v>
      </c>
      <c r="I64" s="38">
        <f>'[1]2018'!O8</f>
        <v>-548979.94000000041</v>
      </c>
      <c r="J64" s="182">
        <f t="shared" si="23"/>
        <v>-49305.020000000019</v>
      </c>
      <c r="K64" s="178">
        <v>1057677.76</v>
      </c>
      <c r="L64" s="38">
        <f t="shared" si="27"/>
        <v>-868424.41999999993</v>
      </c>
      <c r="M64" s="38"/>
      <c r="N64" s="38"/>
      <c r="O64" s="37">
        <f t="shared" si="24"/>
        <v>-238558.3600000001</v>
      </c>
      <c r="P64" s="38"/>
      <c r="Q64" s="39"/>
      <c r="R64" s="38">
        <f>-[1]reconciliation!E84</f>
        <v>-2723216.0000000009</v>
      </c>
      <c r="S64" s="181">
        <f>-[1]reconciliation!K84</f>
        <v>-568035.52323749836</v>
      </c>
      <c r="T64" s="180">
        <f t="shared" si="25"/>
        <v>-2155180.4767625025</v>
      </c>
      <c r="U64" s="34">
        <f t="shared" si="26"/>
        <v>-49305.020000000019</v>
      </c>
    </row>
    <row r="65" spans="2:32" x14ac:dyDescent="0.35">
      <c r="B65" s="40">
        <v>43435</v>
      </c>
      <c r="C65" s="41">
        <f t="shared" si="21"/>
        <v>-1869932.2</v>
      </c>
      <c r="D65" s="184">
        <v>0</v>
      </c>
      <c r="E65" s="41">
        <v>-1869932.2</v>
      </c>
      <c r="F65" s="43">
        <v>-1308952.54</v>
      </c>
      <c r="G65" s="44">
        <f t="shared" si="22"/>
        <v>560979.65999999992</v>
      </c>
      <c r="H65" s="185">
        <f>'[1]2018'!P52</f>
        <v>0</v>
      </c>
      <c r="I65" s="185">
        <f>'[1]2018'!P8</f>
        <v>0</v>
      </c>
      <c r="J65" s="46">
        <f t="shared" si="23"/>
        <v>560979.65999999992</v>
      </c>
      <c r="K65" s="178">
        <v>893673.59</v>
      </c>
      <c r="L65" s="38">
        <f t="shared" si="27"/>
        <v>-1057677.76</v>
      </c>
      <c r="M65" s="38"/>
      <c r="N65" s="38"/>
      <c r="O65" s="37">
        <f t="shared" si="24"/>
        <v>724983.83</v>
      </c>
      <c r="P65" s="38"/>
      <c r="Q65" s="39"/>
      <c r="R65" s="38">
        <f>-[1]reconciliation!E85</f>
        <v>-2273351.7399999998</v>
      </c>
      <c r="S65" s="181">
        <f>-[1]reconciliation!K85</f>
        <v>-420563.54581079975</v>
      </c>
      <c r="T65" s="180">
        <f t="shared" si="25"/>
        <v>-1852788.1941891999</v>
      </c>
      <c r="U65" s="34">
        <f t="shared" si="26"/>
        <v>560979.65999999992</v>
      </c>
      <c r="W65" s="47" t="s">
        <v>55</v>
      </c>
      <c r="X65" s="48">
        <v>2018</v>
      </c>
    </row>
    <row r="66" spans="2:32" ht="15" thickBot="1" x14ac:dyDescent="0.4">
      <c r="B66" s="192"/>
      <c r="C66" s="50">
        <f>SUM(C54:C65)</f>
        <v>-25009225.370000001</v>
      </c>
      <c r="D66" s="193">
        <f>SUM(D54:D65)</f>
        <v>0</v>
      </c>
      <c r="E66" s="50">
        <f>SUM(E54:E65)</f>
        <v>-25009225.370000001</v>
      </c>
      <c r="F66" s="52">
        <f t="shared" ref="F66:J66" si="28">SUM(F54:F65)</f>
        <v>-17513372.120000001</v>
      </c>
      <c r="G66" s="53">
        <f t="shared" si="28"/>
        <v>7495853.2500000009</v>
      </c>
      <c r="H66" s="194">
        <f t="shared" si="28"/>
        <v>-1648784.93</v>
      </c>
      <c r="I66" s="194">
        <f t="shared" si="28"/>
        <v>-4456831.3499999996</v>
      </c>
      <c r="J66" s="55">
        <f t="shared" si="28"/>
        <v>1390236.97</v>
      </c>
      <c r="K66" s="50"/>
      <c r="L66" s="194"/>
      <c r="M66" s="194"/>
      <c r="N66" s="194"/>
      <c r="O66" s="195"/>
      <c r="P66" s="38"/>
      <c r="Q66" s="186" t="s">
        <v>56</v>
      </c>
      <c r="R66" s="187">
        <f t="shared" ref="R66" si="29">SUM(R54:R65)</f>
        <v>-25106004.969999999</v>
      </c>
      <c r="S66" s="188">
        <f>SUM(S54:S65)</f>
        <v>-6487048.4979778072</v>
      </c>
      <c r="T66" s="189">
        <f t="shared" ref="T66" si="30">SUM(T54:T65)</f>
        <v>-18618956.472022191</v>
      </c>
      <c r="U66" s="34"/>
    </row>
    <row r="67" spans="2:32" ht="15" thickTop="1" x14ac:dyDescent="0.35">
      <c r="B67" s="198"/>
      <c r="C67" s="38"/>
      <c r="D67" s="179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186" t="s">
        <v>57</v>
      </c>
      <c r="R67" s="187">
        <f>C66</f>
        <v>-25009225.370000001</v>
      </c>
      <c r="S67" s="188">
        <f>-G66</f>
        <v>-7495853.2500000009</v>
      </c>
      <c r="T67" s="189">
        <f>F66</f>
        <v>-17513372.120000001</v>
      </c>
      <c r="U67" s="34"/>
      <c r="W67" t="str">
        <f>W34</f>
        <v>1.00.1588.800.000</v>
      </c>
      <c r="X67" s="3">
        <f>S68</f>
        <v>1008804.7520221937</v>
      </c>
    </row>
    <row r="68" spans="2:32" ht="15" thickBot="1" x14ac:dyDescent="0.4">
      <c r="B68" s="198"/>
      <c r="C68" s="38"/>
      <c r="D68" s="179"/>
      <c r="E68" s="38"/>
      <c r="F68" s="38">
        <f>F66-G66-E66</f>
        <v>0</v>
      </c>
      <c r="G68" s="38"/>
      <c r="H68" s="38"/>
      <c r="I68" s="38"/>
      <c r="J68" s="38">
        <f>G66+H66+I66-J66</f>
        <v>0</v>
      </c>
      <c r="K68" s="38"/>
      <c r="L68" s="38"/>
      <c r="M68" s="38"/>
      <c r="N68" s="38"/>
      <c r="O68" s="38">
        <f>R68-S68-T68</f>
        <v>-1.862645149230957E-9</v>
      </c>
      <c r="P68" s="38"/>
      <c r="Q68" s="199" t="s">
        <v>51</v>
      </c>
      <c r="R68" s="200">
        <f>R66-R67</f>
        <v>-96779.599999997765</v>
      </c>
      <c r="S68" s="65">
        <f>S66-S67</f>
        <v>1008804.7520221937</v>
      </c>
      <c r="T68" s="66">
        <f t="shared" ref="T68" si="31">T66-T67</f>
        <v>-1105584.3520221896</v>
      </c>
      <c r="U68" s="67"/>
      <c r="W68" t="str">
        <f>W35</f>
        <v>1.00.1589.800.000</v>
      </c>
      <c r="X68" s="3">
        <f>-X67</f>
        <v>-1008804.7520221937</v>
      </c>
    </row>
    <row r="69" spans="2:32" ht="15" thickTop="1" x14ac:dyDescent="0.35">
      <c r="C69" s="38"/>
      <c r="D69" s="38"/>
      <c r="E69" s="38"/>
    </row>
    <row r="70" spans="2:32" x14ac:dyDescent="0.35">
      <c r="X70"/>
      <c r="Y70"/>
      <c r="Z70"/>
      <c r="AA70"/>
      <c r="AB70"/>
      <c r="AC70"/>
      <c r="AD70"/>
      <c r="AE70"/>
      <c r="AF70"/>
    </row>
    <row r="71" spans="2:32" x14ac:dyDescent="0.35">
      <c r="X71"/>
      <c r="Y71"/>
      <c r="Z71"/>
      <c r="AA71"/>
      <c r="AB71"/>
      <c r="AC71"/>
      <c r="AD71"/>
      <c r="AE71"/>
      <c r="AF71"/>
    </row>
    <row r="72" spans="2:32" x14ac:dyDescent="0.35">
      <c r="X72"/>
      <c r="Y72"/>
      <c r="Z72"/>
      <c r="AA72"/>
      <c r="AB72"/>
      <c r="AC72"/>
      <c r="AD72"/>
      <c r="AE72"/>
      <c r="AF72"/>
    </row>
    <row r="73" spans="2:32" x14ac:dyDescent="0.35">
      <c r="X73"/>
      <c r="Y73"/>
      <c r="Z73"/>
      <c r="AA73"/>
      <c r="AB73"/>
      <c r="AC73"/>
      <c r="AD73"/>
      <c r="AE73"/>
      <c r="AF73"/>
    </row>
    <row r="74" spans="2:32" x14ac:dyDescent="0.35">
      <c r="X74"/>
      <c r="Y74"/>
      <c r="Z74"/>
      <c r="AA74"/>
      <c r="AB74"/>
      <c r="AC74"/>
      <c r="AD74"/>
      <c r="AE74"/>
      <c r="AF74"/>
    </row>
    <row r="75" spans="2:32" x14ac:dyDescent="0.35">
      <c r="X75"/>
      <c r="Y75"/>
      <c r="Z75"/>
      <c r="AA75"/>
      <c r="AB75"/>
      <c r="AC75"/>
      <c r="AD75"/>
      <c r="AE75"/>
      <c r="AF75"/>
    </row>
    <row r="76" spans="2:32" x14ac:dyDescent="0.35">
      <c r="X76"/>
      <c r="Y76"/>
      <c r="Z76"/>
      <c r="AA76"/>
      <c r="AB76"/>
      <c r="AC76"/>
      <c r="AD76"/>
      <c r="AE76"/>
      <c r="AF76"/>
    </row>
    <row r="77" spans="2:32" x14ac:dyDescent="0.35">
      <c r="X77"/>
      <c r="Y77"/>
      <c r="Z77"/>
      <c r="AA77"/>
      <c r="AB77"/>
      <c r="AC77"/>
      <c r="AD77"/>
      <c r="AE77"/>
      <c r="AF77"/>
    </row>
    <row r="78" spans="2:32" x14ac:dyDescent="0.35">
      <c r="X78"/>
      <c r="Y78"/>
      <c r="Z78"/>
      <c r="AA78"/>
      <c r="AB78"/>
      <c r="AC78"/>
      <c r="AD78"/>
      <c r="AE78"/>
      <c r="AF78"/>
    </row>
    <row r="79" spans="2:32" x14ac:dyDescent="0.35">
      <c r="X79"/>
      <c r="Y79"/>
      <c r="Z79"/>
      <c r="AA79"/>
      <c r="AB79"/>
      <c r="AC79"/>
      <c r="AD79"/>
      <c r="AE79"/>
      <c r="AF79"/>
    </row>
    <row r="80" spans="2:32" x14ac:dyDescent="0.35">
      <c r="X80"/>
      <c r="Y80"/>
      <c r="Z80"/>
      <c r="AA80"/>
      <c r="AB80"/>
      <c r="AC80"/>
      <c r="AD80"/>
      <c r="AE80"/>
      <c r="AF80"/>
    </row>
    <row r="81" spans="24:32" x14ac:dyDescent="0.35">
      <c r="X81"/>
      <c r="Y81"/>
      <c r="Z81"/>
      <c r="AA81"/>
      <c r="AB81"/>
      <c r="AC81"/>
      <c r="AD81"/>
      <c r="AE81"/>
      <c r="AF81"/>
    </row>
    <row r="82" spans="24:32" x14ac:dyDescent="0.35">
      <c r="X82"/>
      <c r="Y82"/>
      <c r="Z82"/>
      <c r="AA82"/>
      <c r="AB82"/>
      <c r="AC82"/>
      <c r="AD82"/>
      <c r="AE82"/>
      <c r="AF82"/>
    </row>
    <row r="83" spans="24:32" x14ac:dyDescent="0.35">
      <c r="X83"/>
      <c r="Y83"/>
      <c r="Z83"/>
      <c r="AA83"/>
      <c r="AB83"/>
      <c r="AC83"/>
      <c r="AD83"/>
      <c r="AE83"/>
      <c r="AF83"/>
    </row>
    <row r="84" spans="24:32" x14ac:dyDescent="0.35">
      <c r="X84"/>
      <c r="Y84"/>
      <c r="Z84"/>
      <c r="AA84"/>
      <c r="AB84"/>
      <c r="AC84"/>
      <c r="AD84"/>
      <c r="AE84"/>
      <c r="AF84"/>
    </row>
    <row r="85" spans="24:32" x14ac:dyDescent="0.35">
      <c r="X85"/>
      <c r="Y85"/>
      <c r="Z85"/>
      <c r="AA85"/>
      <c r="AB85"/>
      <c r="AC85"/>
      <c r="AD85"/>
      <c r="AE85"/>
      <c r="AF85"/>
    </row>
    <row r="86" spans="24:32" x14ac:dyDescent="0.35">
      <c r="X86"/>
      <c r="Y86"/>
      <c r="Z86"/>
      <c r="AA86"/>
      <c r="AB86"/>
      <c r="AC86"/>
      <c r="AD86"/>
      <c r="AE86"/>
      <c r="AF86"/>
    </row>
    <row r="87" spans="24:32" x14ac:dyDescent="0.35">
      <c r="X87"/>
      <c r="Y87"/>
      <c r="Z87"/>
      <c r="AA87"/>
      <c r="AB87"/>
      <c r="AC87"/>
      <c r="AD87"/>
      <c r="AE87"/>
      <c r="AF87"/>
    </row>
    <row r="88" spans="24:32" x14ac:dyDescent="0.35">
      <c r="X88"/>
      <c r="Y88"/>
      <c r="Z88"/>
      <c r="AA88"/>
      <c r="AB88"/>
      <c r="AC88"/>
      <c r="AD88"/>
      <c r="AE88"/>
      <c r="AF88"/>
    </row>
    <row r="89" spans="24:32" x14ac:dyDescent="0.35">
      <c r="X89"/>
      <c r="Y89"/>
      <c r="Z89"/>
      <c r="AA89"/>
      <c r="AB89"/>
      <c r="AC89"/>
      <c r="AD89"/>
      <c r="AE89"/>
      <c r="AF89"/>
    </row>
    <row r="90" spans="24:32" x14ac:dyDescent="0.35">
      <c r="X90"/>
      <c r="Y90"/>
      <c r="Z90"/>
      <c r="AA90"/>
      <c r="AB90"/>
      <c r="AC90"/>
      <c r="AD90"/>
      <c r="AE90"/>
      <c r="AF90"/>
    </row>
    <row r="91" spans="24:32" x14ac:dyDescent="0.35">
      <c r="X91"/>
      <c r="Y91"/>
      <c r="Z91"/>
      <c r="AA91"/>
      <c r="AB91"/>
      <c r="AC91"/>
      <c r="AD91"/>
      <c r="AE91"/>
      <c r="AF91"/>
    </row>
    <row r="92" spans="24:32" x14ac:dyDescent="0.35">
      <c r="X92"/>
      <c r="Y92"/>
      <c r="Z92"/>
      <c r="AA92"/>
      <c r="AB92"/>
      <c r="AC92"/>
      <c r="AD92"/>
      <c r="AE92"/>
      <c r="AF92"/>
    </row>
    <row r="93" spans="24:32" x14ac:dyDescent="0.35">
      <c r="X93"/>
      <c r="Y93"/>
      <c r="Z93"/>
      <c r="AA93"/>
      <c r="AB93"/>
      <c r="AC93"/>
      <c r="AD93"/>
      <c r="AE93"/>
      <c r="AF93"/>
    </row>
    <row r="94" spans="24:32" x14ac:dyDescent="0.35">
      <c r="X94"/>
      <c r="Y94"/>
      <c r="Z94"/>
      <c r="AA94"/>
      <c r="AB94"/>
      <c r="AC94"/>
      <c r="AD94"/>
      <c r="AE94"/>
      <c r="AF94"/>
    </row>
    <row r="95" spans="24:32" x14ac:dyDescent="0.35">
      <c r="X95"/>
      <c r="Y95"/>
      <c r="Z95"/>
      <c r="AA95"/>
      <c r="AB95"/>
      <c r="AC95"/>
      <c r="AD95"/>
      <c r="AE95"/>
      <c r="AF95"/>
    </row>
    <row r="96" spans="24:32" x14ac:dyDescent="0.35">
      <c r="X96"/>
      <c r="Y96"/>
      <c r="Z96"/>
      <c r="AA96"/>
      <c r="AB96"/>
      <c r="AC96"/>
      <c r="AD96"/>
      <c r="AE96"/>
      <c r="AF96"/>
    </row>
    <row r="97" spans="24:32" x14ac:dyDescent="0.35">
      <c r="X97"/>
      <c r="Y97"/>
      <c r="Z97"/>
      <c r="AA97"/>
      <c r="AB97"/>
      <c r="AC97"/>
      <c r="AD97"/>
      <c r="AE97"/>
      <c r="AF97"/>
    </row>
    <row r="98" spans="24:32" x14ac:dyDescent="0.35">
      <c r="X98"/>
      <c r="Y98"/>
      <c r="Z98"/>
      <c r="AA98"/>
      <c r="AB98"/>
      <c r="AC98"/>
      <c r="AD98"/>
      <c r="AE98"/>
      <c r="AF98"/>
    </row>
    <row r="99" spans="24:32" x14ac:dyDescent="0.35">
      <c r="X99"/>
      <c r="Y99"/>
      <c r="Z99"/>
      <c r="AA99"/>
      <c r="AB99"/>
      <c r="AC99"/>
      <c r="AD99"/>
      <c r="AE99"/>
      <c r="AF99"/>
    </row>
    <row r="100" spans="24:32" x14ac:dyDescent="0.35">
      <c r="X100"/>
      <c r="Y100"/>
      <c r="Z100"/>
      <c r="AA100"/>
      <c r="AB100"/>
      <c r="AC100"/>
      <c r="AD100"/>
      <c r="AE100"/>
      <c r="AF100"/>
    </row>
    <row r="101" spans="24:32" x14ac:dyDescent="0.35">
      <c r="X101"/>
      <c r="Y101"/>
      <c r="Z101"/>
      <c r="AA101"/>
      <c r="AB101"/>
      <c r="AC101"/>
      <c r="AD101"/>
      <c r="AE101"/>
      <c r="AF101"/>
    </row>
    <row r="102" spans="24:32" x14ac:dyDescent="0.35">
      <c r="X102"/>
      <c r="Y102"/>
      <c r="Z102"/>
      <c r="AA102"/>
      <c r="AB102"/>
      <c r="AC102"/>
      <c r="AD102"/>
      <c r="AE102"/>
      <c r="AF102"/>
    </row>
    <row r="103" spans="24:32" x14ac:dyDescent="0.35">
      <c r="X103"/>
      <c r="Y103"/>
      <c r="Z103"/>
      <c r="AA103"/>
      <c r="AB103"/>
      <c r="AC103"/>
      <c r="AD103"/>
      <c r="AE103"/>
      <c r="AF103"/>
    </row>
    <row r="104" spans="24:32" x14ac:dyDescent="0.35">
      <c r="X104"/>
      <c r="Y104"/>
      <c r="Z104"/>
      <c r="AA104"/>
      <c r="AB104"/>
      <c r="AC104"/>
      <c r="AD104"/>
      <c r="AE104"/>
      <c r="AF104"/>
    </row>
    <row r="105" spans="24:32" x14ac:dyDescent="0.35">
      <c r="X105"/>
      <c r="Y105"/>
      <c r="Z105"/>
      <c r="AA105"/>
      <c r="AB105"/>
      <c r="AC105"/>
      <c r="AD105"/>
      <c r="AE105"/>
      <c r="AF105"/>
    </row>
    <row r="106" spans="24:32" x14ac:dyDescent="0.35">
      <c r="X106"/>
      <c r="Y106"/>
      <c r="Z106"/>
      <c r="AA106"/>
      <c r="AB106"/>
      <c r="AC106"/>
      <c r="AD106"/>
      <c r="AE106"/>
      <c r="AF106"/>
    </row>
    <row r="107" spans="24:32" x14ac:dyDescent="0.35">
      <c r="X107"/>
      <c r="Y107"/>
      <c r="Z107"/>
      <c r="AA107"/>
      <c r="AB107"/>
      <c r="AC107"/>
      <c r="AD107"/>
      <c r="AE107"/>
      <c r="AF107"/>
    </row>
    <row r="108" spans="24:32" x14ac:dyDescent="0.35">
      <c r="X108"/>
      <c r="Y108"/>
      <c r="Z108"/>
      <c r="AA108"/>
      <c r="AB108"/>
      <c r="AC108"/>
      <c r="AD108"/>
      <c r="AE108"/>
      <c r="AF108"/>
    </row>
    <row r="109" spans="24:32" x14ac:dyDescent="0.35">
      <c r="X109"/>
      <c r="Y109"/>
      <c r="Z109"/>
      <c r="AA109"/>
      <c r="AB109"/>
      <c r="AC109"/>
      <c r="AD109"/>
      <c r="AE109"/>
      <c r="AF109"/>
    </row>
    <row r="110" spans="24:32" x14ac:dyDescent="0.35">
      <c r="X110"/>
      <c r="Y110"/>
      <c r="Z110"/>
      <c r="AA110"/>
      <c r="AB110"/>
      <c r="AC110"/>
      <c r="AD110"/>
      <c r="AE110"/>
      <c r="AF110"/>
    </row>
    <row r="111" spans="24:32" x14ac:dyDescent="0.35">
      <c r="X111"/>
      <c r="Y111"/>
      <c r="Z111"/>
      <c r="AA111"/>
      <c r="AB111"/>
      <c r="AC111"/>
      <c r="AD111"/>
      <c r="AE111"/>
      <c r="AF111"/>
    </row>
    <row r="112" spans="24:32" x14ac:dyDescent="0.35">
      <c r="X112"/>
      <c r="Y112"/>
      <c r="Z112"/>
      <c r="AA112"/>
      <c r="AB112"/>
      <c r="AC112"/>
      <c r="AD112"/>
      <c r="AE112"/>
      <c r="AF112"/>
    </row>
    <row r="113" spans="24:32" x14ac:dyDescent="0.35">
      <c r="X113"/>
      <c r="Y113"/>
      <c r="Z113"/>
      <c r="AA113"/>
      <c r="AB113"/>
      <c r="AC113"/>
      <c r="AD113"/>
      <c r="AE113"/>
      <c r="AF113"/>
    </row>
    <row r="114" spans="24:32" x14ac:dyDescent="0.35">
      <c r="X114"/>
      <c r="Y114"/>
      <c r="Z114"/>
      <c r="AA114"/>
      <c r="AB114"/>
      <c r="AC114"/>
      <c r="AD114"/>
      <c r="AE114"/>
      <c r="AF114"/>
    </row>
    <row r="115" spans="24:32" x14ac:dyDescent="0.35">
      <c r="X115"/>
      <c r="Y115"/>
      <c r="Z115"/>
      <c r="AA115"/>
      <c r="AB115"/>
      <c r="AC115"/>
      <c r="AD115"/>
      <c r="AE115"/>
      <c r="AF115"/>
    </row>
    <row r="116" spans="24:32" x14ac:dyDescent="0.35">
      <c r="X116"/>
      <c r="Y116"/>
      <c r="Z116"/>
      <c r="AA116"/>
      <c r="AB116"/>
      <c r="AC116"/>
      <c r="AD116"/>
      <c r="AE116"/>
      <c r="AF116"/>
    </row>
    <row r="117" spans="24:32" x14ac:dyDescent="0.35">
      <c r="X117"/>
      <c r="Y117"/>
      <c r="Z117"/>
      <c r="AA117"/>
      <c r="AB117"/>
      <c r="AC117"/>
      <c r="AD117"/>
      <c r="AE117"/>
      <c r="AF117"/>
    </row>
    <row r="118" spans="24:32" x14ac:dyDescent="0.35">
      <c r="X118"/>
      <c r="Y118"/>
      <c r="Z118"/>
      <c r="AA118"/>
      <c r="AB118"/>
      <c r="AC118"/>
      <c r="AD118"/>
      <c r="AE118"/>
      <c r="AF118"/>
    </row>
    <row r="119" spans="24:32" x14ac:dyDescent="0.35">
      <c r="X119"/>
      <c r="Y119"/>
      <c r="Z119"/>
      <c r="AA119"/>
      <c r="AB119"/>
      <c r="AC119"/>
      <c r="AD119"/>
      <c r="AE119"/>
      <c r="AF119"/>
    </row>
    <row r="120" spans="24:32" x14ac:dyDescent="0.35">
      <c r="X120"/>
      <c r="Y120"/>
      <c r="Z120"/>
      <c r="AA120"/>
      <c r="AB120"/>
      <c r="AC120"/>
      <c r="AD120"/>
      <c r="AE120"/>
      <c r="AF120"/>
    </row>
    <row r="121" spans="24:32" x14ac:dyDescent="0.35">
      <c r="X121"/>
      <c r="Y121"/>
      <c r="Z121"/>
      <c r="AA121"/>
      <c r="AB121"/>
      <c r="AC121"/>
      <c r="AD121"/>
      <c r="AE121"/>
      <c r="AF121"/>
    </row>
    <row r="122" spans="24:32" x14ac:dyDescent="0.35">
      <c r="X122"/>
      <c r="Y122"/>
      <c r="Z122"/>
      <c r="AA122"/>
      <c r="AB122"/>
      <c r="AC122"/>
      <c r="AD122"/>
      <c r="AE122"/>
      <c r="AF122"/>
    </row>
    <row r="123" spans="24:32" x14ac:dyDescent="0.35">
      <c r="X123"/>
      <c r="Y123"/>
      <c r="Z123"/>
      <c r="AA123"/>
      <c r="AB123"/>
      <c r="AC123"/>
      <c r="AD123"/>
      <c r="AE123"/>
      <c r="AF123"/>
    </row>
    <row r="124" spans="24:32" x14ac:dyDescent="0.35">
      <c r="X124"/>
      <c r="Y124"/>
      <c r="Z124"/>
      <c r="AA124"/>
      <c r="AB124"/>
      <c r="AC124"/>
      <c r="AD124"/>
      <c r="AE124"/>
      <c r="AF124"/>
    </row>
    <row r="125" spans="24:32" x14ac:dyDescent="0.35">
      <c r="X125"/>
      <c r="Y125"/>
      <c r="Z125"/>
      <c r="AA125"/>
      <c r="AB125"/>
      <c r="AC125"/>
      <c r="AD125"/>
      <c r="AE125"/>
      <c r="AF125"/>
    </row>
  </sheetData>
  <printOptions horizontalCentered="1"/>
  <pageMargins left="0" right="0" top="0.74803149606299213" bottom="0.74803149606299213" header="0.31496062992125984" footer="0.31496062992125984"/>
  <pageSetup scale="43" orientation="landscape" r:id="rId1"/>
  <rowBreaks count="1" manualBreakCount="1">
    <brk id="51" min="1" max="2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25"/>
  <sheetViews>
    <sheetView zoomScale="55" zoomScaleNormal="55" workbookViewId="0">
      <selection activeCell="T46" sqref="T46"/>
    </sheetView>
  </sheetViews>
  <sheetFormatPr defaultRowHeight="14.5" x14ac:dyDescent="0.35"/>
  <cols>
    <col min="1" max="1" width="2.6328125" customWidth="1"/>
    <col min="2" max="2" width="9.90625" bestFit="1" customWidth="1"/>
    <col min="3" max="6" width="12.6328125" style="3" customWidth="1"/>
    <col min="7" max="7" width="12.6328125" style="170" customWidth="1"/>
    <col min="8" max="8" width="12.6328125" style="1" customWidth="1"/>
    <col min="9" max="9" width="12.6328125" style="3" customWidth="1"/>
    <col min="10" max="10" width="2.6328125" customWidth="1"/>
    <col min="11" max="14" width="12.6328125" style="3" customWidth="1"/>
    <col min="15" max="15" width="12.6328125" style="170" customWidth="1"/>
    <col min="16" max="16" width="12.6328125" style="1" customWidth="1"/>
    <col min="17" max="17" width="12.6328125" style="3" customWidth="1"/>
    <col min="18" max="18" width="2.6328125" customWidth="1"/>
    <col min="19" max="22" width="12.6328125" style="3" customWidth="1"/>
    <col min="23" max="23" width="12.6328125" style="170" customWidth="1"/>
    <col min="24" max="24" width="12.6328125" style="1" customWidth="1"/>
    <col min="25" max="25" width="12.6328125" style="3" customWidth="1"/>
    <col min="26" max="26" width="2.6328125" customWidth="1"/>
    <col min="27" max="30" width="12.6328125" style="3" customWidth="1"/>
    <col min="31" max="31" width="12.6328125" style="170" customWidth="1"/>
    <col min="32" max="32" width="12.6328125" style="1" customWidth="1"/>
    <col min="33" max="33" width="12.6328125" style="3" customWidth="1"/>
  </cols>
  <sheetData>
    <row r="2" spans="2:33" ht="18.5" x14ac:dyDescent="0.45">
      <c r="B2" s="172" t="s">
        <v>188</v>
      </c>
    </row>
    <row r="4" spans="2:33" x14ac:dyDescent="0.35">
      <c r="C4" s="235">
        <v>2015</v>
      </c>
      <c r="D4" s="236"/>
      <c r="E4" s="236"/>
      <c r="F4" s="236"/>
      <c r="G4" s="236"/>
      <c r="H4" s="236"/>
      <c r="I4" s="237"/>
      <c r="K4" s="235">
        <v>2016</v>
      </c>
      <c r="L4" s="236"/>
      <c r="M4" s="236"/>
      <c r="N4" s="236"/>
      <c r="O4" s="236"/>
      <c r="P4" s="236"/>
      <c r="Q4" s="237"/>
      <c r="S4" s="235">
        <v>2017</v>
      </c>
      <c r="T4" s="236"/>
      <c r="U4" s="236"/>
      <c r="V4" s="236"/>
      <c r="W4" s="236"/>
      <c r="X4" s="236"/>
      <c r="Y4" s="237"/>
      <c r="AA4" s="235">
        <v>2018</v>
      </c>
      <c r="AB4" s="236"/>
      <c r="AC4" s="236"/>
      <c r="AD4" s="236"/>
      <c r="AE4" s="236"/>
      <c r="AF4" s="236"/>
      <c r="AG4" s="237"/>
    </row>
    <row r="5" spans="2:33" s="154" customFormat="1" ht="87" x14ac:dyDescent="0.35">
      <c r="C5" s="155" t="s">
        <v>65</v>
      </c>
      <c r="D5" s="155" t="s">
        <v>73</v>
      </c>
      <c r="E5" s="155" t="s">
        <v>51</v>
      </c>
      <c r="F5" s="155" t="s">
        <v>143</v>
      </c>
      <c r="G5" s="156" t="s">
        <v>144</v>
      </c>
      <c r="H5" s="157" t="s">
        <v>145</v>
      </c>
      <c r="I5" s="155" t="s">
        <v>146</v>
      </c>
      <c r="K5" s="155" t="s">
        <v>65</v>
      </c>
      <c r="L5" s="155" t="s">
        <v>73</v>
      </c>
      <c r="M5" s="155" t="s">
        <v>51</v>
      </c>
      <c r="N5" s="155" t="s">
        <v>143</v>
      </c>
      <c r="O5" s="156" t="s">
        <v>144</v>
      </c>
      <c r="P5" s="157" t="s">
        <v>145</v>
      </c>
      <c r="Q5" s="155" t="s">
        <v>146</v>
      </c>
      <c r="S5" s="155" t="s">
        <v>65</v>
      </c>
      <c r="T5" s="155" t="s">
        <v>73</v>
      </c>
      <c r="U5" s="155" t="s">
        <v>51</v>
      </c>
      <c r="V5" s="155" t="s">
        <v>143</v>
      </c>
      <c r="W5" s="156" t="s">
        <v>144</v>
      </c>
      <c r="X5" s="157" t="s">
        <v>145</v>
      </c>
      <c r="Y5" s="155" t="s">
        <v>146</v>
      </c>
      <c r="AA5" s="155" t="s">
        <v>65</v>
      </c>
      <c r="AB5" s="155" t="s">
        <v>73</v>
      </c>
      <c r="AC5" s="155" t="s">
        <v>51</v>
      </c>
      <c r="AD5" s="155" t="s">
        <v>143</v>
      </c>
      <c r="AE5" s="156" t="s">
        <v>144</v>
      </c>
      <c r="AF5" s="157" t="s">
        <v>145</v>
      </c>
      <c r="AG5" s="155" t="s">
        <v>146</v>
      </c>
    </row>
    <row r="6" spans="2:33" x14ac:dyDescent="0.35">
      <c r="B6" t="s">
        <v>147</v>
      </c>
      <c r="C6" s="158">
        <v>101308.76000000001</v>
      </c>
      <c r="D6" s="158">
        <v>-340672.75407199975</v>
      </c>
      <c r="E6" s="158">
        <f>C6+D6</f>
        <v>-239363.99407199974</v>
      </c>
      <c r="F6" s="158">
        <f>SUM($E$6:E6)</f>
        <v>-239363.99407199974</v>
      </c>
      <c r="G6" s="159">
        <v>31</v>
      </c>
      <c r="H6" s="160">
        <v>1.47E-2</v>
      </c>
      <c r="I6" s="161">
        <f>F6*((G6/365)*H6)</f>
        <v>-298.84430711948016</v>
      </c>
      <c r="K6" s="158">
        <v>630051.25999999978</v>
      </c>
      <c r="L6" s="158">
        <v>-617107.81406299968</v>
      </c>
      <c r="M6" s="158">
        <f>K6+L6</f>
        <v>12943.445937000099</v>
      </c>
      <c r="N6" s="158">
        <f>SUM($M$6:M6)+$F$17</f>
        <v>39239.141326500627</v>
      </c>
      <c r="O6" s="159">
        <v>31</v>
      </c>
      <c r="P6" s="160">
        <v>1.0999999999999999E-2</v>
      </c>
      <c r="Q6" s="161">
        <f>N6*((O6/365)*P6)</f>
        <v>36.659033403662228</v>
      </c>
      <c r="S6" s="158">
        <v>513126.42000000016</v>
      </c>
      <c r="T6" s="158">
        <v>-584477.94563910074</v>
      </c>
      <c r="U6" s="158">
        <f>S6+T6</f>
        <v>-71351.525639100582</v>
      </c>
      <c r="V6" s="158">
        <f>SUM($U$6:U6)+$M$18</f>
        <v>342894.54674309713</v>
      </c>
      <c r="W6" s="159">
        <v>31</v>
      </c>
      <c r="X6" s="160">
        <v>1.0999999999999999E-2</v>
      </c>
      <c r="Y6" s="161">
        <f>V6*((W6/365)*X6)</f>
        <v>320.3480559983455</v>
      </c>
      <c r="AA6" s="158">
        <v>553034.55000000005</v>
      </c>
      <c r="AB6" s="158">
        <v>-450057.12428959971</v>
      </c>
      <c r="AC6" s="158">
        <f>AA6+AB6</f>
        <v>102977.42571040033</v>
      </c>
      <c r="AD6" s="158">
        <f>SUM($AC$6:AC6)+$U$18</f>
        <v>612283.7873517999</v>
      </c>
      <c r="AE6" s="159">
        <v>31</v>
      </c>
      <c r="AF6" s="160">
        <v>1.4999999999999999E-2</v>
      </c>
      <c r="AG6" s="161">
        <f>AD6*((AE6/365)*AF6)</f>
        <v>780.03277018790936</v>
      </c>
    </row>
    <row r="7" spans="2:33" x14ac:dyDescent="0.35">
      <c r="B7" t="s">
        <v>148</v>
      </c>
      <c r="C7" s="162">
        <v>243796.57999999996</v>
      </c>
      <c r="D7" s="162">
        <v>-249041.21576680068</v>
      </c>
      <c r="E7" s="162">
        <f t="shared" ref="E7:E18" si="0">C7+D7</f>
        <v>-5244.6357668007258</v>
      </c>
      <c r="F7" s="162">
        <f>SUM($E$6:E7)</f>
        <v>-244608.62983880047</v>
      </c>
      <c r="G7" s="163">
        <v>28</v>
      </c>
      <c r="H7" s="164">
        <v>1.47E-2</v>
      </c>
      <c r="I7" s="165">
        <f t="shared" ref="I7:I17" si="1">F7*((G7/365)*H7)</f>
        <v>-275.83811518260347</v>
      </c>
      <c r="K7" s="162">
        <v>704712.2100000002</v>
      </c>
      <c r="L7" s="162">
        <v>-620430.74664900138</v>
      </c>
      <c r="M7" s="162">
        <f t="shared" ref="M7:M17" si="2">K7+L7</f>
        <v>84281.46335099882</v>
      </c>
      <c r="N7" s="162">
        <f>SUM($M$6:M7)+$F$17</f>
        <v>123520.60467749945</v>
      </c>
      <c r="O7" s="163">
        <v>28</v>
      </c>
      <c r="P7" s="164">
        <v>1.0999999999999999E-2</v>
      </c>
      <c r="Q7" s="165">
        <f t="shared" ref="Q7:Q17" si="3">N7*((O7/365)*P7)</f>
        <v>104.23108559087623</v>
      </c>
      <c r="S7" s="162">
        <v>616194.62999999989</v>
      </c>
      <c r="T7" s="162">
        <v>-530181.06090019958</v>
      </c>
      <c r="U7" s="162">
        <f t="shared" ref="U7:U18" si="4">S7+T7</f>
        <v>86013.569099800312</v>
      </c>
      <c r="V7" s="162">
        <f>SUM($U$6:U7)+$M$18</f>
        <v>428908.11584289744</v>
      </c>
      <c r="W7" s="163">
        <v>28</v>
      </c>
      <c r="X7" s="164">
        <v>1.0999999999999999E-2</v>
      </c>
      <c r="Y7" s="165">
        <f t="shared" ref="Y7:Y17" si="5">V7*((W7/365)*X7)</f>
        <v>361.92794432770523</v>
      </c>
      <c r="AA7" s="162">
        <v>352129.55000000005</v>
      </c>
      <c r="AB7" s="162">
        <v>-476417.27837620245</v>
      </c>
      <c r="AC7" s="162">
        <f t="shared" ref="AC7:AC18" si="6">AA7+AB7</f>
        <v>-124287.7283762024</v>
      </c>
      <c r="AD7" s="162">
        <f>SUM($AC$6:AC7)+$U$18</f>
        <v>487996.05897559749</v>
      </c>
      <c r="AE7" s="163">
        <v>28</v>
      </c>
      <c r="AF7" s="164">
        <v>1.4999999999999999E-2</v>
      </c>
      <c r="AG7" s="165">
        <f t="shared" ref="AG7:AG17" si="7">AD7*((AE7/365)*AF7)</f>
        <v>561.52971169794785</v>
      </c>
    </row>
    <row r="8" spans="2:33" x14ac:dyDescent="0.35">
      <c r="B8" t="s">
        <v>149</v>
      </c>
      <c r="C8" s="162">
        <v>503653.30000000005</v>
      </c>
      <c r="D8" s="162">
        <v>-402453.23857199901</v>
      </c>
      <c r="E8" s="162">
        <f t="shared" si="0"/>
        <v>101200.06142800103</v>
      </c>
      <c r="F8" s="162">
        <f>SUM($E$6:E8)</f>
        <v>-143408.56841079943</v>
      </c>
      <c r="G8" s="163">
        <v>31</v>
      </c>
      <c r="H8" s="164">
        <v>1.47E-2</v>
      </c>
      <c r="I8" s="165">
        <f t="shared" si="1"/>
        <v>-179.04461541041451</v>
      </c>
      <c r="K8" s="162">
        <v>763157.31</v>
      </c>
      <c r="L8" s="162">
        <v>-686059.25982200017</v>
      </c>
      <c r="M8" s="162">
        <f t="shared" si="2"/>
        <v>77098.050177999889</v>
      </c>
      <c r="N8" s="162">
        <f>SUM($M$6:M8)+$F$17</f>
        <v>200618.65485549934</v>
      </c>
      <c r="O8" s="163">
        <v>31</v>
      </c>
      <c r="P8" s="164">
        <v>1.0999999999999999E-2</v>
      </c>
      <c r="Q8" s="165">
        <f t="shared" si="3"/>
        <v>187.42729124856237</v>
      </c>
      <c r="S8" s="162">
        <v>534082.04</v>
      </c>
      <c r="T8" s="162">
        <v>-504685.85778549977</v>
      </c>
      <c r="U8" s="162">
        <f t="shared" si="4"/>
        <v>29396.182214500266</v>
      </c>
      <c r="V8" s="162">
        <f>SUM($U$6:U8)+$M$18</f>
        <v>458304.29805739771</v>
      </c>
      <c r="W8" s="163">
        <v>31</v>
      </c>
      <c r="X8" s="164">
        <v>1.0999999999999999E-2</v>
      </c>
      <c r="Y8" s="165">
        <f t="shared" si="5"/>
        <v>428.16922092485646</v>
      </c>
      <c r="AA8" s="162">
        <v>800346.11999999988</v>
      </c>
      <c r="AB8" s="162">
        <v>-596645.47273990035</v>
      </c>
      <c r="AC8" s="162">
        <f t="shared" si="6"/>
        <v>203700.64726009953</v>
      </c>
      <c r="AD8" s="162">
        <f>SUM($AC$6:AC8)+$U$18</f>
        <v>691696.70623569703</v>
      </c>
      <c r="AE8" s="163">
        <v>31</v>
      </c>
      <c r="AF8" s="164">
        <v>1.4999999999999999E-2</v>
      </c>
      <c r="AG8" s="165">
        <f t="shared" si="7"/>
        <v>881.20265314958658</v>
      </c>
    </row>
    <row r="9" spans="2:33" x14ac:dyDescent="0.35">
      <c r="B9" t="s">
        <v>150</v>
      </c>
      <c r="C9" s="162">
        <v>623577.68000000017</v>
      </c>
      <c r="D9" s="162">
        <v>-532845.4978483998</v>
      </c>
      <c r="E9" s="162">
        <f t="shared" si="0"/>
        <v>90732.182151600369</v>
      </c>
      <c r="F9" s="162">
        <f>SUM($E$6:E9)</f>
        <v>-52676.386259199062</v>
      </c>
      <c r="G9" s="163">
        <v>30</v>
      </c>
      <c r="H9" s="164">
        <v>1.0999999999999999E-2</v>
      </c>
      <c r="I9" s="165">
        <f t="shared" si="1"/>
        <v>-47.625225932974487</v>
      </c>
      <c r="K9" s="162">
        <v>698740.07000000007</v>
      </c>
      <c r="L9" s="162">
        <v>-676525.8530887987</v>
      </c>
      <c r="M9" s="162">
        <f t="shared" si="2"/>
        <v>22214.216911201365</v>
      </c>
      <c r="N9" s="162">
        <f>SUM($M$6:M9)+$F$17</f>
        <v>222832.8717667007</v>
      </c>
      <c r="O9" s="163">
        <v>30</v>
      </c>
      <c r="P9" s="164">
        <v>1.0999999999999999E-2</v>
      </c>
      <c r="Q9" s="165">
        <f t="shared" si="3"/>
        <v>201.46533611783897</v>
      </c>
      <c r="S9" s="162">
        <v>799882.97</v>
      </c>
      <c r="T9" s="162">
        <v>-656925.33938420028</v>
      </c>
      <c r="U9" s="162">
        <f t="shared" si="4"/>
        <v>142957.63061579969</v>
      </c>
      <c r="V9" s="162">
        <f>SUM($U$6:U9)+$M$18</f>
        <v>601261.9286731974</v>
      </c>
      <c r="W9" s="163">
        <v>30</v>
      </c>
      <c r="X9" s="164">
        <v>1.0999999999999999E-2</v>
      </c>
      <c r="Y9" s="165">
        <f t="shared" si="5"/>
        <v>543.60667523878112</v>
      </c>
      <c r="AA9" s="162">
        <v>662835.0299999998</v>
      </c>
      <c r="AB9" s="162">
        <v>-568343.78429330047</v>
      </c>
      <c r="AC9" s="162">
        <f t="shared" si="6"/>
        <v>94491.245706699323</v>
      </c>
      <c r="AD9" s="162">
        <f>SUM($AC$6:AC9)+$U$18</f>
        <v>786187.95194239635</v>
      </c>
      <c r="AE9" s="163">
        <v>30</v>
      </c>
      <c r="AF9" s="164">
        <v>1.89E-2</v>
      </c>
      <c r="AG9" s="165">
        <f t="shared" si="7"/>
        <v>1221.2837500036678</v>
      </c>
    </row>
    <row r="10" spans="2:33" x14ac:dyDescent="0.35">
      <c r="B10" t="s">
        <v>151</v>
      </c>
      <c r="C10" s="162">
        <v>575419.58000000007</v>
      </c>
      <c r="D10" s="162">
        <v>-558953.23309840041</v>
      </c>
      <c r="E10" s="162">
        <f t="shared" si="0"/>
        <v>16466.346901599667</v>
      </c>
      <c r="F10" s="162">
        <f>SUM($E$6:E10)</f>
        <v>-36210.039357599395</v>
      </c>
      <c r="G10" s="163">
        <v>31</v>
      </c>
      <c r="H10" s="164">
        <v>1.0999999999999999E-2</v>
      </c>
      <c r="I10" s="165">
        <f t="shared" si="1"/>
        <v>-33.829105262853126</v>
      </c>
      <c r="K10" s="162">
        <v>587142.67999999993</v>
      </c>
      <c r="L10" s="162">
        <v>-641329.56568560086</v>
      </c>
      <c r="M10" s="162">
        <f t="shared" si="2"/>
        <v>-54186.885685600922</v>
      </c>
      <c r="N10" s="162">
        <f>SUM($M$6:M10)+$F$17</f>
        <v>168645.98608109978</v>
      </c>
      <c r="O10" s="163">
        <v>31</v>
      </c>
      <c r="P10" s="164">
        <v>1.0999999999999999E-2</v>
      </c>
      <c r="Q10" s="165">
        <f t="shared" si="3"/>
        <v>157.55693494152058</v>
      </c>
      <c r="S10" s="162">
        <v>743649.85999999987</v>
      </c>
      <c r="T10" s="162">
        <v>-771296.83242029918</v>
      </c>
      <c r="U10" s="162">
        <f t="shared" si="4"/>
        <v>-27646.972420299309</v>
      </c>
      <c r="V10" s="162">
        <f>SUM($U$6:U10)+$M$18</f>
        <v>573614.95625289809</v>
      </c>
      <c r="W10" s="163">
        <v>31</v>
      </c>
      <c r="X10" s="164">
        <v>1.0999999999999999E-2</v>
      </c>
      <c r="Y10" s="165">
        <f t="shared" si="5"/>
        <v>535.89780844448831</v>
      </c>
      <c r="AA10" s="162">
        <v>412073.6100000001</v>
      </c>
      <c r="AB10" s="162">
        <v>-628168.30597360001</v>
      </c>
      <c r="AC10" s="162">
        <f t="shared" si="6"/>
        <v>-216094.69597359991</v>
      </c>
      <c r="AD10" s="162">
        <f>SUM($AC$6:AC10)+$U$18</f>
        <v>570093.25596879644</v>
      </c>
      <c r="AE10" s="163">
        <v>31</v>
      </c>
      <c r="AF10" s="164">
        <v>1.89E-2</v>
      </c>
      <c r="AG10" s="165">
        <f t="shared" si="7"/>
        <v>915.11681827977486</v>
      </c>
    </row>
    <row r="11" spans="2:33" x14ac:dyDescent="0.35">
      <c r="B11" t="s">
        <v>152</v>
      </c>
      <c r="C11" s="162">
        <v>561575.2799999998</v>
      </c>
      <c r="D11" s="162">
        <v>-569269.16375399975</v>
      </c>
      <c r="E11" s="162">
        <f t="shared" si="0"/>
        <v>-7693.8837539999513</v>
      </c>
      <c r="F11" s="162">
        <f>SUM($E$6:E11)</f>
        <v>-43903.923111599346</v>
      </c>
      <c r="G11" s="163">
        <v>30</v>
      </c>
      <c r="H11" s="164">
        <v>1.0999999999999999E-2</v>
      </c>
      <c r="I11" s="165">
        <f t="shared" si="1"/>
        <v>-39.693957881719953</v>
      </c>
      <c r="K11" s="162">
        <v>630226.44999999995</v>
      </c>
      <c r="L11" s="162">
        <v>-574945.63687800034</v>
      </c>
      <c r="M11" s="162">
        <f t="shared" si="2"/>
        <v>55280.813121999614</v>
      </c>
      <c r="N11" s="162">
        <f>SUM($M$6:M11)+$F$17</f>
        <v>223926.79920309939</v>
      </c>
      <c r="O11" s="163">
        <v>30</v>
      </c>
      <c r="P11" s="164">
        <v>1.0999999999999999E-2</v>
      </c>
      <c r="Q11" s="165">
        <f t="shared" si="3"/>
        <v>202.45436640280218</v>
      </c>
      <c r="S11" s="162">
        <v>702036.6100000001</v>
      </c>
      <c r="T11" s="162">
        <v>-748942.24263840041</v>
      </c>
      <c r="U11" s="162">
        <f t="shared" si="4"/>
        <v>-46905.632638400304</v>
      </c>
      <c r="V11" s="162">
        <f>SUM($U$6:U11)+$M$18</f>
        <v>526709.32361449779</v>
      </c>
      <c r="W11" s="163">
        <v>30</v>
      </c>
      <c r="X11" s="164">
        <v>1.0999999999999999E-2</v>
      </c>
      <c r="Y11" s="165">
        <f t="shared" si="5"/>
        <v>476.20295011721714</v>
      </c>
      <c r="AA11" s="162">
        <v>1024884.9699999997</v>
      </c>
      <c r="AB11" s="162">
        <v>-686736.70498480124</v>
      </c>
      <c r="AC11" s="162">
        <f t="shared" si="6"/>
        <v>338148.2650151985</v>
      </c>
      <c r="AD11" s="162">
        <f>SUM($AC$6:AC11)+$U$18</f>
        <v>908241.52098399494</v>
      </c>
      <c r="AE11" s="163">
        <v>30</v>
      </c>
      <c r="AF11" s="164">
        <v>1.89E-2</v>
      </c>
      <c r="AG11" s="165">
        <f t="shared" si="7"/>
        <v>1410.8847736929456</v>
      </c>
    </row>
    <row r="12" spans="2:33" x14ac:dyDescent="0.35">
      <c r="B12" t="s">
        <v>153</v>
      </c>
      <c r="C12" s="162">
        <v>428670.60000000009</v>
      </c>
      <c r="D12" s="162">
        <v>-498452.35681920085</v>
      </c>
      <c r="E12" s="162">
        <f t="shared" si="0"/>
        <v>-69781.75681920076</v>
      </c>
      <c r="F12" s="162">
        <f>SUM($E$6:E12)</f>
        <v>-113685.67993080011</v>
      </c>
      <c r="G12" s="163">
        <v>31</v>
      </c>
      <c r="H12" s="164">
        <v>1.0999999999999999E-2</v>
      </c>
      <c r="I12" s="165">
        <f t="shared" si="1"/>
        <v>-106.21045714082967</v>
      </c>
      <c r="K12" s="162">
        <v>552896.21</v>
      </c>
      <c r="L12" s="162">
        <v>-531601.34874219948</v>
      </c>
      <c r="M12" s="162">
        <f t="shared" si="2"/>
        <v>21294.861257800483</v>
      </c>
      <c r="N12" s="162">
        <f>SUM($M$6:M12)+$F$17</f>
        <v>245221.66046089988</v>
      </c>
      <c r="O12" s="163">
        <v>31</v>
      </c>
      <c r="P12" s="164">
        <v>1.0999999999999999E-2</v>
      </c>
      <c r="Q12" s="165">
        <f t="shared" si="3"/>
        <v>229.09749648538863</v>
      </c>
      <c r="S12" s="162">
        <v>932457.50000000023</v>
      </c>
      <c r="T12" s="162">
        <v>-691561.48401600006</v>
      </c>
      <c r="U12" s="162">
        <f t="shared" si="4"/>
        <v>240896.01598400017</v>
      </c>
      <c r="V12" s="162">
        <f>SUM($U$6:U12)+$M$18</f>
        <v>767605.33959849796</v>
      </c>
      <c r="W12" s="163">
        <v>31</v>
      </c>
      <c r="X12" s="164">
        <v>1.0999999999999999E-2</v>
      </c>
      <c r="Y12" s="165">
        <f t="shared" si="5"/>
        <v>717.13265973448699</v>
      </c>
      <c r="AA12" s="162">
        <v>594776.36999999988</v>
      </c>
      <c r="AB12" s="162">
        <v>-466375.98468299996</v>
      </c>
      <c r="AC12" s="162">
        <f t="shared" si="6"/>
        <v>128400.38531699992</v>
      </c>
      <c r="AD12" s="162">
        <f>SUM($AC$6:AC12)+$U$18</f>
        <v>1036641.9063009948</v>
      </c>
      <c r="AE12" s="163">
        <v>31</v>
      </c>
      <c r="AF12" s="164">
        <v>1.89E-2</v>
      </c>
      <c r="AG12" s="165">
        <f t="shared" si="7"/>
        <v>1664.0232682239805</v>
      </c>
    </row>
    <row r="13" spans="2:33" x14ac:dyDescent="0.35">
      <c r="B13" t="s">
        <v>154</v>
      </c>
      <c r="C13" s="162">
        <v>645663.49000000022</v>
      </c>
      <c r="D13" s="162">
        <v>-504167.16057299997</v>
      </c>
      <c r="E13" s="162">
        <f t="shared" si="0"/>
        <v>141496.32942700025</v>
      </c>
      <c r="F13" s="162">
        <f>SUM($E$6:E13)</f>
        <v>27810.649496200145</v>
      </c>
      <c r="G13" s="163">
        <v>31</v>
      </c>
      <c r="H13" s="164">
        <v>1.0999999999999999E-2</v>
      </c>
      <c r="I13" s="165">
        <f t="shared" si="1"/>
        <v>25.982004049874654</v>
      </c>
      <c r="K13" s="162">
        <v>517462.67999999993</v>
      </c>
      <c r="L13" s="162">
        <v>-476597.569901001</v>
      </c>
      <c r="M13" s="162">
        <f t="shared" si="2"/>
        <v>40865.110098998935</v>
      </c>
      <c r="N13" s="162">
        <f>SUM($M$6:M13)+$F$17</f>
        <v>286086.77055989881</v>
      </c>
      <c r="O13" s="163">
        <v>31</v>
      </c>
      <c r="P13" s="164">
        <v>1.0999999999999999E-2</v>
      </c>
      <c r="Q13" s="165">
        <f t="shared" si="3"/>
        <v>267.27558564637116</v>
      </c>
      <c r="S13" s="162">
        <v>691560.42999999993</v>
      </c>
      <c r="T13" s="162">
        <v>-620986.79211799847</v>
      </c>
      <c r="U13" s="162">
        <f t="shared" si="4"/>
        <v>70573.637882001465</v>
      </c>
      <c r="V13" s="162">
        <f>SUM($U$6:U13)+$M$18</f>
        <v>838178.97748049942</v>
      </c>
      <c r="W13" s="163">
        <v>31</v>
      </c>
      <c r="X13" s="164">
        <v>1.0999999999999999E-2</v>
      </c>
      <c r="Y13" s="165">
        <f t="shared" si="5"/>
        <v>783.06583923520623</v>
      </c>
      <c r="AA13" s="162">
        <v>565422.6399999999</v>
      </c>
      <c r="AB13" s="162">
        <v>-458834.27217600076</v>
      </c>
      <c r="AC13" s="162">
        <f t="shared" si="6"/>
        <v>106588.36782399914</v>
      </c>
      <c r="AD13" s="162">
        <f>SUM($AC$6:AC13)+$U$18</f>
        <v>1143230.2741249939</v>
      </c>
      <c r="AE13" s="163">
        <v>31</v>
      </c>
      <c r="AF13" s="164">
        <v>1.89E-2</v>
      </c>
      <c r="AG13" s="165">
        <f t="shared" si="7"/>
        <v>1835.119500300915</v>
      </c>
    </row>
    <row r="14" spans="2:33" x14ac:dyDescent="0.35">
      <c r="B14" t="s">
        <v>155</v>
      </c>
      <c r="C14" s="162">
        <v>365751.1</v>
      </c>
      <c r="D14" s="162">
        <v>-416067.9785446999</v>
      </c>
      <c r="E14" s="162">
        <f t="shared" si="0"/>
        <v>-50316.878544699925</v>
      </c>
      <c r="F14" s="162">
        <f>SUM($E$6:E14)</f>
        <v>-22506.229048499779</v>
      </c>
      <c r="G14" s="163">
        <v>30</v>
      </c>
      <c r="H14" s="164">
        <v>1.0999999999999999E-2</v>
      </c>
      <c r="I14" s="165">
        <f t="shared" si="1"/>
        <v>-20.348097495903907</v>
      </c>
      <c r="K14" s="162">
        <v>689828.46</v>
      </c>
      <c r="L14" s="162">
        <v>-583072.33607009973</v>
      </c>
      <c r="M14" s="162">
        <f t="shared" si="2"/>
        <v>106756.12392990023</v>
      </c>
      <c r="N14" s="162">
        <f>SUM($M$6:M14)+$F$17</f>
        <v>392842.89448979904</v>
      </c>
      <c r="O14" s="163">
        <v>30</v>
      </c>
      <c r="P14" s="164">
        <v>1.0999999999999999E-2</v>
      </c>
      <c r="Q14" s="165">
        <f t="shared" si="3"/>
        <v>355.17302789488679</v>
      </c>
      <c r="S14" s="162">
        <v>473124.97</v>
      </c>
      <c r="T14" s="162">
        <v>-531921.7331711998</v>
      </c>
      <c r="U14" s="162">
        <f t="shared" si="4"/>
        <v>-58796.763171199826</v>
      </c>
      <c r="V14" s="162">
        <f>SUM($U$6:U14)+$M$18</f>
        <v>779382.2143092996</v>
      </c>
      <c r="W14" s="163">
        <v>30</v>
      </c>
      <c r="X14" s="164">
        <v>1.0999999999999999E-2</v>
      </c>
      <c r="Y14" s="165">
        <f t="shared" si="5"/>
        <v>704.64693348512014</v>
      </c>
      <c r="AA14" s="162">
        <v>543459.16000000015</v>
      </c>
      <c r="AB14" s="162">
        <v>-485766.04402960074</v>
      </c>
      <c r="AC14" s="162">
        <f t="shared" si="6"/>
        <v>57693.115970399405</v>
      </c>
      <c r="AD14" s="162">
        <f>SUM($AC$6:AC14)+$U$18</f>
        <v>1200923.3900953934</v>
      </c>
      <c r="AE14" s="163">
        <v>30</v>
      </c>
      <c r="AF14" s="164">
        <v>1.89E-2</v>
      </c>
      <c r="AG14" s="165">
        <f t="shared" si="7"/>
        <v>1865.5440059838029</v>
      </c>
    </row>
    <row r="15" spans="2:33" x14ac:dyDescent="0.35">
      <c r="B15" t="s">
        <v>156</v>
      </c>
      <c r="C15" s="162">
        <v>538206.67000000004</v>
      </c>
      <c r="D15" s="162">
        <v>-470965.45026559953</v>
      </c>
      <c r="E15" s="162">
        <f t="shared" si="0"/>
        <v>67241.219734400511</v>
      </c>
      <c r="F15" s="162">
        <f>SUM($E$6:E15)</f>
        <v>44734.990685900731</v>
      </c>
      <c r="G15" s="163">
        <v>31</v>
      </c>
      <c r="H15" s="164">
        <v>1.0999999999999999E-2</v>
      </c>
      <c r="I15" s="165">
        <f t="shared" si="1"/>
        <v>41.793511846279856</v>
      </c>
      <c r="K15" s="162">
        <v>665818.14000000013</v>
      </c>
      <c r="L15" s="162">
        <v>-713202.0302844001</v>
      </c>
      <c r="M15" s="162">
        <f t="shared" si="2"/>
        <v>-47383.890284399968</v>
      </c>
      <c r="N15" s="162">
        <f>SUM($M$6:M15)+$F$17</f>
        <v>345459.00420539908</v>
      </c>
      <c r="O15" s="163">
        <v>31</v>
      </c>
      <c r="P15" s="164">
        <v>1.0999999999999999E-2</v>
      </c>
      <c r="Q15" s="165">
        <f t="shared" si="3"/>
        <v>322.74389160011253</v>
      </c>
      <c r="S15" s="162">
        <v>924106.8899999999</v>
      </c>
      <c r="T15" s="162">
        <v>-753233.87005809962</v>
      </c>
      <c r="U15" s="162">
        <f t="shared" si="4"/>
        <v>170873.01994190027</v>
      </c>
      <c r="V15" s="162">
        <f>SUM($U$6:U15)+$M$18</f>
        <v>950255.23425119987</v>
      </c>
      <c r="W15" s="163">
        <v>31</v>
      </c>
      <c r="X15" s="164">
        <v>1.4999999999999999E-2</v>
      </c>
      <c r="Y15" s="165">
        <f t="shared" si="5"/>
        <v>1210.5991340460491</v>
      </c>
      <c r="AA15" s="162">
        <v>750232.78000000026</v>
      </c>
      <c r="AB15" s="162">
        <v>-681104.45738350321</v>
      </c>
      <c r="AC15" s="162">
        <f t="shared" si="6"/>
        <v>69128.322616497055</v>
      </c>
      <c r="AD15" s="162">
        <f>SUM($AC$6:AC15)+$U$18</f>
        <v>1270051.7127118905</v>
      </c>
      <c r="AE15" s="163">
        <v>31</v>
      </c>
      <c r="AF15" s="164">
        <v>2.1700000000000001E-2</v>
      </c>
      <c r="AG15" s="165">
        <f t="shared" si="7"/>
        <v>2340.7227044966812</v>
      </c>
    </row>
    <row r="16" spans="2:33" x14ac:dyDescent="0.35">
      <c r="B16" t="s">
        <v>157</v>
      </c>
      <c r="C16" s="162">
        <v>734732.1100000001</v>
      </c>
      <c r="D16" s="162">
        <v>-691679.98190800019</v>
      </c>
      <c r="E16" s="162">
        <f t="shared" si="0"/>
        <v>43052.128091999912</v>
      </c>
      <c r="F16" s="162">
        <f>SUM($E$6:E16)</f>
        <v>87787.118777900643</v>
      </c>
      <c r="G16" s="163">
        <v>30</v>
      </c>
      <c r="H16" s="164">
        <v>1.0999999999999999E-2</v>
      </c>
      <c r="I16" s="165">
        <f t="shared" si="1"/>
        <v>79.369175881389609</v>
      </c>
      <c r="K16" s="162">
        <v>772287.20999999973</v>
      </c>
      <c r="L16" s="162">
        <v>-714188.15513010032</v>
      </c>
      <c r="M16" s="162">
        <f t="shared" si="2"/>
        <v>58099.05486989941</v>
      </c>
      <c r="N16" s="162">
        <f>SUM($M$6:M16)+$F$17</f>
        <v>403558.05907529849</v>
      </c>
      <c r="O16" s="163">
        <v>30</v>
      </c>
      <c r="P16" s="164">
        <v>1.0999999999999999E-2</v>
      </c>
      <c r="Q16" s="165">
        <f t="shared" si="3"/>
        <v>364.86071094479036</v>
      </c>
      <c r="S16" s="162">
        <v>635551.74999999977</v>
      </c>
      <c r="T16" s="162">
        <v>-606139.27320800046</v>
      </c>
      <c r="U16" s="162">
        <f t="shared" si="4"/>
        <v>29412.476791999303</v>
      </c>
      <c r="V16" s="162">
        <f>SUM($U$6:U16)+$M$18</f>
        <v>979667.71104319918</v>
      </c>
      <c r="W16" s="163">
        <v>30</v>
      </c>
      <c r="X16" s="164">
        <v>1.4999999999999999E-2</v>
      </c>
      <c r="Y16" s="165">
        <f t="shared" si="5"/>
        <v>1207.8095067655879</v>
      </c>
      <c r="AA16" s="162">
        <v>675678.81000000029</v>
      </c>
      <c r="AB16" s="162">
        <v>-568035.52323749836</v>
      </c>
      <c r="AC16" s="162">
        <f t="shared" si="6"/>
        <v>107643.28676250193</v>
      </c>
      <c r="AD16" s="162">
        <f>SUM($AC$6:AC16)+$U$18</f>
        <v>1377694.9994743923</v>
      </c>
      <c r="AE16" s="163">
        <v>30</v>
      </c>
      <c r="AF16" s="164">
        <v>2.1700000000000001E-2</v>
      </c>
      <c r="AG16" s="165">
        <f t="shared" si="7"/>
        <v>2457.2039579666557</v>
      </c>
    </row>
    <row r="17" spans="2:33" x14ac:dyDescent="0.35">
      <c r="B17" t="s">
        <v>158</v>
      </c>
      <c r="C17" s="162">
        <v>542925.07000000007</v>
      </c>
      <c r="D17" s="162">
        <v>-604416.49338840018</v>
      </c>
      <c r="E17" s="162">
        <f t="shared" si="0"/>
        <v>-61491.423388400115</v>
      </c>
      <c r="F17" s="162">
        <f>SUM($E$6:E17)</f>
        <v>26295.695389500528</v>
      </c>
      <c r="G17" s="163">
        <v>31</v>
      </c>
      <c r="H17" s="164">
        <v>1.0999999999999999E-2</v>
      </c>
      <c r="I17" s="165">
        <f t="shared" si="1"/>
        <v>24.566663363889532</v>
      </c>
      <c r="K17" s="162">
        <v>610045.23</v>
      </c>
      <c r="L17" s="162">
        <v>-573061.52130360052</v>
      </c>
      <c r="M17" s="162">
        <f t="shared" si="2"/>
        <v>36983.708696399466</v>
      </c>
      <c r="N17" s="162">
        <f>SUM($M$6:M17)+$F$17</f>
        <v>440541.76777169795</v>
      </c>
      <c r="O17" s="163">
        <v>31</v>
      </c>
      <c r="P17" s="164">
        <v>1.0999999999999999E-2</v>
      </c>
      <c r="Q17" s="165">
        <f t="shared" si="3"/>
        <v>411.57463783602464</v>
      </c>
      <c r="S17" s="162">
        <v>545703.25000000023</v>
      </c>
      <c r="T17" s="162">
        <v>-601818.52701960108</v>
      </c>
      <c r="U17" s="162">
        <f t="shared" si="4"/>
        <v>-56115.27701960085</v>
      </c>
      <c r="V17" s="162">
        <f>SUM($U$6:U17)+$M$18</f>
        <v>923552.43402359833</v>
      </c>
      <c r="W17" s="163">
        <v>31</v>
      </c>
      <c r="X17" s="164">
        <v>1.4999999999999999E-2</v>
      </c>
      <c r="Y17" s="165">
        <f t="shared" si="5"/>
        <v>1176.5804981396525</v>
      </c>
      <c r="AA17" s="162">
        <v>560979.65999999992</v>
      </c>
      <c r="AB17" s="162">
        <v>-420563.54581079975</v>
      </c>
      <c r="AC17" s="162">
        <f t="shared" si="6"/>
        <v>140416.11418920016</v>
      </c>
      <c r="AD17" s="162">
        <f>SUM($AC$6:AC17)+$U$18</f>
        <v>1518111.1136635926</v>
      </c>
      <c r="AE17" s="163">
        <v>31</v>
      </c>
      <c r="AF17" s="164">
        <v>2.1700000000000001E-2</v>
      </c>
      <c r="AG17" s="165">
        <f t="shared" si="7"/>
        <v>2797.8995785246539</v>
      </c>
    </row>
    <row r="18" spans="2:33" s="47" customFormat="1" ht="15" thickBot="1" x14ac:dyDescent="0.4">
      <c r="B18" s="47" t="s">
        <v>127</v>
      </c>
      <c r="C18" s="166">
        <f>SUM(C6:C17)</f>
        <v>5865280.2200000016</v>
      </c>
      <c r="D18" s="166">
        <f>SUM(D6:D17)</f>
        <v>-5838984.5246105008</v>
      </c>
      <c r="E18" s="166">
        <f t="shared" si="0"/>
        <v>26295.695389500819</v>
      </c>
      <c r="F18"/>
      <c r="G18" s="167"/>
      <c r="H18" s="168"/>
      <c r="I18" s="169">
        <f>SUM(I6:I17)</f>
        <v>-829.72252628534545</v>
      </c>
      <c r="K18" s="166">
        <f>SUM(K6:K17)</f>
        <v>7822367.9100000001</v>
      </c>
      <c r="L18" s="166">
        <f>SUM(L6:L17)</f>
        <v>-7408121.8376178024</v>
      </c>
      <c r="M18" s="166">
        <f>K18+L18</f>
        <v>414246.07238219772</v>
      </c>
      <c r="N18"/>
      <c r="O18" s="167"/>
      <c r="P18" s="168"/>
      <c r="Q18" s="169">
        <f>SUM(Q6:Q17)</f>
        <v>2840.5193981128364</v>
      </c>
      <c r="S18" s="166">
        <f>SUM(S6:S17)</f>
        <v>8111477.3199999994</v>
      </c>
      <c r="T18" s="166">
        <f>SUM(T6:T17)</f>
        <v>-7602170.9583585998</v>
      </c>
      <c r="U18" s="166">
        <f t="shared" si="4"/>
        <v>509306.36164139956</v>
      </c>
      <c r="V18"/>
      <c r="W18" s="167"/>
      <c r="X18" s="168"/>
      <c r="Y18" s="169">
        <f>SUM(Y6:Y17)</f>
        <v>8465.9872264574969</v>
      </c>
      <c r="AA18" s="166">
        <f>SUM(AA6:AA17)</f>
        <v>7495853.2500000009</v>
      </c>
      <c r="AB18" s="166">
        <f>SUM(AB6:AB17)</f>
        <v>-6487048.4979778072</v>
      </c>
      <c r="AC18" s="166">
        <f t="shared" si="6"/>
        <v>1008804.7520221937</v>
      </c>
      <c r="AD18"/>
      <c r="AE18" s="167"/>
      <c r="AF18" s="168"/>
      <c r="AG18" s="169">
        <f>SUM(AG6:AG17)</f>
        <v>18730.563492508525</v>
      </c>
    </row>
    <row r="19" spans="2:33" ht="15" thickTop="1" x14ac:dyDescent="0.35"/>
    <row r="21" spans="2:33" ht="15" thickBot="1" x14ac:dyDescent="0.4">
      <c r="B21" s="47" t="s">
        <v>159</v>
      </c>
      <c r="D21" s="169">
        <f>I18+Q18+Y18+AG18</f>
        <v>29207.347590793514</v>
      </c>
    </row>
    <row r="22" spans="2:33" ht="15" thickTop="1" x14ac:dyDescent="0.35"/>
    <row r="24" spans="2:33" x14ac:dyDescent="0.35">
      <c r="B24" t="s">
        <v>160</v>
      </c>
      <c r="D24" s="3">
        <f>D21</f>
        <v>29207.347590793514</v>
      </c>
    </row>
    <row r="25" spans="2:33" x14ac:dyDescent="0.35">
      <c r="B25" t="s">
        <v>161</v>
      </c>
      <c r="E25" s="3">
        <f>-D24</f>
        <v>-29207.347590793514</v>
      </c>
    </row>
  </sheetData>
  <mergeCells count="4">
    <mergeCell ref="C4:I4"/>
    <mergeCell ref="K4:Q4"/>
    <mergeCell ref="S4:Y4"/>
    <mergeCell ref="AA4:AG4"/>
  </mergeCells>
  <pageMargins left="0.7" right="0.7" top="0.75" bottom="0.75" header="0.3" footer="0.3"/>
  <pageSetup scale="89" orientation="portrait" verticalDpi="0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0"/>
  <sheetViews>
    <sheetView topLeftCell="B2" zoomScale="55" zoomScaleNormal="55" workbookViewId="0">
      <selection activeCell="T46" sqref="T46"/>
    </sheetView>
  </sheetViews>
  <sheetFormatPr defaultColWidth="8.7265625" defaultRowHeight="14.5" x14ac:dyDescent="0.35"/>
  <cols>
    <col min="1" max="1" width="8.7265625" style="116" hidden="1" customWidth="1"/>
    <col min="2" max="2" width="5.6328125" style="116" customWidth="1"/>
    <col min="3" max="3" width="12.7265625" style="116" bestFit="1" customWidth="1"/>
    <col min="4" max="4" width="15.08984375" style="116" bestFit="1" customWidth="1"/>
    <col min="5" max="23" width="13.6328125" style="116" hidden="1" customWidth="1"/>
    <col min="24" max="24" width="2.6328125" style="117" hidden="1" customWidth="1"/>
    <col min="25" max="43" width="13.6328125" style="116" hidden="1" customWidth="1"/>
    <col min="44" max="44" width="2.6328125" style="117" hidden="1" customWidth="1"/>
    <col min="45" max="58" width="13.6328125" style="116" customWidth="1"/>
    <col min="59" max="59" width="14.26953125" style="116" bestFit="1" customWidth="1"/>
    <col min="60" max="63" width="13.6328125" style="116" customWidth="1"/>
    <col min="64" max="64" width="2.6328125" style="117" customWidth="1"/>
    <col min="65" max="78" width="13.6328125" style="116" customWidth="1"/>
    <col min="79" max="79" width="14.26953125" style="116" bestFit="1" customWidth="1"/>
    <col min="80" max="81" width="13.6328125" style="116" customWidth="1"/>
    <col min="82" max="82" width="14.26953125" style="116" bestFit="1" customWidth="1"/>
    <col min="83" max="84" width="10.81640625" style="116" bestFit="1" customWidth="1"/>
    <col min="85" max="16384" width="8.7265625" style="116"/>
  </cols>
  <sheetData>
    <row r="1" spans="1:82" hidden="1" x14ac:dyDescent="0.35">
      <c r="A1" s="116" t="s">
        <v>106</v>
      </c>
    </row>
    <row r="2" spans="1:82" ht="15" thickBot="1" x14ac:dyDescent="0.4"/>
    <row r="3" spans="1:82" ht="19" thickBot="1" x14ac:dyDescent="0.5">
      <c r="C3" s="172" t="s">
        <v>189</v>
      </c>
      <c r="F3" s="242">
        <v>2015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4"/>
      <c r="Y3" s="238">
        <v>2016</v>
      </c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40"/>
      <c r="AS3" s="238">
        <v>2017</v>
      </c>
      <c r="AT3" s="239"/>
      <c r="AU3" s="239"/>
      <c r="AV3" s="239"/>
      <c r="AW3" s="239"/>
      <c r="AX3" s="239"/>
      <c r="AY3" s="239"/>
      <c r="AZ3" s="239"/>
      <c r="BA3" s="239"/>
      <c r="BB3" s="239"/>
      <c r="BC3" s="239"/>
      <c r="BD3" s="239"/>
      <c r="BE3" s="239"/>
      <c r="BF3" s="239"/>
      <c r="BG3" s="239"/>
      <c r="BH3" s="239"/>
      <c r="BI3" s="239"/>
      <c r="BJ3" s="240"/>
      <c r="BK3" s="118"/>
      <c r="BM3" s="238">
        <v>2018</v>
      </c>
      <c r="BN3" s="239"/>
      <c r="BO3" s="239"/>
      <c r="BP3" s="239"/>
      <c r="BQ3" s="239"/>
      <c r="BR3" s="239"/>
      <c r="BS3" s="239"/>
      <c r="BT3" s="239"/>
      <c r="BU3" s="239"/>
      <c r="BV3" s="239"/>
      <c r="BW3" s="239"/>
      <c r="BX3" s="239"/>
      <c r="BY3" s="239"/>
      <c r="BZ3" s="239"/>
      <c r="CA3" s="239"/>
      <c r="CB3" s="239"/>
      <c r="CC3" s="239"/>
      <c r="CD3" s="240"/>
    </row>
    <row r="5" spans="1:82" x14ac:dyDescent="0.35">
      <c r="E5" s="119"/>
      <c r="F5" s="120">
        <v>42005</v>
      </c>
      <c r="G5" s="120">
        <f>F6+1</f>
        <v>42036</v>
      </c>
      <c r="H5" s="120">
        <f t="shared" ref="H5:R5" si="0">G6+1</f>
        <v>42064</v>
      </c>
      <c r="I5" s="120">
        <f t="shared" si="0"/>
        <v>42095</v>
      </c>
      <c r="J5" s="120">
        <f t="shared" si="0"/>
        <v>42125</v>
      </c>
      <c r="K5" s="120"/>
      <c r="L5" s="120">
        <f>J6+1</f>
        <v>42156</v>
      </c>
      <c r="M5" s="120">
        <f t="shared" si="0"/>
        <v>42186</v>
      </c>
      <c r="N5" s="120">
        <f t="shared" si="0"/>
        <v>42217</v>
      </c>
      <c r="O5" s="120">
        <f t="shared" si="0"/>
        <v>42248</v>
      </c>
      <c r="P5" s="120">
        <f t="shared" si="0"/>
        <v>42278</v>
      </c>
      <c r="Q5" s="120">
        <f t="shared" si="0"/>
        <v>42309</v>
      </c>
      <c r="R5" s="120">
        <f t="shared" si="0"/>
        <v>42339</v>
      </c>
      <c r="Y5" s="119"/>
      <c r="Z5" s="120">
        <v>42370</v>
      </c>
      <c r="AA5" s="120">
        <f>Z6+1</f>
        <v>42401</v>
      </c>
      <c r="AB5" s="120">
        <f t="shared" ref="AB5:AL5" si="1">AA6+1</f>
        <v>42430</v>
      </c>
      <c r="AC5" s="120">
        <f t="shared" si="1"/>
        <v>42461</v>
      </c>
      <c r="AD5" s="120">
        <f t="shared" si="1"/>
        <v>42491</v>
      </c>
      <c r="AE5" s="120"/>
      <c r="AF5" s="120">
        <f>AD6+1</f>
        <v>42522</v>
      </c>
      <c r="AG5" s="120">
        <f t="shared" si="1"/>
        <v>42552</v>
      </c>
      <c r="AH5" s="120">
        <f t="shared" si="1"/>
        <v>42583</v>
      </c>
      <c r="AI5" s="120">
        <f t="shared" si="1"/>
        <v>42614</v>
      </c>
      <c r="AJ5" s="120">
        <f t="shared" si="1"/>
        <v>42644</v>
      </c>
      <c r="AK5" s="120">
        <f t="shared" si="1"/>
        <v>42675</v>
      </c>
      <c r="AL5" s="120">
        <f t="shared" si="1"/>
        <v>42705</v>
      </c>
      <c r="AS5" s="119"/>
      <c r="AT5" s="120">
        <v>42736</v>
      </c>
      <c r="AU5" s="120">
        <f>AT6+1</f>
        <v>42767</v>
      </c>
      <c r="AV5" s="120">
        <f t="shared" ref="AV5:BF5" si="2">AU6+1</f>
        <v>42795</v>
      </c>
      <c r="AW5" s="120">
        <f t="shared" si="2"/>
        <v>42826</v>
      </c>
      <c r="AX5" s="120">
        <f t="shared" si="2"/>
        <v>42856</v>
      </c>
      <c r="AY5" s="120"/>
      <c r="AZ5" s="120">
        <f>AX6+1</f>
        <v>42887</v>
      </c>
      <c r="BA5" s="120">
        <f t="shared" si="2"/>
        <v>42917</v>
      </c>
      <c r="BB5" s="120">
        <f t="shared" si="2"/>
        <v>42948</v>
      </c>
      <c r="BC5" s="120">
        <f t="shared" si="2"/>
        <v>42979</v>
      </c>
      <c r="BD5" s="120">
        <f t="shared" si="2"/>
        <v>43009</v>
      </c>
      <c r="BE5" s="120">
        <f t="shared" si="2"/>
        <v>43040</v>
      </c>
      <c r="BF5" s="120">
        <f t="shared" si="2"/>
        <v>43070</v>
      </c>
      <c r="BM5" s="119"/>
      <c r="BN5" s="120">
        <v>43101</v>
      </c>
      <c r="BO5" s="120">
        <f>BN6+1</f>
        <v>43132</v>
      </c>
      <c r="BP5" s="120">
        <f t="shared" ref="BP5:BZ5" si="3">BO6+1</f>
        <v>43160</v>
      </c>
      <c r="BQ5" s="120">
        <f t="shared" si="3"/>
        <v>43191</v>
      </c>
      <c r="BR5" s="120">
        <f t="shared" si="3"/>
        <v>43221</v>
      </c>
      <c r="BS5" s="120"/>
      <c r="BT5" s="120">
        <f>BR6+1</f>
        <v>43252</v>
      </c>
      <c r="BU5" s="120">
        <f t="shared" si="3"/>
        <v>43282</v>
      </c>
      <c r="BV5" s="120">
        <f t="shared" si="3"/>
        <v>43313</v>
      </c>
      <c r="BW5" s="120">
        <f t="shared" si="3"/>
        <v>43344</v>
      </c>
      <c r="BX5" s="120">
        <f t="shared" si="3"/>
        <v>43374</v>
      </c>
      <c r="BY5" s="120">
        <f t="shared" si="3"/>
        <v>43405</v>
      </c>
      <c r="BZ5" s="120">
        <f t="shared" si="3"/>
        <v>43435</v>
      </c>
    </row>
    <row r="6" spans="1:82" s="121" customFormat="1" ht="29" x14ac:dyDescent="0.35">
      <c r="C6" s="241" t="s">
        <v>107</v>
      </c>
      <c r="D6" s="241"/>
      <c r="E6" s="122">
        <v>42004</v>
      </c>
      <c r="F6" s="122">
        <f>EOMONTH(E6,1)</f>
        <v>42035</v>
      </c>
      <c r="G6" s="122">
        <f t="shared" ref="G6:R6" si="4">EOMONTH(F6,1)</f>
        <v>42063</v>
      </c>
      <c r="H6" s="122">
        <f t="shared" si="4"/>
        <v>42094</v>
      </c>
      <c r="I6" s="122">
        <f t="shared" si="4"/>
        <v>42124</v>
      </c>
      <c r="J6" s="122">
        <f t="shared" si="4"/>
        <v>42155</v>
      </c>
      <c r="K6" s="123" t="s">
        <v>108</v>
      </c>
      <c r="L6" s="122">
        <f>EOMONTH(J6,1)</f>
        <v>42185</v>
      </c>
      <c r="M6" s="122">
        <f t="shared" si="4"/>
        <v>42216</v>
      </c>
      <c r="N6" s="122">
        <f t="shared" si="4"/>
        <v>42247</v>
      </c>
      <c r="O6" s="122">
        <f t="shared" si="4"/>
        <v>42277</v>
      </c>
      <c r="P6" s="122">
        <f t="shared" si="4"/>
        <v>42308</v>
      </c>
      <c r="Q6" s="122">
        <f t="shared" si="4"/>
        <v>42338</v>
      </c>
      <c r="R6" s="122">
        <f t="shared" si="4"/>
        <v>42369</v>
      </c>
      <c r="S6" s="124" t="s">
        <v>109</v>
      </c>
      <c r="T6" s="125" t="s">
        <v>110</v>
      </c>
      <c r="U6" s="125" t="s">
        <v>108</v>
      </c>
      <c r="V6" s="125" t="s">
        <v>111</v>
      </c>
      <c r="W6" s="126"/>
      <c r="X6" s="127"/>
      <c r="Y6" s="122">
        <v>42369</v>
      </c>
      <c r="Z6" s="122">
        <f>EOMONTH(Y6,1)</f>
        <v>42400</v>
      </c>
      <c r="AA6" s="122">
        <f t="shared" ref="AA6:AD6" si="5">EOMONTH(Z6,1)</f>
        <v>42429</v>
      </c>
      <c r="AB6" s="122">
        <f t="shared" si="5"/>
        <v>42460</v>
      </c>
      <c r="AC6" s="122">
        <f t="shared" si="5"/>
        <v>42490</v>
      </c>
      <c r="AD6" s="122">
        <f t="shared" si="5"/>
        <v>42521</v>
      </c>
      <c r="AE6" s="123" t="s">
        <v>108</v>
      </c>
      <c r="AF6" s="122">
        <f>EOMONTH(AD6,1)</f>
        <v>42551</v>
      </c>
      <c r="AG6" s="122">
        <f t="shared" ref="AG6:AL6" si="6">EOMONTH(AF6,1)</f>
        <v>42582</v>
      </c>
      <c r="AH6" s="122">
        <f t="shared" si="6"/>
        <v>42613</v>
      </c>
      <c r="AI6" s="122">
        <f t="shared" si="6"/>
        <v>42643</v>
      </c>
      <c r="AJ6" s="122">
        <f t="shared" si="6"/>
        <v>42674</v>
      </c>
      <c r="AK6" s="122">
        <f t="shared" si="6"/>
        <v>42704</v>
      </c>
      <c r="AL6" s="122">
        <f t="shared" si="6"/>
        <v>42735</v>
      </c>
      <c r="AM6" s="124" t="s">
        <v>109</v>
      </c>
      <c r="AN6" s="125" t="s">
        <v>110</v>
      </c>
      <c r="AO6" s="125" t="s">
        <v>108</v>
      </c>
      <c r="AP6" s="125" t="s">
        <v>111</v>
      </c>
      <c r="AR6" s="127"/>
      <c r="AS6" s="122">
        <v>42735</v>
      </c>
      <c r="AT6" s="122">
        <f>EOMONTH(AS6,1)</f>
        <v>42766</v>
      </c>
      <c r="AU6" s="122">
        <f t="shared" ref="AU6:AX6" si="7">EOMONTH(AT6,1)</f>
        <v>42794</v>
      </c>
      <c r="AV6" s="122">
        <f t="shared" si="7"/>
        <v>42825</v>
      </c>
      <c r="AW6" s="122">
        <f t="shared" si="7"/>
        <v>42855</v>
      </c>
      <c r="AX6" s="122">
        <f t="shared" si="7"/>
        <v>42886</v>
      </c>
      <c r="AY6" s="123" t="s">
        <v>108</v>
      </c>
      <c r="AZ6" s="122">
        <f>EOMONTH(AX6,1)</f>
        <v>42916</v>
      </c>
      <c r="BA6" s="122">
        <f t="shared" ref="BA6:BF6" si="8">EOMONTH(AZ6,1)</f>
        <v>42947</v>
      </c>
      <c r="BB6" s="122">
        <f t="shared" si="8"/>
        <v>42978</v>
      </c>
      <c r="BC6" s="122">
        <f t="shared" si="8"/>
        <v>43008</v>
      </c>
      <c r="BD6" s="122">
        <f t="shared" si="8"/>
        <v>43039</v>
      </c>
      <c r="BE6" s="122">
        <f t="shared" si="8"/>
        <v>43069</v>
      </c>
      <c r="BF6" s="122">
        <f t="shared" si="8"/>
        <v>43100</v>
      </c>
      <c r="BG6" s="124" t="s">
        <v>109</v>
      </c>
      <c r="BH6" s="125" t="s">
        <v>110</v>
      </c>
      <c r="BI6" s="125" t="s">
        <v>108</v>
      </c>
      <c r="BJ6" s="125" t="s">
        <v>111</v>
      </c>
      <c r="BK6" s="126"/>
      <c r="BL6" s="127"/>
      <c r="BM6" s="122">
        <v>43100</v>
      </c>
      <c r="BN6" s="122">
        <f>EOMONTH(BM6,1)</f>
        <v>43131</v>
      </c>
      <c r="BO6" s="122">
        <f t="shared" ref="BO6:BR6" si="9">EOMONTH(BN6,1)</f>
        <v>43159</v>
      </c>
      <c r="BP6" s="122">
        <f t="shared" si="9"/>
        <v>43190</v>
      </c>
      <c r="BQ6" s="122">
        <f t="shared" si="9"/>
        <v>43220</v>
      </c>
      <c r="BR6" s="122">
        <f t="shared" si="9"/>
        <v>43251</v>
      </c>
      <c r="BS6" s="123" t="s">
        <v>108</v>
      </c>
      <c r="BT6" s="122">
        <f>EOMONTH(BR6,1)</f>
        <v>43281</v>
      </c>
      <c r="BU6" s="122">
        <f t="shared" ref="BU6:BZ6" si="10">EOMONTH(BT6,1)</f>
        <v>43312</v>
      </c>
      <c r="BV6" s="122">
        <f t="shared" si="10"/>
        <v>43343</v>
      </c>
      <c r="BW6" s="122">
        <f t="shared" si="10"/>
        <v>43373</v>
      </c>
      <c r="BX6" s="122">
        <f t="shared" si="10"/>
        <v>43404</v>
      </c>
      <c r="BY6" s="122">
        <f t="shared" si="10"/>
        <v>43434</v>
      </c>
      <c r="BZ6" s="122">
        <f t="shared" si="10"/>
        <v>43465</v>
      </c>
      <c r="CA6" s="124" t="s">
        <v>109</v>
      </c>
      <c r="CB6" s="125" t="s">
        <v>110</v>
      </c>
      <c r="CC6" s="125" t="s">
        <v>108</v>
      </c>
      <c r="CD6" s="125" t="s">
        <v>111</v>
      </c>
    </row>
    <row r="7" spans="1:82" x14ac:dyDescent="0.35">
      <c r="C7" s="116" t="s">
        <v>112</v>
      </c>
      <c r="D7" s="116" t="s">
        <v>113</v>
      </c>
      <c r="E7" s="128">
        <v>533064.73</v>
      </c>
      <c r="F7" s="128">
        <v>229664.68</v>
      </c>
      <c r="G7" s="128">
        <v>191642.03</v>
      </c>
      <c r="H7" s="128">
        <v>322294.13</v>
      </c>
      <c r="I7" s="128">
        <v>354770.86</v>
      </c>
      <c r="J7" s="128">
        <v>565232.71</v>
      </c>
      <c r="K7" s="128"/>
      <c r="L7" s="128">
        <v>10877.14</v>
      </c>
      <c r="M7" s="128">
        <v>-176036.54</v>
      </c>
      <c r="N7" s="128">
        <v>-327024.59999999998</v>
      </c>
      <c r="O7" s="128">
        <v>-208606.18</v>
      </c>
      <c r="P7" s="128">
        <v>-223725.84</v>
      </c>
      <c r="Q7" s="128">
        <v>-54205.84</v>
      </c>
      <c r="R7" s="128">
        <v>-332974.19</v>
      </c>
      <c r="S7" s="129">
        <f>R7</f>
        <v>-332974.19</v>
      </c>
      <c r="T7" s="130">
        <f>E7</f>
        <v>533064.73</v>
      </c>
      <c r="U7" s="130">
        <f>K7</f>
        <v>0</v>
      </c>
      <c r="V7" s="130">
        <f>E7-R7</f>
        <v>866038.91999999993</v>
      </c>
      <c r="W7" s="130"/>
      <c r="Y7" s="128">
        <v>-332974.19</v>
      </c>
      <c r="Z7" s="128">
        <v>-549092.86</v>
      </c>
      <c r="AA7" s="128">
        <v>-316788.62</v>
      </c>
      <c r="AB7" s="128">
        <v>-362151.48</v>
      </c>
      <c r="AC7" s="128">
        <v>-291065.96999999997</v>
      </c>
      <c r="AD7" s="128">
        <v>63665.24</v>
      </c>
      <c r="AE7" s="128"/>
      <c r="AF7" s="128">
        <v>-154403.51999999999</v>
      </c>
      <c r="AG7" s="128">
        <v>-686754.13</v>
      </c>
      <c r="AH7" s="128">
        <v>-248859.01</v>
      </c>
      <c r="AI7" s="128">
        <v>-479110.44</v>
      </c>
      <c r="AJ7" s="128">
        <v>-403490.02</v>
      </c>
      <c r="AK7" s="128">
        <v>-380039.31</v>
      </c>
      <c r="AL7" s="128">
        <v>-685158.67</v>
      </c>
      <c r="AM7" s="129">
        <f>AL7</f>
        <v>-685158.67</v>
      </c>
      <c r="AN7" s="130">
        <f>Y7</f>
        <v>-332974.19</v>
      </c>
      <c r="AO7" s="130">
        <f>AE7</f>
        <v>0</v>
      </c>
      <c r="AP7" s="130">
        <f>Y7-AL7</f>
        <v>352184.48000000004</v>
      </c>
      <c r="AS7" s="128">
        <v>-685158.67</v>
      </c>
      <c r="AT7" s="128">
        <v>-522522.75</v>
      </c>
      <c r="AU7" s="128">
        <v>-282560.44</v>
      </c>
      <c r="AV7" s="128">
        <v>-538475.38</v>
      </c>
      <c r="AW7" s="128">
        <v>-520769.68</v>
      </c>
      <c r="AX7" s="128">
        <v>-758795.46</v>
      </c>
      <c r="AY7" s="128"/>
      <c r="AZ7" s="128">
        <v>-689458.42</v>
      </c>
      <c r="BA7" s="128">
        <v>-1138342.26</v>
      </c>
      <c r="BB7" s="128">
        <v>-803467.4</v>
      </c>
      <c r="BC7" s="128">
        <v>-999467.48</v>
      </c>
      <c r="BD7" s="128">
        <v>-1268348.3400000001</v>
      </c>
      <c r="BE7" s="128">
        <v>-874173.29</v>
      </c>
      <c r="BF7" s="128">
        <v>-1139903.55</v>
      </c>
      <c r="BG7" s="129">
        <f>BF7</f>
        <v>-1139903.55</v>
      </c>
      <c r="BH7" s="130">
        <f>AS7</f>
        <v>-685158.67</v>
      </c>
      <c r="BI7" s="130">
        <f t="shared" ref="BI7:BI14" si="11">AZ7</f>
        <v>-689458.42</v>
      </c>
      <c r="BJ7" s="130">
        <f>AS7-BF7</f>
        <v>454744.88</v>
      </c>
      <c r="BK7" s="130"/>
      <c r="BM7" s="128">
        <v>-1139903.55</v>
      </c>
      <c r="BN7" s="128">
        <v>-1079509.81</v>
      </c>
      <c r="BO7" s="128">
        <v>-1300297.1499999999</v>
      </c>
      <c r="BP7" s="128">
        <v>-737544.74</v>
      </c>
      <c r="BQ7" s="128">
        <v>-1063870.29</v>
      </c>
      <c r="BR7" s="128">
        <v>-2012337.3</v>
      </c>
      <c r="BS7" s="128"/>
      <c r="BT7" s="128">
        <v>-957501.14</v>
      </c>
      <c r="BU7" s="128">
        <v>-1525742.03</v>
      </c>
      <c r="BV7" s="128">
        <v>-1648246.32</v>
      </c>
      <c r="BW7" s="128">
        <v>-1886165.95</v>
      </c>
      <c r="BX7" s="128">
        <v>-1650039.47</v>
      </c>
      <c r="BY7" s="128">
        <v>-1129004.31</v>
      </c>
      <c r="BZ7" s="128">
        <v>-1884544.95</v>
      </c>
      <c r="CA7" s="129">
        <f>BZ7</f>
        <v>-1884544.95</v>
      </c>
      <c r="CB7" s="130">
        <f>BM7</f>
        <v>-1139903.55</v>
      </c>
      <c r="CC7" s="130">
        <f>BS7</f>
        <v>0</v>
      </c>
      <c r="CD7" s="130">
        <f>BZ7-BM7</f>
        <v>-744641.39999999991</v>
      </c>
    </row>
    <row r="8" spans="1:82" x14ac:dyDescent="0.35">
      <c r="C8" s="116" t="s">
        <v>114</v>
      </c>
      <c r="D8" s="116" t="s">
        <v>115</v>
      </c>
      <c r="E8" s="128">
        <v>1041033.1</v>
      </c>
      <c r="F8" s="128">
        <v>79964.94</v>
      </c>
      <c r="G8" s="128">
        <v>-71223.39</v>
      </c>
      <c r="H8" s="128">
        <v>-5827.68</v>
      </c>
      <c r="I8" s="128">
        <v>377278.12</v>
      </c>
      <c r="J8" s="128">
        <v>580333.75</v>
      </c>
      <c r="K8" s="128"/>
      <c r="L8" s="128">
        <v>596646.46</v>
      </c>
      <c r="M8" s="128">
        <v>480587.8</v>
      </c>
      <c r="N8" s="128">
        <v>567033.02</v>
      </c>
      <c r="O8" s="128">
        <v>369283.6</v>
      </c>
      <c r="P8" s="128">
        <v>392756.18</v>
      </c>
      <c r="Q8" s="128">
        <v>740349.26</v>
      </c>
      <c r="R8" s="128">
        <v>806851.4</v>
      </c>
      <c r="S8" s="129">
        <f t="shared" ref="S8:S14" si="12">R8</f>
        <v>806851.4</v>
      </c>
      <c r="T8" s="130">
        <f t="shared" ref="T8:T14" si="13">E8</f>
        <v>1041033.1</v>
      </c>
      <c r="U8" s="130">
        <f t="shared" ref="U8:U14" si="14">K8</f>
        <v>0</v>
      </c>
      <c r="V8" s="130">
        <f t="shared" ref="V8:V14" si="15">E8-R8</f>
        <v>234181.69999999995</v>
      </c>
      <c r="W8" s="130"/>
      <c r="Y8" s="128">
        <v>806851.4</v>
      </c>
      <c r="Z8" s="128">
        <v>268625.46000000002</v>
      </c>
      <c r="AA8" s="128">
        <v>405005.23</v>
      </c>
      <c r="AB8" s="128">
        <v>512021.1</v>
      </c>
      <c r="AC8" s="128">
        <v>629050.97</v>
      </c>
      <c r="AD8" s="128">
        <v>480253.93</v>
      </c>
      <c r="AE8" s="128"/>
      <c r="AF8" s="128">
        <v>489615.39</v>
      </c>
      <c r="AG8" s="128">
        <v>314233.92</v>
      </c>
      <c r="AH8" s="128">
        <v>363485.41</v>
      </c>
      <c r="AI8" s="128">
        <v>478261.38</v>
      </c>
      <c r="AJ8" s="128">
        <v>715046.55</v>
      </c>
      <c r="AK8" s="128">
        <v>866912.33</v>
      </c>
      <c r="AL8" s="128">
        <v>687915.66</v>
      </c>
      <c r="AM8" s="129">
        <f t="shared" ref="AM8:AM14" si="16">AL8</f>
        <v>687915.66</v>
      </c>
      <c r="AN8" s="130">
        <f t="shared" ref="AN8:AN14" si="17">Y8</f>
        <v>806851.4</v>
      </c>
      <c r="AO8" s="130">
        <f t="shared" ref="AO8:AO14" si="18">AE8</f>
        <v>0</v>
      </c>
      <c r="AP8" s="130">
        <f t="shared" ref="AP8:AP14" si="19">Y8-AL8</f>
        <v>118935.73999999999</v>
      </c>
      <c r="AS8" s="128">
        <v>687915.66</v>
      </c>
      <c r="AT8" s="128">
        <v>503989.32</v>
      </c>
      <c r="AU8" s="128">
        <v>649040.88</v>
      </c>
      <c r="AV8" s="128">
        <v>539768.6</v>
      </c>
      <c r="AW8" s="128">
        <v>760494.44</v>
      </c>
      <c r="AX8" s="128">
        <v>1062259.1299999999</v>
      </c>
      <c r="AY8" s="128"/>
      <c r="AZ8" s="128">
        <v>1105206.3</v>
      </c>
      <c r="BA8" s="128">
        <v>1275430.6200000001</v>
      </c>
      <c r="BB8" s="128">
        <v>1239531.03</v>
      </c>
      <c r="BC8" s="128">
        <v>948792.83</v>
      </c>
      <c r="BD8" s="128">
        <v>1082933.47</v>
      </c>
      <c r="BE8" s="128">
        <v>1094597.3500000001</v>
      </c>
      <c r="BF8" s="128">
        <v>1066559.1200000001</v>
      </c>
      <c r="BG8" s="129">
        <f t="shared" ref="BG8:BG14" si="20">BF8</f>
        <v>1066559.1200000001</v>
      </c>
      <c r="BH8" s="130">
        <f t="shared" ref="BH8:BH14" si="21">AS8</f>
        <v>687915.66</v>
      </c>
      <c r="BI8" s="130">
        <f t="shared" si="11"/>
        <v>1105206.3</v>
      </c>
      <c r="BJ8" s="130">
        <f t="shared" ref="BJ8:BJ14" si="22">AS8-BF8</f>
        <v>-378643.46000000008</v>
      </c>
      <c r="BK8" s="130"/>
      <c r="BM8" s="128">
        <v>1066559.1200000001</v>
      </c>
      <c r="BN8" s="128">
        <v>1048699.44</v>
      </c>
      <c r="BO8" s="128">
        <v>768163.62</v>
      </c>
      <c r="BP8" s="128">
        <v>1289973.57</v>
      </c>
      <c r="BQ8" s="128">
        <v>1580002.44</v>
      </c>
      <c r="BR8" s="128">
        <v>1430498.29</v>
      </c>
      <c r="BS8" s="128"/>
      <c r="BT8" s="128">
        <v>1599263.18</v>
      </c>
      <c r="BU8" s="128">
        <v>1514802.59</v>
      </c>
      <c r="BV8" s="128">
        <v>1506550.1</v>
      </c>
      <c r="BW8" s="128">
        <v>1542237.69</v>
      </c>
      <c r="BX8" s="128">
        <v>1813028.47</v>
      </c>
      <c r="BY8" s="128">
        <v>2002281.81</v>
      </c>
      <c r="BZ8" s="128">
        <v>1779321.02</v>
      </c>
      <c r="CA8" s="129">
        <f t="shared" ref="CA8:CA14" si="23">BZ8</f>
        <v>1779321.02</v>
      </c>
      <c r="CB8" s="130">
        <f t="shared" ref="CB8:CB14" si="24">BM8</f>
        <v>1066559.1200000001</v>
      </c>
      <c r="CC8" s="130">
        <f t="shared" ref="CC8:CC14" si="25">BS8</f>
        <v>0</v>
      </c>
      <c r="CD8" s="130">
        <f t="shared" ref="CD8:CD14" si="26">BM8-BZ8</f>
        <v>-712761.89999999991</v>
      </c>
    </row>
    <row r="9" spans="1:82" x14ac:dyDescent="0.35">
      <c r="C9" s="116" t="s">
        <v>116</v>
      </c>
      <c r="D9" s="116" t="s">
        <v>117</v>
      </c>
      <c r="E9" s="128">
        <v>-516613.47</v>
      </c>
      <c r="F9" s="128">
        <v>872.86</v>
      </c>
      <c r="G9" s="128">
        <v>1151.54</v>
      </c>
      <c r="H9" s="128">
        <v>-44182.09</v>
      </c>
      <c r="I9" s="128">
        <v>-107812.05</v>
      </c>
      <c r="J9" s="128">
        <v>-153115.99</v>
      </c>
      <c r="K9" s="128"/>
      <c r="L9" s="128">
        <v>-193103.84</v>
      </c>
      <c r="M9" s="128">
        <v>-245263.86</v>
      </c>
      <c r="N9" s="128">
        <v>-283999.19</v>
      </c>
      <c r="O9" s="128">
        <v>-264411.19</v>
      </c>
      <c r="P9" s="128">
        <v>-284056.28999999998</v>
      </c>
      <c r="Q9" s="128">
        <v>-477039.79</v>
      </c>
      <c r="R9" s="128">
        <v>-520686.19</v>
      </c>
      <c r="S9" s="129">
        <f t="shared" si="12"/>
        <v>-520686.19</v>
      </c>
      <c r="T9" s="130">
        <f t="shared" si="13"/>
        <v>-516613.47</v>
      </c>
      <c r="U9" s="130">
        <f t="shared" si="14"/>
        <v>0</v>
      </c>
      <c r="V9" s="130">
        <f t="shared" si="15"/>
        <v>4072.7200000000303</v>
      </c>
      <c r="W9" s="130"/>
      <c r="Y9" s="128">
        <v>-520686.19</v>
      </c>
      <c r="Z9" s="128">
        <v>-525402.43000000005</v>
      </c>
      <c r="AA9" s="128">
        <v>-518573.89</v>
      </c>
      <c r="AB9" s="128">
        <v>-678037.36</v>
      </c>
      <c r="AC9" s="128">
        <v>-702711.42</v>
      </c>
      <c r="AD9" s="128">
        <v>-773109.43</v>
      </c>
      <c r="AE9" s="128"/>
      <c r="AF9" s="128">
        <v>-804602.04</v>
      </c>
      <c r="AG9" s="128">
        <v>-811598.55</v>
      </c>
      <c r="AH9" s="128">
        <v>-696541.8</v>
      </c>
      <c r="AI9" s="128">
        <v>-692512.85</v>
      </c>
      <c r="AJ9" s="128">
        <v>-708040.18</v>
      </c>
      <c r="AK9" s="128">
        <v>-827867.94</v>
      </c>
      <c r="AL9" s="128">
        <v>-844788.06</v>
      </c>
      <c r="AM9" s="129">
        <f t="shared" si="16"/>
        <v>-844788.06</v>
      </c>
      <c r="AN9" s="130">
        <f t="shared" si="17"/>
        <v>-520686.19</v>
      </c>
      <c r="AO9" s="130">
        <f t="shared" si="18"/>
        <v>0</v>
      </c>
      <c r="AP9" s="130">
        <f t="shared" si="19"/>
        <v>324101.87000000005</v>
      </c>
      <c r="AS9" s="128">
        <v>-844788.06</v>
      </c>
      <c r="AT9" s="128">
        <v>-832581.12</v>
      </c>
      <c r="AU9" s="128">
        <v>-858270.57</v>
      </c>
      <c r="AV9" s="128">
        <v>-911589.11</v>
      </c>
      <c r="AW9" s="128">
        <v>-912096.43</v>
      </c>
      <c r="AX9" s="128">
        <v>-1079068.6299999999</v>
      </c>
      <c r="AY9" s="128"/>
      <c r="AZ9" s="128">
        <v>-1078224.48</v>
      </c>
      <c r="BA9" s="128">
        <v>-1112340.43</v>
      </c>
      <c r="BB9" s="128">
        <v>-1012834.17</v>
      </c>
      <c r="BC9" s="128">
        <v>-1020022.9</v>
      </c>
      <c r="BD9" s="128">
        <v>-1018091.19</v>
      </c>
      <c r="BE9" s="128">
        <v>-1159030.57</v>
      </c>
      <c r="BF9" s="128">
        <v>-1119794.24</v>
      </c>
      <c r="BG9" s="129">
        <f t="shared" si="20"/>
        <v>-1119794.24</v>
      </c>
      <c r="BH9" s="130">
        <f t="shared" si="21"/>
        <v>-844788.06</v>
      </c>
      <c r="BI9" s="130">
        <f t="shared" si="11"/>
        <v>-1078224.48</v>
      </c>
      <c r="BJ9" s="130">
        <f t="shared" si="22"/>
        <v>275006.17999999993</v>
      </c>
      <c r="BK9" s="130"/>
      <c r="BM9" s="128">
        <v>-1119794.24</v>
      </c>
      <c r="BN9" s="128">
        <v>-1101483.31</v>
      </c>
      <c r="BO9" s="128">
        <v>-1045832.08</v>
      </c>
      <c r="BP9" s="128">
        <v>-1094948.79</v>
      </c>
      <c r="BQ9" s="128">
        <v>-1086394.8700000001</v>
      </c>
      <c r="BR9" s="128">
        <v>-726984.92</v>
      </c>
      <c r="BS9" s="128"/>
      <c r="BT9" s="128">
        <v>-687100.31</v>
      </c>
      <c r="BU9" s="128">
        <v>-612886.98</v>
      </c>
      <c r="BV9" s="128">
        <v>-591447.34</v>
      </c>
      <c r="BW9" s="128">
        <v>-571780.21</v>
      </c>
      <c r="BX9" s="128">
        <v>-549169.59</v>
      </c>
      <c r="BY9" s="128">
        <v>-651870.48</v>
      </c>
      <c r="BZ9" s="128">
        <v>-628794.17000000004</v>
      </c>
      <c r="CA9" s="129">
        <f t="shared" si="23"/>
        <v>-628794.17000000004</v>
      </c>
      <c r="CB9" s="130">
        <f t="shared" si="24"/>
        <v>-1119794.24</v>
      </c>
      <c r="CC9" s="130">
        <f t="shared" si="25"/>
        <v>0</v>
      </c>
      <c r="CD9" s="130">
        <f t="shared" si="26"/>
        <v>-491000.06999999995</v>
      </c>
    </row>
    <row r="10" spans="1:82" x14ac:dyDescent="0.35">
      <c r="C10" s="131" t="s">
        <v>114</v>
      </c>
      <c r="D10" s="131" t="s">
        <v>118</v>
      </c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9">
        <f t="shared" si="12"/>
        <v>0</v>
      </c>
      <c r="T10" s="130">
        <f t="shared" si="13"/>
        <v>0</v>
      </c>
      <c r="U10" s="130">
        <f t="shared" si="14"/>
        <v>0</v>
      </c>
      <c r="V10" s="130">
        <f t="shared" si="15"/>
        <v>0</v>
      </c>
      <c r="W10" s="130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9">
        <f t="shared" si="16"/>
        <v>0</v>
      </c>
      <c r="AN10" s="130">
        <f t="shared" si="17"/>
        <v>0</v>
      </c>
      <c r="AO10" s="130">
        <f t="shared" si="18"/>
        <v>0</v>
      </c>
      <c r="AP10" s="130">
        <f t="shared" si="19"/>
        <v>0</v>
      </c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9">
        <f t="shared" si="20"/>
        <v>0</v>
      </c>
      <c r="BH10" s="130">
        <f t="shared" si="21"/>
        <v>0</v>
      </c>
      <c r="BI10" s="130">
        <f t="shared" si="11"/>
        <v>0</v>
      </c>
      <c r="BJ10" s="130">
        <f t="shared" si="22"/>
        <v>0</v>
      </c>
      <c r="BK10" s="130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9">
        <f t="shared" si="23"/>
        <v>0</v>
      </c>
      <c r="CB10" s="130">
        <f t="shared" si="24"/>
        <v>0</v>
      </c>
      <c r="CC10" s="130">
        <f t="shared" si="25"/>
        <v>0</v>
      </c>
      <c r="CD10" s="130">
        <f t="shared" si="26"/>
        <v>0</v>
      </c>
    </row>
    <row r="11" spans="1:82" x14ac:dyDescent="0.35">
      <c r="C11" s="116" t="s">
        <v>119</v>
      </c>
      <c r="D11" s="116" t="s">
        <v>120</v>
      </c>
      <c r="E11" s="128">
        <v>343278.12</v>
      </c>
      <c r="F11" s="128">
        <v>-117647.84</v>
      </c>
      <c r="G11" s="128">
        <v>-104971.87</v>
      </c>
      <c r="H11" s="128">
        <v>-138388.67000000001</v>
      </c>
      <c r="I11" s="128">
        <v>-146916.67000000001</v>
      </c>
      <c r="J11" s="128">
        <v>-145798.14000000001</v>
      </c>
      <c r="K11" s="128"/>
      <c r="L11" s="128">
        <v>-128053.85</v>
      </c>
      <c r="M11" s="128">
        <v>-106524.5</v>
      </c>
      <c r="N11" s="128">
        <v>-65567.240000000005</v>
      </c>
      <c r="O11" s="128">
        <v>-3373.14</v>
      </c>
      <c r="P11" s="128">
        <v>-10063.65</v>
      </c>
      <c r="Q11" s="128">
        <v>17248.22</v>
      </c>
      <c r="R11" s="128">
        <v>-3790.2</v>
      </c>
      <c r="S11" s="129">
        <f t="shared" si="12"/>
        <v>-3790.2</v>
      </c>
      <c r="T11" s="130">
        <f t="shared" si="13"/>
        <v>343278.12</v>
      </c>
      <c r="U11" s="130">
        <f t="shared" si="14"/>
        <v>0</v>
      </c>
      <c r="V11" s="130">
        <f t="shared" si="15"/>
        <v>347068.32</v>
      </c>
      <c r="W11" s="130"/>
      <c r="Y11" s="128">
        <v>-3790.2</v>
      </c>
      <c r="Z11" s="128">
        <v>129851.67</v>
      </c>
      <c r="AA11" s="128">
        <v>217858.32</v>
      </c>
      <c r="AB11" s="128">
        <v>206118.16</v>
      </c>
      <c r="AC11" s="128">
        <v>247244.66</v>
      </c>
      <c r="AD11" s="128">
        <v>404616.39</v>
      </c>
      <c r="AE11" s="128"/>
      <c r="AF11" s="128">
        <v>407419.05</v>
      </c>
      <c r="AG11" s="128">
        <v>296133.33</v>
      </c>
      <c r="AH11" s="128">
        <v>508198.32</v>
      </c>
      <c r="AI11" s="128">
        <v>580200.17000000004</v>
      </c>
      <c r="AJ11" s="128">
        <v>676164.66</v>
      </c>
      <c r="AK11" s="128">
        <v>638404.61</v>
      </c>
      <c r="AL11" s="128">
        <v>819224.31</v>
      </c>
      <c r="AM11" s="129">
        <f t="shared" si="16"/>
        <v>819224.31</v>
      </c>
      <c r="AN11" s="130">
        <f t="shared" si="17"/>
        <v>-3790.2</v>
      </c>
      <c r="AO11" s="130">
        <f t="shared" si="18"/>
        <v>0</v>
      </c>
      <c r="AP11" s="130">
        <f t="shared" si="19"/>
        <v>-823014.51</v>
      </c>
      <c r="AS11" s="128">
        <v>819224.31</v>
      </c>
      <c r="AT11" s="128">
        <v>828247.36</v>
      </c>
      <c r="AU11" s="128">
        <v>852072.04</v>
      </c>
      <c r="AV11" s="128">
        <v>855650.93</v>
      </c>
      <c r="AW11" s="128">
        <v>872958.84</v>
      </c>
      <c r="AX11" s="128">
        <v>889749.43</v>
      </c>
      <c r="AY11" s="128"/>
      <c r="AZ11" s="128">
        <v>937610.16</v>
      </c>
      <c r="BA11" s="128">
        <v>970196.43</v>
      </c>
      <c r="BB11" s="128">
        <v>855794.43</v>
      </c>
      <c r="BC11" s="128">
        <v>1053482.6100000001</v>
      </c>
      <c r="BD11" s="128">
        <v>1107149.3600000001</v>
      </c>
      <c r="BE11" s="128">
        <v>1052677.6499999999</v>
      </c>
      <c r="BF11" s="128">
        <v>1134092.2</v>
      </c>
      <c r="BG11" s="129">
        <f t="shared" si="20"/>
        <v>1134092.2</v>
      </c>
      <c r="BH11" s="130">
        <f t="shared" si="21"/>
        <v>819224.31</v>
      </c>
      <c r="BI11" s="130">
        <f t="shared" si="11"/>
        <v>937610.16</v>
      </c>
      <c r="BJ11" s="130">
        <f t="shared" si="22"/>
        <v>-314867.8899999999</v>
      </c>
      <c r="BK11" s="130"/>
      <c r="BM11" s="128">
        <v>1134092.2</v>
      </c>
      <c r="BN11" s="128">
        <v>1198105.69</v>
      </c>
      <c r="BO11" s="128">
        <v>1297244.6200000001</v>
      </c>
      <c r="BP11" s="128">
        <v>1230065.82</v>
      </c>
      <c r="BQ11" s="128">
        <v>1263163.08</v>
      </c>
      <c r="BR11" s="128">
        <v>1205184.58</v>
      </c>
      <c r="BS11" s="128"/>
      <c r="BT11" s="128">
        <v>1241040.1599999999</v>
      </c>
      <c r="BU11" s="128">
        <v>1294071.17</v>
      </c>
      <c r="BV11" s="128">
        <v>1371439.36</v>
      </c>
      <c r="BW11" s="128">
        <v>1433563.24</v>
      </c>
      <c r="BX11" s="128">
        <v>1434672.38</v>
      </c>
      <c r="BY11" s="128">
        <v>1451947.89</v>
      </c>
      <c r="BZ11" s="128">
        <v>1422736.34</v>
      </c>
      <c r="CA11" s="129">
        <f t="shared" si="23"/>
        <v>1422736.34</v>
      </c>
      <c r="CB11" s="130">
        <f t="shared" si="24"/>
        <v>1134092.2</v>
      </c>
      <c r="CC11" s="130">
        <f t="shared" si="25"/>
        <v>0</v>
      </c>
      <c r="CD11" s="130">
        <f t="shared" si="26"/>
        <v>-288644.14000000013</v>
      </c>
    </row>
    <row r="12" spans="1:82" x14ac:dyDescent="0.35">
      <c r="C12" s="116" t="s">
        <v>121</v>
      </c>
      <c r="D12" s="116" t="s">
        <v>122</v>
      </c>
      <c r="E12" s="128">
        <v>147958.66</v>
      </c>
      <c r="F12" s="128">
        <v>-182143.65</v>
      </c>
      <c r="G12" s="128">
        <v>-160645.39000000001</v>
      </c>
      <c r="H12" s="128">
        <v>-177238.87</v>
      </c>
      <c r="I12" s="128">
        <v>-176311.47</v>
      </c>
      <c r="J12" s="128">
        <v>-172587.11</v>
      </c>
      <c r="K12" s="128"/>
      <c r="L12" s="128">
        <v>-154143.01</v>
      </c>
      <c r="M12" s="128">
        <v>-134368.65</v>
      </c>
      <c r="N12" s="128">
        <v>-97844.12</v>
      </c>
      <c r="O12" s="128">
        <v>-43115.09</v>
      </c>
      <c r="P12" s="128">
        <v>-3960.06</v>
      </c>
      <c r="Q12" s="128">
        <v>-6020</v>
      </c>
      <c r="R12" s="128">
        <v>27376.62</v>
      </c>
      <c r="S12" s="129">
        <f t="shared" si="12"/>
        <v>27376.62</v>
      </c>
      <c r="T12" s="130">
        <f t="shared" si="13"/>
        <v>147958.66</v>
      </c>
      <c r="U12" s="130">
        <f t="shared" si="14"/>
        <v>0</v>
      </c>
      <c r="V12" s="130">
        <f t="shared" si="15"/>
        <v>120582.04000000001</v>
      </c>
      <c r="W12" s="130"/>
      <c r="Y12" s="128">
        <v>27376.62</v>
      </c>
      <c r="Z12" s="128">
        <v>220963.58</v>
      </c>
      <c r="AA12" s="128">
        <v>281221.13</v>
      </c>
      <c r="AB12" s="128">
        <v>288510.03999999998</v>
      </c>
      <c r="AC12" s="128">
        <v>324410.03000000003</v>
      </c>
      <c r="AD12" s="128">
        <v>453247.85</v>
      </c>
      <c r="AE12" s="128"/>
      <c r="AF12" s="128">
        <v>471620.73</v>
      </c>
      <c r="AG12" s="128">
        <v>371857.11</v>
      </c>
      <c r="AH12" s="128">
        <v>534691.85</v>
      </c>
      <c r="AI12" s="128">
        <v>588527.62</v>
      </c>
      <c r="AJ12" s="128">
        <v>658765.64</v>
      </c>
      <c r="AK12" s="128">
        <v>642167.65</v>
      </c>
      <c r="AL12" s="128">
        <v>777974.62</v>
      </c>
      <c r="AM12" s="129">
        <f t="shared" si="16"/>
        <v>777974.62</v>
      </c>
      <c r="AN12" s="130">
        <f t="shared" si="17"/>
        <v>27376.62</v>
      </c>
      <c r="AO12" s="130">
        <f t="shared" si="18"/>
        <v>0</v>
      </c>
      <c r="AP12" s="130">
        <f t="shared" si="19"/>
        <v>-750598</v>
      </c>
      <c r="AS12" s="128">
        <v>777974.62</v>
      </c>
      <c r="AT12" s="128">
        <v>798339.92</v>
      </c>
      <c r="AU12" s="128">
        <v>822342.97</v>
      </c>
      <c r="AV12" s="128">
        <v>829124.8</v>
      </c>
      <c r="AW12" s="128">
        <v>851245.67</v>
      </c>
      <c r="AX12" s="128">
        <v>865322.31</v>
      </c>
      <c r="AY12" s="128"/>
      <c r="AZ12" s="128">
        <v>904493.28</v>
      </c>
      <c r="BA12" s="128">
        <v>931142.06</v>
      </c>
      <c r="BB12" s="128">
        <v>845786.37</v>
      </c>
      <c r="BC12" s="128">
        <v>1013948.79</v>
      </c>
      <c r="BD12" s="128">
        <v>1068187.8</v>
      </c>
      <c r="BE12" s="128">
        <v>1018401.43</v>
      </c>
      <c r="BF12" s="128">
        <v>1098916.21</v>
      </c>
      <c r="BG12" s="129">
        <f t="shared" si="20"/>
        <v>1098916.21</v>
      </c>
      <c r="BH12" s="130">
        <f t="shared" si="21"/>
        <v>777974.62</v>
      </c>
      <c r="BI12" s="130">
        <f t="shared" si="11"/>
        <v>904493.28</v>
      </c>
      <c r="BJ12" s="130">
        <f t="shared" si="22"/>
        <v>-320941.58999999997</v>
      </c>
      <c r="BK12" s="130"/>
      <c r="BM12" s="128">
        <v>1098916.21</v>
      </c>
      <c r="BN12" s="128">
        <v>1161634.3700000001</v>
      </c>
      <c r="BO12" s="128">
        <v>1268847.3700000001</v>
      </c>
      <c r="BP12" s="128">
        <v>1200822.32</v>
      </c>
      <c r="BQ12" s="128">
        <v>1243129.05</v>
      </c>
      <c r="BR12" s="128">
        <v>1095919.31</v>
      </c>
      <c r="BS12" s="128"/>
      <c r="BT12" s="128">
        <v>1121043.76</v>
      </c>
      <c r="BU12" s="128">
        <v>1162291.1000000001</v>
      </c>
      <c r="BV12" s="128">
        <v>1217218.1000000001</v>
      </c>
      <c r="BW12" s="128">
        <v>1258988.3899999999</v>
      </c>
      <c r="BX12" s="128">
        <v>1254454.81</v>
      </c>
      <c r="BY12" s="128">
        <v>1265713.6299999999</v>
      </c>
      <c r="BZ12" s="128">
        <v>1242920.8500000001</v>
      </c>
      <c r="CA12" s="129">
        <f t="shared" si="23"/>
        <v>1242920.8500000001</v>
      </c>
      <c r="CB12" s="130">
        <f t="shared" si="24"/>
        <v>1098916.21</v>
      </c>
      <c r="CC12" s="130">
        <f t="shared" si="25"/>
        <v>0</v>
      </c>
      <c r="CD12" s="130">
        <f t="shared" si="26"/>
        <v>-144004.64000000013</v>
      </c>
    </row>
    <row r="13" spans="1:82" x14ac:dyDescent="0.35">
      <c r="C13" s="131" t="s">
        <v>123</v>
      </c>
      <c r="D13" s="131" t="s">
        <v>124</v>
      </c>
      <c r="E13" s="128">
        <v>4386.53</v>
      </c>
      <c r="F13" s="128">
        <v>-4688.1499999999996</v>
      </c>
      <c r="G13" s="128">
        <v>-5490.96</v>
      </c>
      <c r="H13" s="128">
        <v>-5865.31</v>
      </c>
      <c r="I13" s="128">
        <v>-5950.68</v>
      </c>
      <c r="J13" s="128">
        <v>-6336.25</v>
      </c>
      <c r="K13" s="128"/>
      <c r="L13" s="128">
        <v>-7233.75</v>
      </c>
      <c r="M13" s="128">
        <v>-10062.120000000001</v>
      </c>
      <c r="N13" s="128">
        <v>-7128.63</v>
      </c>
      <c r="O13" s="128">
        <v>-8669.2900000000009</v>
      </c>
      <c r="P13" s="128">
        <v>-9228.43</v>
      </c>
      <c r="Q13" s="128">
        <v>-9811.2199999999993</v>
      </c>
      <c r="R13" s="128">
        <v>-10133.94</v>
      </c>
      <c r="S13" s="129">
        <f t="shared" si="12"/>
        <v>-10133.94</v>
      </c>
      <c r="T13" s="130">
        <f t="shared" si="13"/>
        <v>4386.53</v>
      </c>
      <c r="U13" s="130">
        <f t="shared" si="14"/>
        <v>0</v>
      </c>
      <c r="V13" s="130">
        <f t="shared" si="15"/>
        <v>14520.470000000001</v>
      </c>
      <c r="W13" s="130"/>
      <c r="Y13" s="128">
        <v>-10133.94</v>
      </c>
      <c r="Z13" s="128">
        <v>-5728.54</v>
      </c>
      <c r="AA13" s="128">
        <v>-6053.74</v>
      </c>
      <c r="AB13" s="128">
        <v>-6464.57</v>
      </c>
      <c r="AC13" s="128">
        <v>-6926.95</v>
      </c>
      <c r="AD13" s="128">
        <v>-7275.36</v>
      </c>
      <c r="AE13" s="128"/>
      <c r="AF13" s="128">
        <v>-7745.28</v>
      </c>
      <c r="AG13" s="128">
        <v>-8023.69</v>
      </c>
      <c r="AH13" s="128">
        <v>-8611.83</v>
      </c>
      <c r="AI13" s="128">
        <v>-8958.2999999999993</v>
      </c>
      <c r="AJ13" s="128">
        <v>-9426.2099999999991</v>
      </c>
      <c r="AK13" s="128">
        <v>-9829.35</v>
      </c>
      <c r="AL13" s="128">
        <v>-10164.870000000001</v>
      </c>
      <c r="AM13" s="129">
        <f t="shared" si="16"/>
        <v>-10164.870000000001</v>
      </c>
      <c r="AN13" s="130">
        <f t="shared" si="17"/>
        <v>-10133.94</v>
      </c>
      <c r="AO13" s="130">
        <f t="shared" si="18"/>
        <v>0</v>
      </c>
      <c r="AP13" s="130">
        <f t="shared" si="19"/>
        <v>30.930000000000291</v>
      </c>
      <c r="AS13" s="128">
        <v>-10164.870000000001</v>
      </c>
      <c r="AT13" s="128">
        <v>-10379.17</v>
      </c>
      <c r="AU13" s="128">
        <v>-10657.81</v>
      </c>
      <c r="AV13" s="128">
        <v>-11038.78</v>
      </c>
      <c r="AW13" s="128">
        <v>-11124.26</v>
      </c>
      <c r="AX13" s="128">
        <v>-11479.08</v>
      </c>
      <c r="AY13" s="128"/>
      <c r="AZ13" s="128">
        <v>-11889.53</v>
      </c>
      <c r="BA13" s="128">
        <v>-12208.53</v>
      </c>
      <c r="BB13" s="128">
        <v>-12468.19</v>
      </c>
      <c r="BC13" s="128">
        <v>-13528.69</v>
      </c>
      <c r="BD13" s="128">
        <v>-14052.55</v>
      </c>
      <c r="BE13" s="128">
        <v>-14584.51</v>
      </c>
      <c r="BF13" s="128">
        <v>-15291.87</v>
      </c>
      <c r="BG13" s="129">
        <f t="shared" si="20"/>
        <v>-15291.87</v>
      </c>
      <c r="BH13" s="130">
        <f t="shared" si="21"/>
        <v>-10164.870000000001</v>
      </c>
      <c r="BI13" s="130">
        <f t="shared" si="11"/>
        <v>-11889.53</v>
      </c>
      <c r="BJ13" s="130">
        <f t="shared" si="22"/>
        <v>5127</v>
      </c>
      <c r="BK13" s="130"/>
      <c r="BM13" s="128">
        <v>-15291.87</v>
      </c>
      <c r="BN13" s="128">
        <v>-17311.830000000002</v>
      </c>
      <c r="BO13" s="128">
        <v>-20127.490000000002</v>
      </c>
      <c r="BP13" s="128">
        <v>-11386.27</v>
      </c>
      <c r="BQ13" s="128">
        <v>-37120.949999999997</v>
      </c>
      <c r="BR13" s="128">
        <v>-28544.43</v>
      </c>
      <c r="BS13" s="128"/>
      <c r="BT13" s="128">
        <v>-29148.43</v>
      </c>
      <c r="BU13" s="128">
        <v>-29680.75</v>
      </c>
      <c r="BV13" s="128">
        <v>-30453.02</v>
      </c>
      <c r="BW13" s="128">
        <v>-31126.799999999999</v>
      </c>
      <c r="BX13" s="128">
        <v>-32017.919999999998</v>
      </c>
      <c r="BY13" s="128">
        <v>-32794.870000000003</v>
      </c>
      <c r="BZ13" s="128">
        <v>-33205.800000000003</v>
      </c>
      <c r="CA13" s="129">
        <f t="shared" si="23"/>
        <v>-33205.800000000003</v>
      </c>
      <c r="CB13" s="130">
        <f t="shared" si="24"/>
        <v>-15291.87</v>
      </c>
      <c r="CC13" s="130">
        <f t="shared" si="25"/>
        <v>0</v>
      </c>
      <c r="CD13" s="130">
        <f t="shared" si="26"/>
        <v>17913.93</v>
      </c>
    </row>
    <row r="14" spans="1:82" x14ac:dyDescent="0.35">
      <c r="C14" s="116" t="s">
        <v>125</v>
      </c>
      <c r="D14" s="116" t="s">
        <v>126</v>
      </c>
      <c r="E14" s="128">
        <v>225539.54</v>
      </c>
      <c r="F14" s="128">
        <v>104847.31</v>
      </c>
      <c r="G14" s="128">
        <v>98847.74</v>
      </c>
      <c r="H14" s="128">
        <v>76649.62</v>
      </c>
      <c r="I14" s="128">
        <v>72884.3</v>
      </c>
      <c r="J14" s="128">
        <v>76835.88</v>
      </c>
      <c r="K14" s="128"/>
      <c r="L14" s="128">
        <v>110046.5</v>
      </c>
      <c r="M14" s="128">
        <v>181823.18</v>
      </c>
      <c r="N14" s="128">
        <v>230029.63</v>
      </c>
      <c r="O14" s="128">
        <v>291728.46000000002</v>
      </c>
      <c r="P14" s="128">
        <v>331342.90000000002</v>
      </c>
      <c r="Q14" s="128">
        <v>366717.35</v>
      </c>
      <c r="R14" s="128">
        <v>405297.39</v>
      </c>
      <c r="S14" s="129">
        <f t="shared" si="12"/>
        <v>405297.39</v>
      </c>
      <c r="T14" s="130">
        <f t="shared" si="13"/>
        <v>225539.54</v>
      </c>
      <c r="U14" s="130">
        <f t="shared" si="14"/>
        <v>0</v>
      </c>
      <c r="V14" s="130">
        <f t="shared" si="15"/>
        <v>-179757.85</v>
      </c>
      <c r="W14" s="130"/>
      <c r="Y14" s="128">
        <v>405297.39</v>
      </c>
      <c r="Z14" s="128">
        <v>349885.46</v>
      </c>
      <c r="AA14" s="128">
        <v>401272.11</v>
      </c>
      <c r="AB14" s="128">
        <v>425208.73</v>
      </c>
      <c r="AC14" s="128">
        <v>465294.94</v>
      </c>
      <c r="AD14" s="128">
        <v>556092.18999999994</v>
      </c>
      <c r="AE14" s="128"/>
      <c r="AF14" s="128">
        <v>586598.26</v>
      </c>
      <c r="AG14" s="128">
        <v>540601.56999999995</v>
      </c>
      <c r="AH14" s="128">
        <v>665251.56999999995</v>
      </c>
      <c r="AI14" s="128">
        <v>715017.98</v>
      </c>
      <c r="AJ14" s="128">
        <v>775522.62</v>
      </c>
      <c r="AK14" s="128">
        <v>785793.12</v>
      </c>
      <c r="AL14" s="128">
        <v>886580.39</v>
      </c>
      <c r="AM14" s="129">
        <f t="shared" si="16"/>
        <v>886580.39</v>
      </c>
      <c r="AN14" s="130">
        <f t="shared" si="17"/>
        <v>405297.39</v>
      </c>
      <c r="AO14" s="130">
        <f t="shared" si="18"/>
        <v>0</v>
      </c>
      <c r="AP14" s="130">
        <f t="shared" si="19"/>
        <v>-481283</v>
      </c>
      <c r="AS14" s="128">
        <v>886580.39</v>
      </c>
      <c r="AT14" s="128">
        <v>921126.48</v>
      </c>
      <c r="AU14" s="128">
        <v>956887.63</v>
      </c>
      <c r="AV14" s="128">
        <v>983680.34</v>
      </c>
      <c r="AW14" s="128">
        <v>1014912.93</v>
      </c>
      <c r="AX14" s="128">
        <v>1043497.09</v>
      </c>
      <c r="AY14" s="128"/>
      <c r="AZ14" s="128">
        <v>1086877.6299999999</v>
      </c>
      <c r="BA14" s="128">
        <v>1124423.55</v>
      </c>
      <c r="BB14" s="128">
        <v>1083827.8999999999</v>
      </c>
      <c r="BC14" s="128">
        <v>1216071.44</v>
      </c>
      <c r="BD14" s="128">
        <v>1270060.0900000001</v>
      </c>
      <c r="BE14" s="128">
        <v>1260194.28</v>
      </c>
      <c r="BF14" s="128">
        <v>1331817.17</v>
      </c>
      <c r="BG14" s="129">
        <f t="shared" si="20"/>
        <v>1331817.17</v>
      </c>
      <c r="BH14" s="130">
        <f t="shared" si="21"/>
        <v>886580.39</v>
      </c>
      <c r="BI14" s="130">
        <f t="shared" si="11"/>
        <v>1086877.6299999999</v>
      </c>
      <c r="BJ14" s="130">
        <f t="shared" si="22"/>
        <v>-445236.77999999991</v>
      </c>
      <c r="BK14" s="130"/>
      <c r="BM14" s="128">
        <v>1331817.17</v>
      </c>
      <c r="BN14" s="128">
        <v>1371604.36</v>
      </c>
      <c r="BO14" s="128">
        <v>1450589.39</v>
      </c>
      <c r="BP14" s="128">
        <v>1409666.72</v>
      </c>
      <c r="BQ14" s="128">
        <v>1439044.07</v>
      </c>
      <c r="BR14" s="128">
        <v>1165058.25</v>
      </c>
      <c r="BS14" s="128"/>
      <c r="BT14" s="128">
        <v>1184852.28</v>
      </c>
      <c r="BU14" s="128">
        <v>1213534.97</v>
      </c>
      <c r="BV14" s="128">
        <v>1247594.1200000001</v>
      </c>
      <c r="BW14" s="128">
        <v>1276484.98</v>
      </c>
      <c r="BX14" s="128">
        <v>1281850.6499999999</v>
      </c>
      <c r="BY14" s="128">
        <v>1296047.5900000001</v>
      </c>
      <c r="BZ14" s="128">
        <v>1293906.79</v>
      </c>
      <c r="CA14" s="129">
        <f t="shared" si="23"/>
        <v>1293906.79</v>
      </c>
      <c r="CB14" s="130">
        <f t="shared" si="24"/>
        <v>1331817.17</v>
      </c>
      <c r="CC14" s="130">
        <f t="shared" si="25"/>
        <v>0</v>
      </c>
      <c r="CD14" s="130">
        <f t="shared" si="26"/>
        <v>37910.379999999888</v>
      </c>
    </row>
    <row r="15" spans="1:82" ht="15" thickBot="1" x14ac:dyDescent="0.4">
      <c r="D15" s="116" t="s">
        <v>127</v>
      </c>
      <c r="E15" s="132">
        <f>SUM(E7:E14)</f>
        <v>1778647.21</v>
      </c>
      <c r="F15" s="132">
        <f t="shared" ref="F15:V15" si="27">SUM(F7:F14)</f>
        <v>110870.15</v>
      </c>
      <c r="G15" s="132">
        <f t="shared" si="27"/>
        <v>-50690.3</v>
      </c>
      <c r="H15" s="132">
        <f t="shared" si="27"/>
        <v>27441.129999999976</v>
      </c>
      <c r="I15" s="132">
        <f t="shared" si="27"/>
        <v>367942.40999999992</v>
      </c>
      <c r="J15" s="132">
        <f t="shared" si="27"/>
        <v>744564.85</v>
      </c>
      <c r="K15" s="132">
        <f t="shared" si="27"/>
        <v>0</v>
      </c>
      <c r="L15" s="132">
        <f t="shared" si="27"/>
        <v>235035.65000000002</v>
      </c>
      <c r="M15" s="132">
        <f t="shared" si="27"/>
        <v>-9844.6899999999732</v>
      </c>
      <c r="N15" s="132">
        <f t="shared" si="27"/>
        <v>15498.870000000054</v>
      </c>
      <c r="O15" s="132">
        <f t="shared" si="27"/>
        <v>132837.17000000001</v>
      </c>
      <c r="P15" s="132">
        <f t="shared" si="27"/>
        <v>193064.81000000006</v>
      </c>
      <c r="Q15" s="132">
        <f t="shared" si="27"/>
        <v>577237.98</v>
      </c>
      <c r="R15" s="132">
        <f t="shared" si="27"/>
        <v>371940.89</v>
      </c>
      <c r="S15" s="132">
        <f t="shared" si="27"/>
        <v>371940.89</v>
      </c>
      <c r="T15" s="132">
        <f t="shared" si="27"/>
        <v>1778647.21</v>
      </c>
      <c r="U15" s="132">
        <f t="shared" si="27"/>
        <v>0</v>
      </c>
      <c r="V15" s="132">
        <f t="shared" si="27"/>
        <v>1406706.3199999998</v>
      </c>
      <c r="W15" s="133"/>
      <c r="Y15" s="132">
        <f>SUM(Y7:Y14)</f>
        <v>371940.89</v>
      </c>
      <c r="Z15" s="132">
        <f t="shared" ref="Z15:AP15" si="28">SUM(Z7:Z14)</f>
        <v>-110897.66000000003</v>
      </c>
      <c r="AA15" s="132">
        <f t="shared" si="28"/>
        <v>463940.54</v>
      </c>
      <c r="AB15" s="132">
        <f t="shared" si="28"/>
        <v>385204.62</v>
      </c>
      <c r="AC15" s="132">
        <f t="shared" si="28"/>
        <v>665296.26</v>
      </c>
      <c r="AD15" s="132">
        <f t="shared" si="28"/>
        <v>1177490.81</v>
      </c>
      <c r="AE15" s="132">
        <f t="shared" si="28"/>
        <v>0</v>
      </c>
      <c r="AF15" s="132">
        <f t="shared" si="28"/>
        <v>988502.58999999985</v>
      </c>
      <c r="AG15" s="132">
        <f t="shared" si="28"/>
        <v>16449.559999999998</v>
      </c>
      <c r="AH15" s="132">
        <f t="shared" si="28"/>
        <v>1117614.5099999998</v>
      </c>
      <c r="AI15" s="132">
        <f t="shared" si="28"/>
        <v>1181425.56</v>
      </c>
      <c r="AJ15" s="132">
        <f t="shared" si="28"/>
        <v>1704543.06</v>
      </c>
      <c r="AK15" s="132">
        <f t="shared" si="28"/>
        <v>1715541.11</v>
      </c>
      <c r="AL15" s="132">
        <f t="shared" si="28"/>
        <v>1631583.38</v>
      </c>
      <c r="AM15" s="132">
        <f t="shared" si="28"/>
        <v>1631583.38</v>
      </c>
      <c r="AN15" s="132">
        <f t="shared" si="28"/>
        <v>371940.89</v>
      </c>
      <c r="AO15" s="132">
        <f t="shared" si="28"/>
        <v>0</v>
      </c>
      <c r="AP15" s="132">
        <f t="shared" si="28"/>
        <v>-1259642.4899999998</v>
      </c>
      <c r="AS15" s="132">
        <f>SUM(AS7:AS14)</f>
        <v>1631583.38</v>
      </c>
      <c r="AT15" s="132">
        <f t="shared" ref="AT15:BJ15" si="29">SUM(AT7:AT14)</f>
        <v>1686220.04</v>
      </c>
      <c r="AU15" s="132">
        <f t="shared" si="29"/>
        <v>2128854.7000000002</v>
      </c>
      <c r="AV15" s="132">
        <f t="shared" si="29"/>
        <v>1747121.4</v>
      </c>
      <c r="AW15" s="132">
        <f t="shared" si="29"/>
        <v>2055621.5099999998</v>
      </c>
      <c r="AX15" s="132">
        <f t="shared" si="29"/>
        <v>2011484.79</v>
      </c>
      <c r="AY15" s="132">
        <f t="shared" si="29"/>
        <v>0</v>
      </c>
      <c r="AZ15" s="132">
        <f t="shared" si="29"/>
        <v>2254614.94</v>
      </c>
      <c r="BA15" s="132">
        <f t="shared" si="29"/>
        <v>2038301.4400000004</v>
      </c>
      <c r="BB15" s="132">
        <f t="shared" si="29"/>
        <v>2196169.9699999997</v>
      </c>
      <c r="BC15" s="132">
        <f t="shared" si="29"/>
        <v>2199276.6</v>
      </c>
      <c r="BD15" s="132">
        <f t="shared" si="29"/>
        <v>2227838.64</v>
      </c>
      <c r="BE15" s="132">
        <f t="shared" si="29"/>
        <v>2378082.34</v>
      </c>
      <c r="BF15" s="132">
        <f t="shared" si="29"/>
        <v>2356395.04</v>
      </c>
      <c r="BG15" s="132">
        <f t="shared" si="29"/>
        <v>2356395.04</v>
      </c>
      <c r="BH15" s="132">
        <f t="shared" si="29"/>
        <v>1631583.38</v>
      </c>
      <c r="BI15" s="132">
        <f t="shared" si="29"/>
        <v>2254614.94</v>
      </c>
      <c r="BJ15" s="132">
        <f t="shared" si="29"/>
        <v>-724811.65999999992</v>
      </c>
      <c r="BK15" s="133"/>
      <c r="BM15" s="132">
        <f>SUM(BM7:BM14)</f>
        <v>2356395.04</v>
      </c>
      <c r="BN15" s="132">
        <f t="shared" ref="BN15:CD15" si="30">SUM(BN7:BN14)</f>
        <v>2581738.91</v>
      </c>
      <c r="BO15" s="132">
        <f t="shared" si="30"/>
        <v>2418588.2800000003</v>
      </c>
      <c r="BP15" s="132">
        <f t="shared" si="30"/>
        <v>3286648.63</v>
      </c>
      <c r="BQ15" s="132">
        <f t="shared" si="30"/>
        <v>3337952.5300000003</v>
      </c>
      <c r="BR15" s="132">
        <f t="shared" si="30"/>
        <v>2128793.7799999998</v>
      </c>
      <c r="BS15" s="132">
        <f t="shared" si="30"/>
        <v>0</v>
      </c>
      <c r="BT15" s="132">
        <f t="shared" si="30"/>
        <v>3472449.4999999991</v>
      </c>
      <c r="BU15" s="132">
        <f t="shared" si="30"/>
        <v>3016390.0700000003</v>
      </c>
      <c r="BV15" s="132">
        <f t="shared" si="30"/>
        <v>3072655.0000000005</v>
      </c>
      <c r="BW15" s="132">
        <f t="shared" si="30"/>
        <v>3022201.34</v>
      </c>
      <c r="BX15" s="132">
        <f t="shared" si="30"/>
        <v>3552779.33</v>
      </c>
      <c r="BY15" s="132">
        <f t="shared" si="30"/>
        <v>4202321.26</v>
      </c>
      <c r="BZ15" s="132">
        <f t="shared" si="30"/>
        <v>3192340.08</v>
      </c>
      <c r="CA15" s="132">
        <f t="shared" si="30"/>
        <v>3192340.08</v>
      </c>
      <c r="CB15" s="132">
        <f t="shared" si="30"/>
        <v>2356395.04</v>
      </c>
      <c r="CC15" s="132">
        <f t="shared" si="30"/>
        <v>0</v>
      </c>
      <c r="CD15" s="132">
        <f t="shared" si="30"/>
        <v>-2325227.84</v>
      </c>
    </row>
    <row r="16" spans="1:82" ht="15" thickTop="1" x14ac:dyDescent="0.35">
      <c r="D16" s="116" t="s">
        <v>128</v>
      </c>
      <c r="E16" s="134"/>
      <c r="F16" s="3"/>
      <c r="G16" s="3"/>
      <c r="H16" s="3"/>
      <c r="I16" s="3"/>
      <c r="J16" s="3"/>
      <c r="K16" s="135"/>
      <c r="L16" s="3"/>
      <c r="M16" s="3"/>
      <c r="N16" s="3"/>
      <c r="O16" s="3"/>
      <c r="P16" s="3"/>
      <c r="Q16" s="3"/>
      <c r="R16" s="3"/>
      <c r="T16" s="134"/>
      <c r="U16" s="134"/>
      <c r="V16" s="134"/>
      <c r="W16" s="134"/>
      <c r="Y16" s="134"/>
      <c r="Z16" s="3"/>
      <c r="AA16" s="3"/>
      <c r="AB16" s="3"/>
      <c r="AC16" s="3"/>
      <c r="AD16" s="3"/>
      <c r="AE16" s="135"/>
      <c r="AF16" s="3"/>
      <c r="AG16" s="3"/>
      <c r="AH16" s="3"/>
      <c r="AI16" s="3"/>
      <c r="AJ16" s="3"/>
      <c r="AK16" s="3"/>
      <c r="AL16" s="3"/>
      <c r="AN16" s="134"/>
      <c r="AO16" s="134"/>
      <c r="AP16" s="134"/>
      <c r="AS16" s="134"/>
      <c r="AT16" s="3"/>
      <c r="AU16" s="3"/>
      <c r="AV16" s="3"/>
      <c r="AW16" s="3"/>
      <c r="AX16" s="3"/>
      <c r="AY16" s="135"/>
      <c r="AZ16" s="3"/>
      <c r="BA16" s="3"/>
      <c r="BB16" s="3"/>
      <c r="BC16" s="3"/>
      <c r="BD16" s="3"/>
      <c r="BE16" s="3"/>
      <c r="BF16" s="3"/>
      <c r="BH16" s="134"/>
      <c r="BI16" s="134"/>
      <c r="BJ16" s="134"/>
      <c r="BK16" s="134"/>
      <c r="BM16" s="134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 s="134"/>
      <c r="CC16" s="134"/>
      <c r="CD16" s="134"/>
    </row>
    <row r="17" spans="3:82" x14ac:dyDescent="0.35">
      <c r="K17" s="136"/>
      <c r="AE17" s="136"/>
      <c r="AY17" s="136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</row>
    <row r="18" spans="3:82" x14ac:dyDescent="0.35">
      <c r="K18" s="136"/>
      <c r="AE18" s="136"/>
      <c r="AY18" s="136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</row>
    <row r="19" spans="3:82" s="121" customFormat="1" ht="29" customHeight="1" x14ac:dyDescent="0.35">
      <c r="C19" s="241" t="s">
        <v>176</v>
      </c>
      <c r="D19" s="241"/>
      <c r="E19" s="122">
        <v>42004</v>
      </c>
      <c r="F19" s="122">
        <f>EOMONTH(E19,1)</f>
        <v>42035</v>
      </c>
      <c r="G19" s="122">
        <f t="shared" ref="G19:J19" si="31">EOMONTH(F19,1)</f>
        <v>42063</v>
      </c>
      <c r="H19" s="122">
        <f t="shared" si="31"/>
        <v>42094</v>
      </c>
      <c r="I19" s="122">
        <f t="shared" si="31"/>
        <v>42124</v>
      </c>
      <c r="J19" s="122">
        <f t="shared" si="31"/>
        <v>42155</v>
      </c>
      <c r="K19" s="123" t="s">
        <v>108</v>
      </c>
      <c r="L19" s="122">
        <f>EOMONTH(J19,1)</f>
        <v>42185</v>
      </c>
      <c r="M19" s="122">
        <f t="shared" ref="M19:R19" si="32">EOMONTH(L19,1)</f>
        <v>42216</v>
      </c>
      <c r="N19" s="122">
        <f t="shared" si="32"/>
        <v>42247</v>
      </c>
      <c r="O19" s="122">
        <f t="shared" si="32"/>
        <v>42277</v>
      </c>
      <c r="P19" s="122">
        <f t="shared" si="32"/>
        <v>42308</v>
      </c>
      <c r="Q19" s="122">
        <f t="shared" si="32"/>
        <v>42338</v>
      </c>
      <c r="R19" s="122">
        <f t="shared" si="32"/>
        <v>42369</v>
      </c>
      <c r="S19" s="124" t="s">
        <v>109</v>
      </c>
      <c r="T19" s="125" t="s">
        <v>110</v>
      </c>
      <c r="U19" s="125" t="s">
        <v>108</v>
      </c>
      <c r="V19" s="125" t="s">
        <v>111</v>
      </c>
      <c r="W19" s="126"/>
      <c r="X19" s="127"/>
      <c r="Y19" s="122">
        <v>42369</v>
      </c>
      <c r="Z19" s="122">
        <f>EOMONTH(Y19,1)</f>
        <v>42400</v>
      </c>
      <c r="AA19" s="122">
        <f t="shared" ref="AA19:AD19" si="33">EOMONTH(Z19,1)</f>
        <v>42429</v>
      </c>
      <c r="AB19" s="122">
        <f t="shared" si="33"/>
        <v>42460</v>
      </c>
      <c r="AC19" s="122">
        <f t="shared" si="33"/>
        <v>42490</v>
      </c>
      <c r="AD19" s="122">
        <f t="shared" si="33"/>
        <v>42521</v>
      </c>
      <c r="AE19" s="123" t="s">
        <v>108</v>
      </c>
      <c r="AF19" s="122">
        <f>EOMONTH(AD19,1)</f>
        <v>42551</v>
      </c>
      <c r="AG19" s="122">
        <f t="shared" ref="AG19:AL19" si="34">EOMONTH(AF19,1)</f>
        <v>42582</v>
      </c>
      <c r="AH19" s="122">
        <f t="shared" si="34"/>
        <v>42613</v>
      </c>
      <c r="AI19" s="122">
        <f t="shared" si="34"/>
        <v>42643</v>
      </c>
      <c r="AJ19" s="122">
        <f t="shared" si="34"/>
        <v>42674</v>
      </c>
      <c r="AK19" s="122">
        <f t="shared" si="34"/>
        <v>42704</v>
      </c>
      <c r="AL19" s="122">
        <f t="shared" si="34"/>
        <v>42735</v>
      </c>
      <c r="AM19" s="124" t="s">
        <v>109</v>
      </c>
      <c r="AN19" s="125" t="s">
        <v>110</v>
      </c>
      <c r="AO19" s="125" t="s">
        <v>108</v>
      </c>
      <c r="AP19" s="125" t="s">
        <v>111</v>
      </c>
      <c r="AR19" s="127"/>
      <c r="AS19" s="122">
        <v>42735</v>
      </c>
      <c r="AT19" s="122">
        <f>EOMONTH(AS19,1)</f>
        <v>42766</v>
      </c>
      <c r="AU19" s="122">
        <f t="shared" ref="AU19:AX19" si="35">EOMONTH(AT19,1)</f>
        <v>42794</v>
      </c>
      <c r="AV19" s="122">
        <f t="shared" si="35"/>
        <v>42825</v>
      </c>
      <c r="AW19" s="122">
        <f t="shared" si="35"/>
        <v>42855</v>
      </c>
      <c r="AX19" s="122">
        <f t="shared" si="35"/>
        <v>42886</v>
      </c>
      <c r="AY19" s="123" t="s">
        <v>108</v>
      </c>
      <c r="AZ19" s="122">
        <f>EOMONTH(AX19,1)</f>
        <v>42916</v>
      </c>
      <c r="BA19" s="122">
        <f t="shared" ref="BA19:BF19" si="36">EOMONTH(AZ19,1)</f>
        <v>42947</v>
      </c>
      <c r="BB19" s="122">
        <f t="shared" si="36"/>
        <v>42978</v>
      </c>
      <c r="BC19" s="122">
        <f t="shared" si="36"/>
        <v>43008</v>
      </c>
      <c r="BD19" s="122">
        <f t="shared" si="36"/>
        <v>43039</v>
      </c>
      <c r="BE19" s="122">
        <f t="shared" si="36"/>
        <v>43069</v>
      </c>
      <c r="BF19" s="122">
        <f t="shared" si="36"/>
        <v>43100</v>
      </c>
      <c r="BG19" s="124" t="s">
        <v>109</v>
      </c>
      <c r="BH19" s="125" t="s">
        <v>110</v>
      </c>
      <c r="BI19" s="125" t="s">
        <v>108</v>
      </c>
      <c r="BJ19" s="125" t="s">
        <v>111</v>
      </c>
      <c r="BK19" s="126"/>
      <c r="BL19" s="127"/>
      <c r="BM19" s="122">
        <v>43100</v>
      </c>
      <c r="BN19" s="122">
        <f>EOMONTH(BM19,1)</f>
        <v>43131</v>
      </c>
      <c r="BO19" s="122">
        <f t="shared" ref="BO19:BR19" si="37">EOMONTH(BN19,1)</f>
        <v>43159</v>
      </c>
      <c r="BP19" s="122">
        <f t="shared" si="37"/>
        <v>43190</v>
      </c>
      <c r="BQ19" s="122">
        <f t="shared" si="37"/>
        <v>43220</v>
      </c>
      <c r="BR19" s="122">
        <f t="shared" si="37"/>
        <v>43251</v>
      </c>
      <c r="BS19" s="123" t="s">
        <v>108</v>
      </c>
      <c r="BT19" s="122">
        <f>EOMONTH(BR19,1)</f>
        <v>43281</v>
      </c>
      <c r="BU19" s="122">
        <f t="shared" ref="BU19:BZ19" si="38">EOMONTH(BT19,1)</f>
        <v>43312</v>
      </c>
      <c r="BV19" s="122">
        <f t="shared" si="38"/>
        <v>43343</v>
      </c>
      <c r="BW19" s="122">
        <f t="shared" si="38"/>
        <v>43373</v>
      </c>
      <c r="BX19" s="122">
        <f t="shared" si="38"/>
        <v>43404</v>
      </c>
      <c r="BY19" s="122">
        <f t="shared" si="38"/>
        <v>43434</v>
      </c>
      <c r="BZ19" s="122">
        <f t="shared" si="38"/>
        <v>43465</v>
      </c>
      <c r="CA19" s="124" t="s">
        <v>109</v>
      </c>
      <c r="CB19" s="125" t="s">
        <v>110</v>
      </c>
      <c r="CC19" s="125" t="s">
        <v>108</v>
      </c>
      <c r="CD19" s="125" t="s">
        <v>111</v>
      </c>
    </row>
    <row r="20" spans="3:82" x14ac:dyDescent="0.35">
      <c r="C20" s="116" t="s">
        <v>112</v>
      </c>
      <c r="D20" s="116" t="s">
        <v>113</v>
      </c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9">
        <f>R20</f>
        <v>0</v>
      </c>
      <c r="T20" s="130">
        <f>E20</f>
        <v>0</v>
      </c>
      <c r="U20" s="130">
        <f>K20</f>
        <v>0</v>
      </c>
      <c r="V20" s="130">
        <f>E20-R20</f>
        <v>0</v>
      </c>
      <c r="W20" s="130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9">
        <f>AL20</f>
        <v>0</v>
      </c>
      <c r="AN20" s="130">
        <f>Y20</f>
        <v>0</v>
      </c>
      <c r="AO20" s="130">
        <f>AE20</f>
        <v>0</v>
      </c>
      <c r="AP20" s="130">
        <f>Y20-AL20</f>
        <v>0</v>
      </c>
      <c r="AS20" s="128">
        <v>-685158.66574072326</v>
      </c>
      <c r="AT20" s="128">
        <v>-522522.74574072339</v>
      </c>
      <c r="AU20" s="128">
        <v>-282560.43574072345</v>
      </c>
      <c r="AV20" s="128">
        <v>-538475.37216301356</v>
      </c>
      <c r="AW20" s="128">
        <v>-520769.67353807297</v>
      </c>
      <c r="AX20" s="128">
        <v>-758795.45228156284</v>
      </c>
      <c r="AZ20" s="128">
        <v>-689458.41228156327</v>
      </c>
      <c r="BA20" s="128">
        <v>-1138342.2559273131</v>
      </c>
      <c r="BB20" s="128">
        <v>-803467.39304362482</v>
      </c>
      <c r="BC20" s="128">
        <v>-999467.47264037223</v>
      </c>
      <c r="BD20" s="128">
        <v>-1268348.3318555243</v>
      </c>
      <c r="BE20" s="128">
        <v>-874173.28666174202</v>
      </c>
      <c r="BF20" s="128">
        <v>-1017948.4768951024</v>
      </c>
      <c r="BG20" s="129">
        <f>BF20</f>
        <v>-1017948.4768951024</v>
      </c>
      <c r="BH20" s="130">
        <f>AS20</f>
        <v>-685158.66574072326</v>
      </c>
      <c r="BI20" s="130">
        <f t="shared" ref="BI20:BI27" si="39">AZ20</f>
        <v>-689458.41228156327</v>
      </c>
      <c r="BJ20" s="130">
        <f t="shared" ref="BJ20:BJ27" si="40">AS20-BF20</f>
        <v>332789.81115437916</v>
      </c>
      <c r="BK20" s="130"/>
      <c r="BM20" s="128">
        <v>-1017948.48</v>
      </c>
      <c r="BN20" s="128">
        <v>-936699.95</v>
      </c>
      <c r="BO20" s="128">
        <v>-1076556.4891845747</v>
      </c>
      <c r="BP20" s="128">
        <v>-610035.32127628336</v>
      </c>
      <c r="BQ20" s="128">
        <v>-802064.54631148325</v>
      </c>
      <c r="BR20" s="128">
        <v>-1751438.1385395615</v>
      </c>
      <c r="BS20" s="128"/>
      <c r="BT20" s="128">
        <v>-957501.13853956154</v>
      </c>
      <c r="BU20" s="128">
        <v>-1525742.3394548385</v>
      </c>
      <c r="BV20" s="128">
        <v>-1648245.5190799993</v>
      </c>
      <c r="BW20" s="128">
        <v>-1886164.8485395622</v>
      </c>
      <c r="BX20" s="128">
        <v>-1650039.4685395625</v>
      </c>
      <c r="BY20" s="128">
        <v>-1129004.3085395617</v>
      </c>
      <c r="BZ20" s="128">
        <v>-1884544.9522372619</v>
      </c>
      <c r="CA20" s="129">
        <f t="shared" ref="CA20:CA27" si="41">BZ20</f>
        <v>-1884544.9522372619</v>
      </c>
      <c r="CB20" s="130">
        <f>BM20</f>
        <v>-1017948.48</v>
      </c>
      <c r="CC20" s="130">
        <f t="shared" ref="CC20:CC27" si="42">BT20</f>
        <v>-957501.13853956154</v>
      </c>
      <c r="CD20" s="130">
        <f t="shared" ref="CD20:CD27" si="43">BZ20-BM20</f>
        <v>-866596.47223726194</v>
      </c>
    </row>
    <row r="21" spans="3:82" x14ac:dyDescent="0.35">
      <c r="C21" s="116" t="s">
        <v>114</v>
      </c>
      <c r="D21" s="116" t="s">
        <v>115</v>
      </c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9">
        <f t="shared" ref="S21:S27" si="44">R21</f>
        <v>0</v>
      </c>
      <c r="T21" s="130">
        <f t="shared" ref="T21:T27" si="45">E21</f>
        <v>0</v>
      </c>
      <c r="U21" s="130">
        <f t="shared" ref="U21:U27" si="46">K21</f>
        <v>0</v>
      </c>
      <c r="V21" s="130">
        <f t="shared" ref="V21:V27" si="47">E21-R21</f>
        <v>0</v>
      </c>
      <c r="W21" s="130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9">
        <f t="shared" ref="AM21:AM27" si="48">AL21</f>
        <v>0</v>
      </c>
      <c r="AN21" s="130">
        <f t="shared" ref="AN21:AN27" si="49">Y21</f>
        <v>0</v>
      </c>
      <c r="AO21" s="130">
        <f t="shared" ref="AO21:AO27" si="50">AE21</f>
        <v>0</v>
      </c>
      <c r="AP21" s="130">
        <f t="shared" ref="AP21:AP27" si="51">Y21-AL21</f>
        <v>0</v>
      </c>
      <c r="AS21" s="128">
        <v>687915.66</v>
      </c>
      <c r="AT21" s="128">
        <v>503989.32</v>
      </c>
      <c r="AU21" s="128">
        <v>649040.88</v>
      </c>
      <c r="AV21" s="128">
        <v>539768.6</v>
      </c>
      <c r="AW21" s="128">
        <v>760494.44</v>
      </c>
      <c r="AX21" s="128">
        <v>1062259.1299999999</v>
      </c>
      <c r="AZ21" s="128">
        <v>1105206.3</v>
      </c>
      <c r="BA21" s="128">
        <v>1275430.6200000001</v>
      </c>
      <c r="BB21" s="128">
        <v>1239531.03</v>
      </c>
      <c r="BC21" s="128">
        <v>948792.82999999984</v>
      </c>
      <c r="BD21" s="128">
        <v>1082933.4699999997</v>
      </c>
      <c r="BE21" s="128">
        <v>1094597.3499999996</v>
      </c>
      <c r="BF21" s="128">
        <v>965459.02999999991</v>
      </c>
      <c r="BG21" s="129">
        <f t="shared" ref="BG21:BG27" si="52">BF21</f>
        <v>965459.02999999991</v>
      </c>
      <c r="BH21" s="130">
        <f t="shared" ref="BH21:BH27" si="53">AS21</f>
        <v>687915.66</v>
      </c>
      <c r="BI21" s="130">
        <f t="shared" si="39"/>
        <v>1105206.3</v>
      </c>
      <c r="BJ21" s="130">
        <f t="shared" si="40"/>
        <v>-277543.36999999988</v>
      </c>
      <c r="BK21" s="130"/>
      <c r="BM21" s="128">
        <v>965459.03</v>
      </c>
      <c r="BN21" s="128">
        <v>947599.35000000009</v>
      </c>
      <c r="BO21" s="128">
        <v>795406.30000000016</v>
      </c>
      <c r="BP21" s="128">
        <v>1168018.5</v>
      </c>
      <c r="BQ21" s="128">
        <v>1336092.2999999998</v>
      </c>
      <c r="BR21" s="128">
        <v>1186588.1499999999</v>
      </c>
      <c r="BS21" s="128"/>
      <c r="BT21" s="128">
        <v>1599263.1799999997</v>
      </c>
      <c r="BU21" s="128">
        <v>1514802.5899999996</v>
      </c>
      <c r="BV21" s="128">
        <v>1506550.0999999996</v>
      </c>
      <c r="BW21" s="128">
        <v>1542237.6899999995</v>
      </c>
      <c r="BX21" s="128">
        <v>1813028.4699999997</v>
      </c>
      <c r="BY21" s="128">
        <v>2002281.8100000003</v>
      </c>
      <c r="BZ21" s="128">
        <v>1779321.0199999996</v>
      </c>
      <c r="CA21" s="129">
        <f t="shared" si="41"/>
        <v>1779321.0199999996</v>
      </c>
      <c r="CB21" s="130">
        <f t="shared" ref="CB21:CB27" si="54">BM21</f>
        <v>965459.03</v>
      </c>
      <c r="CC21" s="130">
        <f t="shared" si="42"/>
        <v>1599263.1799999997</v>
      </c>
      <c r="CD21" s="130">
        <f t="shared" si="43"/>
        <v>813861.98999999953</v>
      </c>
    </row>
    <row r="22" spans="3:82" x14ac:dyDescent="0.35">
      <c r="C22" s="116" t="s">
        <v>116</v>
      </c>
      <c r="D22" s="116" t="s">
        <v>117</v>
      </c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9">
        <f t="shared" si="44"/>
        <v>0</v>
      </c>
      <c r="T22" s="130">
        <f t="shared" si="45"/>
        <v>0</v>
      </c>
      <c r="U22" s="130">
        <f t="shared" si="46"/>
        <v>0</v>
      </c>
      <c r="V22" s="130">
        <f t="shared" si="47"/>
        <v>0</v>
      </c>
      <c r="W22" s="130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9">
        <f t="shared" si="48"/>
        <v>0</v>
      </c>
      <c r="AN22" s="130">
        <f t="shared" si="49"/>
        <v>0</v>
      </c>
      <c r="AO22" s="130">
        <f t="shared" si="50"/>
        <v>0</v>
      </c>
      <c r="AP22" s="130">
        <f t="shared" si="51"/>
        <v>0</v>
      </c>
      <c r="AS22" s="128">
        <v>-844788.06000000017</v>
      </c>
      <c r="AT22" s="128">
        <v>-832581.12000000011</v>
      </c>
      <c r="AU22" s="128">
        <v>-858270.57000000007</v>
      </c>
      <c r="AV22" s="128">
        <v>-911589.1100000001</v>
      </c>
      <c r="AW22" s="128">
        <v>-912096.43</v>
      </c>
      <c r="AX22" s="128">
        <v>-1079068.6300000001</v>
      </c>
      <c r="AZ22" s="128">
        <v>-1078224.4800000002</v>
      </c>
      <c r="BA22" s="128">
        <v>-1112340.43</v>
      </c>
      <c r="BB22" s="128">
        <v>-1012834.1700000002</v>
      </c>
      <c r="BC22" s="128">
        <v>-1020022.8999999999</v>
      </c>
      <c r="BD22" s="128">
        <v>-1018091.19</v>
      </c>
      <c r="BE22" s="128">
        <v>-1159030.5699999998</v>
      </c>
      <c r="BF22" s="128">
        <v>-1119794.2399999998</v>
      </c>
      <c r="BG22" s="129">
        <f t="shared" si="52"/>
        <v>-1119794.2399999998</v>
      </c>
      <c r="BH22" s="130">
        <f t="shared" si="53"/>
        <v>-844788.06000000017</v>
      </c>
      <c r="BI22" s="130">
        <f t="shared" si="39"/>
        <v>-1078224.4800000002</v>
      </c>
      <c r="BJ22" s="130">
        <f t="shared" si="40"/>
        <v>275006.17999999959</v>
      </c>
      <c r="BK22" s="130"/>
      <c r="BM22" s="128">
        <v>-1119794.2399999998</v>
      </c>
      <c r="BN22" s="128">
        <v>-1101483.3099999998</v>
      </c>
      <c r="BO22" s="128">
        <v>-1082813.1599999997</v>
      </c>
      <c r="BP22" s="128">
        <v>-1094948.7899999996</v>
      </c>
      <c r="BQ22" s="128">
        <v>-1086394.8699999996</v>
      </c>
      <c r="BR22" s="128">
        <v>-726984.91999999969</v>
      </c>
      <c r="BS22" s="128"/>
      <c r="BT22" s="128">
        <v>-687100.30999999959</v>
      </c>
      <c r="BU22" s="128">
        <v>-612886.97999999963</v>
      </c>
      <c r="BV22" s="128">
        <v>-591447.33999999962</v>
      </c>
      <c r="BW22" s="128">
        <v>-571780.20999999961</v>
      </c>
      <c r="BX22" s="128">
        <v>-549169.58999999962</v>
      </c>
      <c r="BY22" s="128">
        <v>-651870.47999999963</v>
      </c>
      <c r="BZ22" s="128">
        <v>-628794.16999999958</v>
      </c>
      <c r="CA22" s="129">
        <f t="shared" si="41"/>
        <v>-628794.16999999958</v>
      </c>
      <c r="CB22" s="130">
        <f t="shared" si="54"/>
        <v>-1119794.2399999998</v>
      </c>
      <c r="CC22" s="130">
        <f t="shared" si="42"/>
        <v>-687100.30999999959</v>
      </c>
      <c r="CD22" s="130">
        <f t="shared" si="43"/>
        <v>491000.07000000018</v>
      </c>
    </row>
    <row r="23" spans="3:82" x14ac:dyDescent="0.35">
      <c r="C23" s="131" t="s">
        <v>114</v>
      </c>
      <c r="D23" s="131" t="s">
        <v>118</v>
      </c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9">
        <f t="shared" si="44"/>
        <v>0</v>
      </c>
      <c r="T23" s="130">
        <f t="shared" si="45"/>
        <v>0</v>
      </c>
      <c r="U23" s="130">
        <f t="shared" si="46"/>
        <v>0</v>
      </c>
      <c r="V23" s="130">
        <f t="shared" si="47"/>
        <v>0</v>
      </c>
      <c r="W23" s="130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9">
        <f t="shared" si="48"/>
        <v>0</v>
      </c>
      <c r="AN23" s="130">
        <f t="shared" si="49"/>
        <v>0</v>
      </c>
      <c r="AO23" s="130">
        <f t="shared" si="50"/>
        <v>0</v>
      </c>
      <c r="AP23" s="130">
        <f t="shared" si="51"/>
        <v>0</v>
      </c>
      <c r="AS23" s="128">
        <v>0</v>
      </c>
      <c r="AT23" s="128">
        <v>0</v>
      </c>
      <c r="AU23" s="128">
        <v>0</v>
      </c>
      <c r="AV23" s="128">
        <v>0</v>
      </c>
      <c r="AW23" s="128">
        <v>0</v>
      </c>
      <c r="AX23" s="128">
        <v>0</v>
      </c>
      <c r="AZ23" s="128">
        <v>0</v>
      </c>
      <c r="BA23" s="128">
        <v>22339.15</v>
      </c>
      <c r="BB23" s="128">
        <v>43319.16</v>
      </c>
      <c r="BC23" s="128">
        <v>60054</v>
      </c>
      <c r="BD23" s="128">
        <v>82456.38</v>
      </c>
      <c r="BE23" s="128">
        <v>101101.20000000001</v>
      </c>
      <c r="BF23" s="128">
        <v>1.1000000000058208</v>
      </c>
      <c r="BG23" s="129">
        <f t="shared" si="52"/>
        <v>1.1000000000058208</v>
      </c>
      <c r="BH23" s="130">
        <f t="shared" si="53"/>
        <v>0</v>
      </c>
      <c r="BI23" s="130">
        <f t="shared" si="39"/>
        <v>0</v>
      </c>
      <c r="BJ23" s="130">
        <f t="shared" si="40"/>
        <v>-1.1000000000058208</v>
      </c>
      <c r="BK23" s="130"/>
      <c r="BM23" s="128">
        <v>1.1100000000000001</v>
      </c>
      <c r="BN23" s="128">
        <v>1.1100000000000001</v>
      </c>
      <c r="BO23" s="128">
        <v>0</v>
      </c>
      <c r="BP23" s="128">
        <v>0</v>
      </c>
      <c r="BQ23" s="128">
        <v>0</v>
      </c>
      <c r="BR23" s="128">
        <v>0</v>
      </c>
      <c r="BS23" s="128"/>
      <c r="BT23" s="128">
        <v>0</v>
      </c>
      <c r="BU23" s="128">
        <v>0</v>
      </c>
      <c r="BV23" s="128">
        <v>0</v>
      </c>
      <c r="BW23" s="128">
        <v>0</v>
      </c>
      <c r="BX23" s="128">
        <v>0</v>
      </c>
      <c r="BY23" s="128">
        <v>0</v>
      </c>
      <c r="BZ23" s="128">
        <v>0</v>
      </c>
      <c r="CA23" s="129">
        <f t="shared" si="41"/>
        <v>0</v>
      </c>
      <c r="CB23" s="130">
        <f t="shared" si="54"/>
        <v>1.1100000000000001</v>
      </c>
      <c r="CC23" s="130">
        <f t="shared" si="42"/>
        <v>0</v>
      </c>
      <c r="CD23" s="130">
        <f t="shared" si="43"/>
        <v>-1.1100000000000001</v>
      </c>
    </row>
    <row r="24" spans="3:82" x14ac:dyDescent="0.35">
      <c r="C24" s="116" t="s">
        <v>119</v>
      </c>
      <c r="D24" s="116" t="s">
        <v>120</v>
      </c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9">
        <f t="shared" si="44"/>
        <v>0</v>
      </c>
      <c r="T24" s="130">
        <f t="shared" si="45"/>
        <v>0</v>
      </c>
      <c r="U24" s="130">
        <f t="shared" si="46"/>
        <v>0</v>
      </c>
      <c r="V24" s="130">
        <f t="shared" si="47"/>
        <v>0</v>
      </c>
      <c r="W24" s="130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9">
        <f t="shared" si="48"/>
        <v>0</v>
      </c>
      <c r="AN24" s="130">
        <f t="shared" si="49"/>
        <v>0</v>
      </c>
      <c r="AO24" s="130">
        <f t="shared" si="50"/>
        <v>0</v>
      </c>
      <c r="AP24" s="130">
        <f t="shared" si="51"/>
        <v>0</v>
      </c>
      <c r="AS24" s="128">
        <v>819224.30999999994</v>
      </c>
      <c r="AT24" s="128">
        <v>828247.35999999987</v>
      </c>
      <c r="AU24" s="128">
        <v>852072.03999999992</v>
      </c>
      <c r="AV24" s="128">
        <v>855650.92999999993</v>
      </c>
      <c r="AW24" s="128">
        <v>872958.84</v>
      </c>
      <c r="AX24" s="128">
        <v>889749.42999999993</v>
      </c>
      <c r="AZ24" s="128">
        <v>937610.15999999992</v>
      </c>
      <c r="BA24" s="128">
        <v>970196.42999999993</v>
      </c>
      <c r="BB24" s="128">
        <v>855794.42999999993</v>
      </c>
      <c r="BC24" s="128">
        <v>1053482.6100000001</v>
      </c>
      <c r="BD24" s="128">
        <v>1107149.3600000001</v>
      </c>
      <c r="BE24" s="128">
        <v>1052677.6500000001</v>
      </c>
      <c r="BF24" s="128">
        <v>1134092.2000000002</v>
      </c>
      <c r="BG24" s="129">
        <f t="shared" si="52"/>
        <v>1134092.2000000002</v>
      </c>
      <c r="BH24" s="130">
        <f t="shared" si="53"/>
        <v>819224.30999999994</v>
      </c>
      <c r="BI24" s="130">
        <f t="shared" si="39"/>
        <v>937610.15999999992</v>
      </c>
      <c r="BJ24" s="130">
        <f t="shared" si="40"/>
        <v>-314867.89000000025</v>
      </c>
      <c r="BK24" s="130"/>
      <c r="BM24" s="128">
        <v>1134092.2000000002</v>
      </c>
      <c r="BN24" s="128">
        <v>1198105.6900000002</v>
      </c>
      <c r="BO24" s="128">
        <v>1215668.4100000001</v>
      </c>
      <c r="BP24" s="128">
        <v>1230065.82</v>
      </c>
      <c r="BQ24" s="128">
        <v>1263163.08</v>
      </c>
      <c r="BR24" s="128">
        <v>1205184.58</v>
      </c>
      <c r="BS24" s="128"/>
      <c r="BT24" s="128">
        <v>1241040.1599999999</v>
      </c>
      <c r="BU24" s="128">
        <v>1294071.17</v>
      </c>
      <c r="BV24" s="128">
        <v>1371439.3599999999</v>
      </c>
      <c r="BW24" s="128">
        <v>1433563.24</v>
      </c>
      <c r="BX24" s="128">
        <v>1434672.38</v>
      </c>
      <c r="BY24" s="128">
        <v>1451947.89</v>
      </c>
      <c r="BZ24" s="128">
        <v>1422736.3399999999</v>
      </c>
      <c r="CA24" s="129">
        <f t="shared" si="41"/>
        <v>1422736.3399999999</v>
      </c>
      <c r="CB24" s="130">
        <f t="shared" si="54"/>
        <v>1134092.2000000002</v>
      </c>
      <c r="CC24" s="130">
        <f t="shared" si="42"/>
        <v>1241040.1599999999</v>
      </c>
      <c r="CD24" s="130">
        <f t="shared" si="43"/>
        <v>288644.13999999966</v>
      </c>
    </row>
    <row r="25" spans="3:82" x14ac:dyDescent="0.35">
      <c r="C25" s="116" t="s">
        <v>121</v>
      </c>
      <c r="D25" s="116" t="s">
        <v>122</v>
      </c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9">
        <f t="shared" si="44"/>
        <v>0</v>
      </c>
      <c r="T25" s="130">
        <f t="shared" si="45"/>
        <v>0</v>
      </c>
      <c r="U25" s="130">
        <f t="shared" si="46"/>
        <v>0</v>
      </c>
      <c r="V25" s="130">
        <f t="shared" si="47"/>
        <v>0</v>
      </c>
      <c r="W25" s="130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9">
        <f t="shared" si="48"/>
        <v>0</v>
      </c>
      <c r="AN25" s="130">
        <f t="shared" si="49"/>
        <v>0</v>
      </c>
      <c r="AO25" s="130">
        <f t="shared" si="50"/>
        <v>0</v>
      </c>
      <c r="AP25" s="130">
        <f t="shared" si="51"/>
        <v>0</v>
      </c>
      <c r="AS25" s="128">
        <v>777974.62000000011</v>
      </c>
      <c r="AT25" s="128">
        <v>798339.92000000016</v>
      </c>
      <c r="AU25" s="128">
        <v>822342.9700000002</v>
      </c>
      <c r="AV25" s="128">
        <v>829124.80000000016</v>
      </c>
      <c r="AW25" s="128">
        <v>851245.67000000016</v>
      </c>
      <c r="AX25" s="128">
        <v>865322.31000000017</v>
      </c>
      <c r="AZ25" s="128">
        <v>904493.28000000014</v>
      </c>
      <c r="BA25" s="128">
        <v>931142.06000000017</v>
      </c>
      <c r="BB25" s="128">
        <v>845786.37000000011</v>
      </c>
      <c r="BC25" s="128">
        <v>1013948.79</v>
      </c>
      <c r="BD25" s="128">
        <v>1068187.8</v>
      </c>
      <c r="BE25" s="128">
        <v>1018401.43</v>
      </c>
      <c r="BF25" s="128">
        <v>1098916.21</v>
      </c>
      <c r="BG25" s="129">
        <f t="shared" si="52"/>
        <v>1098916.21</v>
      </c>
      <c r="BH25" s="130">
        <f t="shared" si="53"/>
        <v>777974.62000000011</v>
      </c>
      <c r="BI25" s="130">
        <f t="shared" si="39"/>
        <v>904493.28000000014</v>
      </c>
      <c r="BJ25" s="130">
        <f t="shared" si="40"/>
        <v>-320941.58999999985</v>
      </c>
      <c r="BK25" s="130"/>
      <c r="BM25" s="128">
        <v>1098916.21</v>
      </c>
      <c r="BN25" s="128">
        <v>1161634.3699999999</v>
      </c>
      <c r="BO25" s="128">
        <v>1183881.7899999998</v>
      </c>
      <c r="BP25" s="128">
        <v>1200822.3199999998</v>
      </c>
      <c r="BQ25" s="128">
        <v>1243129.0499999998</v>
      </c>
      <c r="BR25" s="128">
        <v>1095919.3099999998</v>
      </c>
      <c r="BS25" s="128"/>
      <c r="BT25" s="128">
        <v>1121043.7599999998</v>
      </c>
      <c r="BU25" s="128">
        <v>1162291.0999999999</v>
      </c>
      <c r="BV25" s="128">
        <v>1217218.0999999999</v>
      </c>
      <c r="BW25" s="128">
        <v>1258988.3899999999</v>
      </c>
      <c r="BX25" s="128">
        <v>1254454.8099999998</v>
      </c>
      <c r="BY25" s="128">
        <v>1265713.6299999997</v>
      </c>
      <c r="BZ25" s="128">
        <v>1242920.8499999996</v>
      </c>
      <c r="CA25" s="129">
        <f t="shared" si="41"/>
        <v>1242920.8499999996</v>
      </c>
      <c r="CB25" s="130">
        <f t="shared" si="54"/>
        <v>1098916.21</v>
      </c>
      <c r="CC25" s="130">
        <f t="shared" si="42"/>
        <v>1121043.7599999998</v>
      </c>
      <c r="CD25" s="130">
        <f t="shared" si="43"/>
        <v>144004.63999999966</v>
      </c>
    </row>
    <row r="26" spans="3:82" x14ac:dyDescent="0.35">
      <c r="C26" s="131" t="s">
        <v>123</v>
      </c>
      <c r="D26" s="131" t="s">
        <v>124</v>
      </c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9">
        <f t="shared" si="44"/>
        <v>0</v>
      </c>
      <c r="T26" s="130">
        <f t="shared" si="45"/>
        <v>0</v>
      </c>
      <c r="U26" s="130">
        <f t="shared" si="46"/>
        <v>0</v>
      </c>
      <c r="V26" s="130">
        <f t="shared" si="47"/>
        <v>0</v>
      </c>
      <c r="W26" s="130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9">
        <f t="shared" si="48"/>
        <v>0</v>
      </c>
      <c r="AN26" s="130">
        <f t="shared" si="49"/>
        <v>0</v>
      </c>
      <c r="AO26" s="130">
        <f t="shared" si="50"/>
        <v>0</v>
      </c>
      <c r="AP26" s="130">
        <f t="shared" si="51"/>
        <v>0</v>
      </c>
      <c r="AS26" s="128">
        <v>-10164.870000000008</v>
      </c>
      <c r="AT26" s="128">
        <v>-10379.170000000009</v>
      </c>
      <c r="AU26" s="128">
        <v>-10657.81000000001</v>
      </c>
      <c r="AV26" s="128">
        <v>-11038.780000000012</v>
      </c>
      <c r="AW26" s="128">
        <v>-11124.260000000011</v>
      </c>
      <c r="AX26" s="128">
        <v>-11479.080000000011</v>
      </c>
      <c r="AZ26" s="128">
        <v>-11889.530000000012</v>
      </c>
      <c r="BA26" s="128">
        <v>-12208.530000000012</v>
      </c>
      <c r="BB26" s="128">
        <v>-12468.190000000011</v>
      </c>
      <c r="BC26" s="128">
        <v>-13528.69</v>
      </c>
      <c r="BD26" s="128">
        <v>-14052.550000000001</v>
      </c>
      <c r="BE26" s="128">
        <v>-14584.510000000002</v>
      </c>
      <c r="BF26" s="128">
        <v>-15291.870000000003</v>
      </c>
      <c r="BG26" s="129">
        <f t="shared" si="52"/>
        <v>-15291.870000000003</v>
      </c>
      <c r="BH26" s="130">
        <f t="shared" si="53"/>
        <v>-10164.870000000008</v>
      </c>
      <c r="BI26" s="130">
        <f t="shared" si="39"/>
        <v>-11889.530000000012</v>
      </c>
      <c r="BJ26" s="130">
        <f t="shared" si="40"/>
        <v>5126.9999999999945</v>
      </c>
      <c r="BK26" s="130"/>
      <c r="BM26" s="128">
        <v>-15291.870000000003</v>
      </c>
      <c r="BN26" s="128">
        <v>-17311.830000000002</v>
      </c>
      <c r="BO26" s="128">
        <v>-17709.68</v>
      </c>
      <c r="BP26" s="128">
        <v>-11386.269999999997</v>
      </c>
      <c r="BQ26" s="128">
        <v>-37120.949999999997</v>
      </c>
      <c r="BR26" s="128">
        <v>-28544.429999999997</v>
      </c>
      <c r="BS26" s="128"/>
      <c r="BT26" s="128">
        <v>-29148.43</v>
      </c>
      <c r="BU26" s="128">
        <v>-29680.75</v>
      </c>
      <c r="BV26" s="128">
        <v>-30453.019999999997</v>
      </c>
      <c r="BW26" s="128">
        <v>-31126.799999999988</v>
      </c>
      <c r="BX26" s="128">
        <v>-32017.919999999991</v>
      </c>
      <c r="BY26" s="128">
        <v>-32794.869999999981</v>
      </c>
      <c r="BZ26" s="128">
        <v>-33205.799999999988</v>
      </c>
      <c r="CA26" s="129">
        <f t="shared" si="41"/>
        <v>-33205.799999999988</v>
      </c>
      <c r="CB26" s="130">
        <f t="shared" si="54"/>
        <v>-15291.870000000003</v>
      </c>
      <c r="CC26" s="130">
        <f t="shared" si="42"/>
        <v>-29148.43</v>
      </c>
      <c r="CD26" s="130">
        <f t="shared" si="43"/>
        <v>-17913.929999999986</v>
      </c>
    </row>
    <row r="27" spans="3:82" x14ac:dyDescent="0.35">
      <c r="C27" s="116" t="s">
        <v>125</v>
      </c>
      <c r="D27" s="116" t="s">
        <v>126</v>
      </c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9">
        <f t="shared" si="44"/>
        <v>0</v>
      </c>
      <c r="T27" s="130">
        <f t="shared" si="45"/>
        <v>0</v>
      </c>
      <c r="U27" s="130">
        <f t="shared" si="46"/>
        <v>0</v>
      </c>
      <c r="V27" s="130">
        <f t="shared" si="47"/>
        <v>0</v>
      </c>
      <c r="W27" s="130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9">
        <f t="shared" si="48"/>
        <v>0</v>
      </c>
      <c r="AN27" s="130">
        <f t="shared" si="49"/>
        <v>0</v>
      </c>
      <c r="AO27" s="130">
        <f t="shared" si="50"/>
        <v>0</v>
      </c>
      <c r="AP27" s="130">
        <f t="shared" si="51"/>
        <v>0</v>
      </c>
      <c r="AS27" s="128">
        <v>886580.39</v>
      </c>
      <c r="AT27" s="128">
        <v>921126.48</v>
      </c>
      <c r="AU27" s="128">
        <v>956887.63</v>
      </c>
      <c r="AV27" s="128">
        <v>983680.34</v>
      </c>
      <c r="AW27" s="128">
        <v>1014912.9299999999</v>
      </c>
      <c r="AX27" s="128">
        <v>1043497.09</v>
      </c>
      <c r="AZ27" s="128">
        <v>1086877.6299999999</v>
      </c>
      <c r="BA27" s="128">
        <v>1124423.5499999998</v>
      </c>
      <c r="BB27" s="128">
        <v>1083827.8999999999</v>
      </c>
      <c r="BC27" s="128">
        <v>1216071.4400000002</v>
      </c>
      <c r="BD27" s="128">
        <v>1270060.0900000001</v>
      </c>
      <c r="BE27" s="128">
        <v>1260194.28</v>
      </c>
      <c r="BF27" s="128">
        <v>1331817.17</v>
      </c>
      <c r="BG27" s="129">
        <f t="shared" si="52"/>
        <v>1331817.17</v>
      </c>
      <c r="BH27" s="130">
        <f t="shared" si="53"/>
        <v>886580.39</v>
      </c>
      <c r="BI27" s="130">
        <f t="shared" si="39"/>
        <v>1086877.6299999999</v>
      </c>
      <c r="BJ27" s="130">
        <f t="shared" si="40"/>
        <v>-445236.77999999991</v>
      </c>
      <c r="BK27" s="130"/>
      <c r="BM27" s="128">
        <v>1331817.17</v>
      </c>
      <c r="BN27" s="128">
        <v>1371604.3599999999</v>
      </c>
      <c r="BO27" s="128">
        <v>1391203.2799999998</v>
      </c>
      <c r="BP27" s="128">
        <v>1409666.7199999997</v>
      </c>
      <c r="BQ27" s="128">
        <v>1439044.0699999998</v>
      </c>
      <c r="BR27" s="128">
        <v>1165058.2499999998</v>
      </c>
      <c r="BS27" s="128"/>
      <c r="BT27" s="128">
        <v>1184852.2799999998</v>
      </c>
      <c r="BU27" s="128">
        <v>1213534.9699999997</v>
      </c>
      <c r="BV27" s="128">
        <v>1247594.1199999996</v>
      </c>
      <c r="BW27" s="128">
        <v>1276484.9799999997</v>
      </c>
      <c r="BX27" s="128">
        <v>1281850.6499999997</v>
      </c>
      <c r="BY27" s="128">
        <v>1296047.5899999999</v>
      </c>
      <c r="BZ27" s="128">
        <v>1293906.7899999998</v>
      </c>
      <c r="CA27" s="129">
        <f t="shared" si="41"/>
        <v>1293906.7899999998</v>
      </c>
      <c r="CB27" s="130">
        <f t="shared" si="54"/>
        <v>1331817.17</v>
      </c>
      <c r="CC27" s="130">
        <f t="shared" si="42"/>
        <v>1184852.2799999998</v>
      </c>
      <c r="CD27" s="130">
        <f t="shared" si="43"/>
        <v>-37910.380000000121</v>
      </c>
    </row>
    <row r="28" spans="3:82" ht="15" thickBot="1" x14ac:dyDescent="0.4">
      <c r="D28" s="116" t="s">
        <v>127</v>
      </c>
      <c r="E28" s="132">
        <f>SUM(E20:E27)</f>
        <v>0</v>
      </c>
      <c r="F28" s="132">
        <f t="shared" ref="F28:V28" si="55">SUM(F20:F27)</f>
        <v>0</v>
      </c>
      <c r="G28" s="132">
        <f t="shared" si="55"/>
        <v>0</v>
      </c>
      <c r="H28" s="132">
        <f t="shared" si="55"/>
        <v>0</v>
      </c>
      <c r="I28" s="132">
        <f t="shared" si="55"/>
        <v>0</v>
      </c>
      <c r="J28" s="132">
        <f t="shared" si="55"/>
        <v>0</v>
      </c>
      <c r="K28" s="132">
        <f t="shared" si="55"/>
        <v>0</v>
      </c>
      <c r="L28" s="132">
        <f t="shared" si="55"/>
        <v>0</v>
      </c>
      <c r="M28" s="132">
        <f t="shared" si="55"/>
        <v>0</v>
      </c>
      <c r="N28" s="132">
        <f t="shared" si="55"/>
        <v>0</v>
      </c>
      <c r="O28" s="132">
        <f t="shared" si="55"/>
        <v>0</v>
      </c>
      <c r="P28" s="132">
        <f t="shared" si="55"/>
        <v>0</v>
      </c>
      <c r="Q28" s="132">
        <f t="shared" si="55"/>
        <v>0</v>
      </c>
      <c r="R28" s="132">
        <f t="shared" si="55"/>
        <v>0</v>
      </c>
      <c r="S28" s="132">
        <f t="shared" si="55"/>
        <v>0</v>
      </c>
      <c r="T28" s="132">
        <f t="shared" si="55"/>
        <v>0</v>
      </c>
      <c r="U28" s="132">
        <f t="shared" si="55"/>
        <v>0</v>
      </c>
      <c r="V28" s="132">
        <f t="shared" si="55"/>
        <v>0</v>
      </c>
      <c r="W28" s="133"/>
      <c r="Y28" s="132">
        <f>SUM(Y20:Y27)</f>
        <v>0</v>
      </c>
      <c r="Z28" s="132">
        <f t="shared" ref="Z28:AP28" si="56">SUM(Z20:Z27)</f>
        <v>0</v>
      </c>
      <c r="AA28" s="132">
        <f t="shared" si="56"/>
        <v>0</v>
      </c>
      <c r="AB28" s="132">
        <f t="shared" si="56"/>
        <v>0</v>
      </c>
      <c r="AC28" s="132">
        <f t="shared" si="56"/>
        <v>0</v>
      </c>
      <c r="AD28" s="132">
        <f t="shared" si="56"/>
        <v>0</v>
      </c>
      <c r="AE28" s="132">
        <f t="shared" si="56"/>
        <v>0</v>
      </c>
      <c r="AF28" s="132">
        <f t="shared" si="56"/>
        <v>0</v>
      </c>
      <c r="AG28" s="132">
        <f t="shared" si="56"/>
        <v>0</v>
      </c>
      <c r="AH28" s="132">
        <f t="shared" si="56"/>
        <v>0</v>
      </c>
      <c r="AI28" s="132">
        <f t="shared" si="56"/>
        <v>0</v>
      </c>
      <c r="AJ28" s="132">
        <f t="shared" si="56"/>
        <v>0</v>
      </c>
      <c r="AK28" s="132">
        <f t="shared" si="56"/>
        <v>0</v>
      </c>
      <c r="AL28" s="132">
        <f t="shared" si="56"/>
        <v>0</v>
      </c>
      <c r="AM28" s="132">
        <f t="shared" si="56"/>
        <v>0</v>
      </c>
      <c r="AN28" s="132">
        <f t="shared" si="56"/>
        <v>0</v>
      </c>
      <c r="AO28" s="132">
        <f t="shared" si="56"/>
        <v>0</v>
      </c>
      <c r="AP28" s="132">
        <f t="shared" si="56"/>
        <v>0</v>
      </c>
      <c r="AS28" s="132">
        <f t="shared" ref="AS28:BJ28" si="57">SUM(AS20:AS27)</f>
        <v>1631583.3842592766</v>
      </c>
      <c r="AT28" s="132">
        <f t="shared" si="57"/>
        <v>1686220.0442592765</v>
      </c>
      <c r="AU28" s="132">
        <f t="shared" si="57"/>
        <v>2128854.7042592764</v>
      </c>
      <c r="AV28" s="132">
        <f t="shared" si="57"/>
        <v>1747121.4078369862</v>
      </c>
      <c r="AW28" s="132">
        <f t="shared" si="57"/>
        <v>2055621.516461927</v>
      </c>
      <c r="AX28" s="132">
        <f t="shared" si="57"/>
        <v>2011484.7977184369</v>
      </c>
      <c r="AY28" s="132">
        <f t="shared" si="57"/>
        <v>0</v>
      </c>
      <c r="AZ28" s="132">
        <f t="shared" si="57"/>
        <v>2254614.9477184368</v>
      </c>
      <c r="BA28" s="132">
        <f t="shared" si="57"/>
        <v>2060640.594072687</v>
      </c>
      <c r="BB28" s="132">
        <f t="shared" si="57"/>
        <v>2239489.1369563751</v>
      </c>
      <c r="BC28" s="132">
        <f t="shared" si="57"/>
        <v>2259330.6073596282</v>
      </c>
      <c r="BD28" s="132">
        <f t="shared" si="57"/>
        <v>2310295.0281444755</v>
      </c>
      <c r="BE28" s="132">
        <f t="shared" si="57"/>
        <v>2479183.5433382578</v>
      </c>
      <c r="BF28" s="132">
        <f t="shared" si="57"/>
        <v>2377251.1231048978</v>
      </c>
      <c r="BG28" s="132">
        <f t="shared" si="57"/>
        <v>2377251.1231048978</v>
      </c>
      <c r="BH28" s="132">
        <f t="shared" si="57"/>
        <v>1631583.3842592766</v>
      </c>
      <c r="BI28" s="132">
        <f t="shared" si="57"/>
        <v>2254614.9477184368</v>
      </c>
      <c r="BJ28" s="132">
        <f t="shared" si="57"/>
        <v>-745667.73884562112</v>
      </c>
      <c r="BK28" s="133"/>
      <c r="BM28" s="132">
        <f t="shared" ref="BM28:CD28" si="58">SUM(BM20:BM27)</f>
        <v>2377251.1300000004</v>
      </c>
      <c r="BN28" s="132">
        <f t="shared" si="58"/>
        <v>2623449.79</v>
      </c>
      <c r="BO28" s="132">
        <f t="shared" si="58"/>
        <v>2409080.4508154257</v>
      </c>
      <c r="BP28" s="132">
        <f t="shared" si="58"/>
        <v>3292202.9787237169</v>
      </c>
      <c r="BQ28" s="132">
        <f t="shared" si="58"/>
        <v>3355848.1336885169</v>
      </c>
      <c r="BR28" s="132">
        <f t="shared" si="58"/>
        <v>2145782.8014604384</v>
      </c>
      <c r="BS28" s="132">
        <f t="shared" si="58"/>
        <v>0</v>
      </c>
      <c r="BT28" s="132">
        <f t="shared" si="58"/>
        <v>3472449.5014604377</v>
      </c>
      <c r="BU28" s="132">
        <f t="shared" si="58"/>
        <v>3016389.7605451611</v>
      </c>
      <c r="BV28" s="132">
        <f t="shared" si="58"/>
        <v>3072655.8009200003</v>
      </c>
      <c r="BW28" s="132">
        <f t="shared" si="58"/>
        <v>3022202.4414604371</v>
      </c>
      <c r="BX28" s="132">
        <f t="shared" si="58"/>
        <v>3552779.3314604368</v>
      </c>
      <c r="BY28" s="132">
        <f t="shared" si="58"/>
        <v>4202321.2614604384</v>
      </c>
      <c r="BZ28" s="132">
        <f t="shared" si="58"/>
        <v>3192340.0777627374</v>
      </c>
      <c r="CA28" s="132">
        <f t="shared" si="58"/>
        <v>3192340.0777627374</v>
      </c>
      <c r="CB28" s="132">
        <f t="shared" si="58"/>
        <v>2377251.1300000004</v>
      </c>
      <c r="CC28" s="132">
        <f t="shared" si="58"/>
        <v>3472449.5014604377</v>
      </c>
      <c r="CD28" s="132">
        <f t="shared" si="58"/>
        <v>815088.94776273705</v>
      </c>
    </row>
    <row r="29" spans="3:82" ht="15" thickTop="1" x14ac:dyDescent="0.35">
      <c r="D29" s="116" t="s">
        <v>128</v>
      </c>
      <c r="E29" s="134"/>
      <c r="F29" s="3"/>
      <c r="G29" s="3"/>
      <c r="H29" s="3"/>
      <c r="I29" s="3"/>
      <c r="J29" s="3"/>
      <c r="K29" s="135"/>
      <c r="L29" s="3"/>
      <c r="M29" s="3"/>
      <c r="N29" s="3"/>
      <c r="O29" s="3"/>
      <c r="P29" s="3"/>
      <c r="Q29" s="3"/>
      <c r="R29" s="3"/>
      <c r="T29" s="134"/>
      <c r="U29" s="134"/>
      <c r="V29" s="134"/>
      <c r="W29" s="134"/>
      <c r="Y29" s="134"/>
      <c r="Z29" s="3"/>
      <c r="AA29" s="3"/>
      <c r="AB29" s="3"/>
      <c r="AC29" s="3"/>
      <c r="AD29" s="3"/>
      <c r="AE29" s="135"/>
      <c r="AF29" s="3"/>
      <c r="AG29" s="3"/>
      <c r="AH29" s="3"/>
      <c r="AI29" s="3"/>
      <c r="AJ29" s="3"/>
      <c r="AK29" s="3"/>
      <c r="AL29" s="3"/>
      <c r="AN29" s="134"/>
      <c r="AO29" s="134"/>
      <c r="AP29" s="134"/>
      <c r="AS29" s="134"/>
      <c r="AT29" s="3"/>
      <c r="AU29" s="3"/>
      <c r="AV29" s="3"/>
      <c r="AW29" s="3"/>
      <c r="AX29" s="3"/>
      <c r="AY29" s="135"/>
      <c r="AZ29" s="3"/>
      <c r="BA29" s="3"/>
      <c r="BB29" s="3"/>
      <c r="BC29" s="3"/>
      <c r="BD29" s="3"/>
      <c r="BE29" s="3"/>
      <c r="BF29" s="3"/>
      <c r="BH29" s="134"/>
      <c r="BI29" s="134"/>
      <c r="BJ29" s="134"/>
      <c r="BK29" s="134"/>
      <c r="BM29" s="134"/>
      <c r="BN29" s="3"/>
      <c r="BO29" s="3"/>
      <c r="BP29" s="3"/>
      <c r="BQ29" s="3"/>
      <c r="BR29" s="3"/>
      <c r="BT29" s="135"/>
      <c r="BU29" s="3"/>
      <c r="BV29" s="3"/>
      <c r="BW29" s="3"/>
      <c r="BX29" s="3"/>
      <c r="BY29" s="3"/>
      <c r="BZ29" s="3"/>
      <c r="CB29" s="134"/>
      <c r="CC29" s="134"/>
      <c r="CD29" s="134"/>
    </row>
    <row r="30" spans="3:82" x14ac:dyDescent="0.35">
      <c r="K30" s="136"/>
      <c r="AE30" s="136"/>
      <c r="AS30" s="139">
        <f>AS15-AS28</f>
        <v>-4.259276669472456E-3</v>
      </c>
      <c r="AT30" s="139">
        <f t="shared" ref="AT30:BG30" si="59">AT15-AT28</f>
        <v>-4.2592764366418123E-3</v>
      </c>
      <c r="AU30" s="139">
        <f t="shared" si="59"/>
        <v>-4.2592762038111687E-3</v>
      </c>
      <c r="AV30" s="139">
        <f t="shared" si="59"/>
        <v>-7.8369863331317902E-3</v>
      </c>
      <c r="AW30" s="139">
        <f t="shared" si="59"/>
        <v>-6.4619272015988827E-3</v>
      </c>
      <c r="AX30" s="139">
        <f t="shared" si="59"/>
        <v>-7.718436885625124E-3</v>
      </c>
      <c r="AY30" s="139">
        <f t="shared" si="59"/>
        <v>0</v>
      </c>
      <c r="AZ30" s="139">
        <f t="shared" si="59"/>
        <v>-7.718436885625124E-3</v>
      </c>
      <c r="BA30" s="139">
        <f t="shared" si="59"/>
        <v>-22339.154072686564</v>
      </c>
      <c r="BB30" s="139">
        <f t="shared" si="59"/>
        <v>-43319.166956375353</v>
      </c>
      <c r="BC30" s="139">
        <f t="shared" si="59"/>
        <v>-60054.0073596281</v>
      </c>
      <c r="BD30" s="139">
        <f t="shared" si="59"/>
        <v>-82456.388144475408</v>
      </c>
      <c r="BE30" s="139">
        <f t="shared" si="59"/>
        <v>-101101.20333825797</v>
      </c>
      <c r="BF30" s="139">
        <f t="shared" si="59"/>
        <v>-20856.083104897756</v>
      </c>
      <c r="BG30" s="139">
        <f t="shared" si="59"/>
        <v>-20856.083104897756</v>
      </c>
      <c r="BH30"/>
      <c r="BI30"/>
      <c r="BJ30"/>
      <c r="BM30" s="139">
        <f t="shared" ref="BM30:BZ30" si="60">BM15-BM28</f>
        <v>-20856.090000000317</v>
      </c>
      <c r="BN30" s="139">
        <f t="shared" si="60"/>
        <v>-41710.879999999888</v>
      </c>
      <c r="BO30" s="139">
        <f t="shared" si="60"/>
        <v>9507.8291845745407</v>
      </c>
      <c r="BP30" s="139">
        <f t="shared" si="60"/>
        <v>-5554.3487237170339</v>
      </c>
      <c r="BQ30" s="139">
        <f t="shared" si="60"/>
        <v>-17895.603688516654</v>
      </c>
      <c r="BR30" s="139">
        <f t="shared" si="60"/>
        <v>-16989.021460438613</v>
      </c>
      <c r="BS30" s="139">
        <f t="shared" si="60"/>
        <v>0</v>
      </c>
      <c r="BT30" s="139">
        <f t="shared" si="60"/>
        <v>-1.4604385942220688E-3</v>
      </c>
      <c r="BU30" s="139">
        <f t="shared" si="60"/>
        <v>0.30945483921095729</v>
      </c>
      <c r="BV30" s="139">
        <f t="shared" si="60"/>
        <v>-0.80091999983415008</v>
      </c>
      <c r="BW30" s="139">
        <f t="shared" si="60"/>
        <v>-1.1014604372903705</v>
      </c>
      <c r="BX30" s="139">
        <f t="shared" si="60"/>
        <v>-1.4604367315769196E-3</v>
      </c>
      <c r="BY30" s="139">
        <f t="shared" si="60"/>
        <v>-1.4604385942220688E-3</v>
      </c>
      <c r="BZ30" s="139">
        <f t="shared" si="60"/>
        <v>2.2372626699507236E-3</v>
      </c>
    </row>
    <row r="31" spans="3:82" ht="14.5" customHeight="1" x14ac:dyDescent="0.35">
      <c r="C31" s="241" t="s">
        <v>107</v>
      </c>
      <c r="D31" s="241"/>
    </row>
    <row r="32" spans="3:82" s="121" customFormat="1" ht="29" x14ac:dyDescent="0.35">
      <c r="E32" s="122">
        <f t="shared" ref="E32:R32" si="61">E6</f>
        <v>42004</v>
      </c>
      <c r="F32" s="122">
        <f t="shared" si="61"/>
        <v>42035</v>
      </c>
      <c r="G32" s="122">
        <f t="shared" si="61"/>
        <v>42063</v>
      </c>
      <c r="H32" s="122">
        <f t="shared" si="61"/>
        <v>42094</v>
      </c>
      <c r="I32" s="122">
        <f t="shared" si="61"/>
        <v>42124</v>
      </c>
      <c r="J32" s="122">
        <f t="shared" si="61"/>
        <v>42155</v>
      </c>
      <c r="K32" s="123" t="str">
        <f t="shared" si="61"/>
        <v>COS Disposition</v>
      </c>
      <c r="L32" s="122">
        <f t="shared" si="61"/>
        <v>42185</v>
      </c>
      <c r="M32" s="122">
        <f t="shared" si="61"/>
        <v>42216</v>
      </c>
      <c r="N32" s="122">
        <f t="shared" si="61"/>
        <v>42247</v>
      </c>
      <c r="O32" s="122">
        <f t="shared" si="61"/>
        <v>42277</v>
      </c>
      <c r="P32" s="122">
        <f t="shared" si="61"/>
        <v>42308</v>
      </c>
      <c r="Q32" s="122">
        <f t="shared" si="61"/>
        <v>42338</v>
      </c>
      <c r="R32" s="122">
        <f t="shared" si="61"/>
        <v>42369</v>
      </c>
      <c r="S32" s="124" t="s">
        <v>109</v>
      </c>
      <c r="T32" s="125" t="s">
        <v>110</v>
      </c>
      <c r="U32" s="125" t="s">
        <v>108</v>
      </c>
      <c r="V32" s="125" t="s">
        <v>111</v>
      </c>
      <c r="W32" s="126"/>
      <c r="X32" s="117"/>
      <c r="Y32" s="122">
        <f t="shared" ref="Y32:AL32" si="62">Y6</f>
        <v>42369</v>
      </c>
      <c r="Z32" s="122">
        <f t="shared" si="62"/>
        <v>42400</v>
      </c>
      <c r="AA32" s="122">
        <f t="shared" si="62"/>
        <v>42429</v>
      </c>
      <c r="AB32" s="122">
        <f t="shared" si="62"/>
        <v>42460</v>
      </c>
      <c r="AC32" s="122">
        <f t="shared" si="62"/>
        <v>42490</v>
      </c>
      <c r="AD32" s="122">
        <f t="shared" si="62"/>
        <v>42521</v>
      </c>
      <c r="AE32" s="123" t="str">
        <f t="shared" si="62"/>
        <v>COS Disposition</v>
      </c>
      <c r="AF32" s="122">
        <f t="shared" si="62"/>
        <v>42551</v>
      </c>
      <c r="AG32" s="122">
        <f t="shared" si="62"/>
        <v>42582</v>
      </c>
      <c r="AH32" s="122">
        <f t="shared" si="62"/>
        <v>42613</v>
      </c>
      <c r="AI32" s="122">
        <f t="shared" si="62"/>
        <v>42643</v>
      </c>
      <c r="AJ32" s="122">
        <f t="shared" si="62"/>
        <v>42674</v>
      </c>
      <c r="AK32" s="122">
        <f t="shared" si="62"/>
        <v>42704</v>
      </c>
      <c r="AL32" s="122">
        <f t="shared" si="62"/>
        <v>42735</v>
      </c>
      <c r="AM32" s="124" t="s">
        <v>109</v>
      </c>
      <c r="AN32" s="125" t="s">
        <v>110</v>
      </c>
      <c r="AO32" s="125" t="s">
        <v>108</v>
      </c>
      <c r="AP32" s="125" t="s">
        <v>111</v>
      </c>
      <c r="AQ32" s="116"/>
      <c r="AR32" s="117"/>
      <c r="AS32" s="122">
        <f t="shared" ref="AS32:BF32" si="63">AS6</f>
        <v>42735</v>
      </c>
      <c r="AT32" s="122">
        <f t="shared" si="63"/>
        <v>42766</v>
      </c>
      <c r="AU32" s="122">
        <f t="shared" si="63"/>
        <v>42794</v>
      </c>
      <c r="AV32" s="122">
        <f t="shared" si="63"/>
        <v>42825</v>
      </c>
      <c r="AW32" s="122">
        <f t="shared" si="63"/>
        <v>42855</v>
      </c>
      <c r="AX32" s="122">
        <f t="shared" si="63"/>
        <v>42886</v>
      </c>
      <c r="AY32" s="123" t="str">
        <f t="shared" si="63"/>
        <v>COS Disposition</v>
      </c>
      <c r="AZ32" s="122">
        <f t="shared" si="63"/>
        <v>42916</v>
      </c>
      <c r="BA32" s="122">
        <f t="shared" si="63"/>
        <v>42947</v>
      </c>
      <c r="BB32" s="122">
        <f t="shared" si="63"/>
        <v>42978</v>
      </c>
      <c r="BC32" s="122">
        <f t="shared" si="63"/>
        <v>43008</v>
      </c>
      <c r="BD32" s="122">
        <f t="shared" si="63"/>
        <v>43039</v>
      </c>
      <c r="BE32" s="122">
        <f t="shared" si="63"/>
        <v>43069</v>
      </c>
      <c r="BF32" s="122">
        <f t="shared" si="63"/>
        <v>43100</v>
      </c>
      <c r="BG32" s="124" t="s">
        <v>109</v>
      </c>
      <c r="BH32" s="125" t="s">
        <v>110</v>
      </c>
      <c r="BI32" s="125" t="s">
        <v>108</v>
      </c>
      <c r="BJ32" s="125" t="s">
        <v>111</v>
      </c>
      <c r="BK32" s="126"/>
      <c r="BL32" s="117"/>
      <c r="BM32" s="122">
        <f t="shared" ref="BM32:BZ32" si="64">BM6</f>
        <v>43100</v>
      </c>
      <c r="BN32" s="122">
        <f t="shared" si="64"/>
        <v>43131</v>
      </c>
      <c r="BO32" s="122">
        <f t="shared" si="64"/>
        <v>43159</v>
      </c>
      <c r="BP32" s="122">
        <f t="shared" si="64"/>
        <v>43190</v>
      </c>
      <c r="BQ32" s="122">
        <f t="shared" si="64"/>
        <v>43220</v>
      </c>
      <c r="BR32" s="122">
        <f t="shared" si="64"/>
        <v>43251</v>
      </c>
      <c r="BS32" s="123" t="str">
        <f t="shared" si="64"/>
        <v>COS Disposition</v>
      </c>
      <c r="BT32" s="122">
        <f t="shared" si="64"/>
        <v>43281</v>
      </c>
      <c r="BU32" s="122">
        <f t="shared" si="64"/>
        <v>43312</v>
      </c>
      <c r="BV32" s="122">
        <f t="shared" si="64"/>
        <v>43343</v>
      </c>
      <c r="BW32" s="122">
        <f t="shared" si="64"/>
        <v>43373</v>
      </c>
      <c r="BX32" s="122">
        <f t="shared" si="64"/>
        <v>43404</v>
      </c>
      <c r="BY32" s="122">
        <f t="shared" si="64"/>
        <v>43434</v>
      </c>
      <c r="BZ32" s="122">
        <f t="shared" si="64"/>
        <v>43465</v>
      </c>
      <c r="CA32" s="124" t="s">
        <v>109</v>
      </c>
      <c r="CB32" s="125" t="s">
        <v>110</v>
      </c>
      <c r="CC32" s="125" t="s">
        <v>108</v>
      </c>
      <c r="CD32" s="125" t="s">
        <v>111</v>
      </c>
    </row>
    <row r="33" spans="3:84" x14ac:dyDescent="0.35">
      <c r="C33" s="116" t="s">
        <v>129</v>
      </c>
      <c r="D33" s="116" t="s">
        <v>113</v>
      </c>
      <c r="E33" s="128">
        <v>11604.07</v>
      </c>
      <c r="F33" s="128">
        <v>665.52999999999975</v>
      </c>
      <c r="G33" s="128">
        <v>258.99</v>
      </c>
      <c r="H33" s="128">
        <v>239.26</v>
      </c>
      <c r="I33" s="128">
        <v>291.39</v>
      </c>
      <c r="J33" s="128">
        <v>331.44</v>
      </c>
      <c r="K33" s="128">
        <v>-5635</v>
      </c>
      <c r="L33" s="128">
        <v>511.03</v>
      </c>
      <c r="M33" s="128">
        <v>10.16</v>
      </c>
      <c r="N33" s="128">
        <v>-164.46</v>
      </c>
      <c r="O33" s="128">
        <v>-295.67</v>
      </c>
      <c r="P33" s="128">
        <v>-194.89</v>
      </c>
      <c r="Q33" s="128">
        <v>-202.27</v>
      </c>
      <c r="R33" s="128">
        <v>-50.64</v>
      </c>
      <c r="S33" s="129">
        <f>SUM(E33:R33)</f>
        <v>7368.9399999999978</v>
      </c>
      <c r="T33" s="130">
        <f>E33</f>
        <v>11604.07</v>
      </c>
      <c r="U33" s="130">
        <f>K33</f>
        <v>-5635</v>
      </c>
      <c r="V33" s="130">
        <f>S33-T33-U33</f>
        <v>1399.8699999999981</v>
      </c>
      <c r="W33" s="130"/>
      <c r="Y33" s="128">
        <v>7368.94</v>
      </c>
      <c r="Z33" s="128">
        <v>-311.07999999999993</v>
      </c>
      <c r="AA33" s="128">
        <v>-479.89</v>
      </c>
      <c r="AB33" s="128">
        <v>-295.95999999999998</v>
      </c>
      <c r="AC33" s="128">
        <v>-327.42</v>
      </c>
      <c r="AD33" s="128">
        <v>-271.93</v>
      </c>
      <c r="AE33" s="128">
        <v>-8154</v>
      </c>
      <c r="AF33" s="128">
        <v>57.56</v>
      </c>
      <c r="AG33" s="128">
        <v>-144.25</v>
      </c>
      <c r="AH33" s="128">
        <v>-641.6</v>
      </c>
      <c r="AI33" s="128">
        <v>-225</v>
      </c>
      <c r="AJ33" s="128">
        <v>-447.61</v>
      </c>
      <c r="AK33" s="128">
        <v>-364.8</v>
      </c>
      <c r="AL33" s="128">
        <v>-355.05</v>
      </c>
      <c r="AM33" s="129">
        <f>SUM(Y33:AL33)</f>
        <v>-4592.0900000000011</v>
      </c>
      <c r="AN33" s="130">
        <f>Y33</f>
        <v>7368.94</v>
      </c>
      <c r="AO33" s="130">
        <f>AE33</f>
        <v>-8154</v>
      </c>
      <c r="AP33" s="130">
        <f>AM33-AN33-AO33</f>
        <v>-3807.0300000000007</v>
      </c>
      <c r="AS33" s="128">
        <v>-355.05</v>
      </c>
      <c r="AT33" s="128">
        <v>-640.11</v>
      </c>
      <c r="AU33" s="128">
        <v>-440.92</v>
      </c>
      <c r="AV33" s="128">
        <v>-263.98</v>
      </c>
      <c r="AW33" s="128">
        <v>-486.84</v>
      </c>
      <c r="AX33" s="128">
        <v>-486.53</v>
      </c>
      <c r="AY33" s="128"/>
      <c r="AZ33" s="128">
        <v>0</v>
      </c>
      <c r="BA33" s="128">
        <v>-1330.15</v>
      </c>
      <c r="BB33" s="128">
        <v>-1063.49</v>
      </c>
      <c r="BC33" s="128">
        <v>-726.42</v>
      </c>
      <c r="BD33" s="128">
        <v>-1273.29</v>
      </c>
      <c r="BE33" s="128">
        <v>-1563.72</v>
      </c>
      <c r="BF33" s="128">
        <v>-1113.67</v>
      </c>
      <c r="BG33" s="129">
        <f>SUM(AS33:BF33)</f>
        <v>-9744.17</v>
      </c>
      <c r="BH33" s="130">
        <f>AS33</f>
        <v>-355.05</v>
      </c>
      <c r="BI33" s="130">
        <f>AY33</f>
        <v>0</v>
      </c>
      <c r="BJ33" s="130">
        <f>BG33-BH33-BI33</f>
        <v>-9389.1200000000008</v>
      </c>
      <c r="BK33" s="130"/>
      <c r="BM33" s="128">
        <v>-9744.17</v>
      </c>
      <c r="BN33" s="128">
        <v>7178.29</v>
      </c>
      <c r="BO33" s="128">
        <v>4693.93</v>
      </c>
      <c r="BP33" s="128">
        <v>-7490.48</v>
      </c>
      <c r="BQ33" s="128">
        <v>-1846.37</v>
      </c>
      <c r="BR33" s="128">
        <v>-1707.72</v>
      </c>
      <c r="BS33" s="128"/>
      <c r="BT33" s="128">
        <v>-899.19</v>
      </c>
      <c r="BU33" s="128">
        <v>-1536.99</v>
      </c>
      <c r="BV33" s="128">
        <v>-2449.13</v>
      </c>
      <c r="BW33" s="128">
        <v>-2560.4299999999998</v>
      </c>
      <c r="BX33" s="128">
        <v>-3476.23</v>
      </c>
      <c r="BY33" s="128">
        <v>-2942.95</v>
      </c>
      <c r="BZ33" s="128">
        <v>-2080.77</v>
      </c>
      <c r="CA33" s="129">
        <f>SUM(BM33:BZ33)</f>
        <v>-24862.21</v>
      </c>
      <c r="CB33" s="130">
        <f>BM33</f>
        <v>-9744.17</v>
      </c>
      <c r="CC33" s="130">
        <f>BS33</f>
        <v>0</v>
      </c>
      <c r="CD33" s="130">
        <f>CA33-CB33-CC33</f>
        <v>-15118.039999999999</v>
      </c>
    </row>
    <row r="34" spans="3:84" x14ac:dyDescent="0.35">
      <c r="C34" s="116" t="s">
        <v>130</v>
      </c>
      <c r="D34" s="116" t="s">
        <v>115</v>
      </c>
      <c r="E34" s="128">
        <v>4562.75</v>
      </c>
      <c r="F34" s="128">
        <v>1299.7200000000003</v>
      </c>
      <c r="G34" s="128">
        <v>90.17</v>
      </c>
      <c r="H34" s="128">
        <v>-88.92</v>
      </c>
      <c r="I34" s="128">
        <v>-5.27</v>
      </c>
      <c r="J34" s="128">
        <v>352.47</v>
      </c>
      <c r="K34" s="128">
        <v>-7281</v>
      </c>
      <c r="L34" s="128">
        <v>524.69000000000005</v>
      </c>
      <c r="M34" s="128">
        <v>557.41</v>
      </c>
      <c r="N34" s="128">
        <v>448.99</v>
      </c>
      <c r="O34" s="128">
        <v>512.66</v>
      </c>
      <c r="P34" s="128">
        <v>345</v>
      </c>
      <c r="Q34" s="128">
        <v>355.09</v>
      </c>
      <c r="R34" s="128">
        <v>691.67</v>
      </c>
      <c r="S34" s="129">
        <f t="shared" ref="S34:S40" si="65">SUM(E34:R34)</f>
        <v>2365.4299999999998</v>
      </c>
      <c r="T34" s="130">
        <f t="shared" ref="T34:T40" si="66">E34</f>
        <v>4562.75</v>
      </c>
      <c r="U34" s="130">
        <f t="shared" ref="U34:U40" si="67">K34</f>
        <v>-7281</v>
      </c>
      <c r="V34" s="130">
        <f t="shared" ref="V34:V40" si="68">S34-T34-U34</f>
        <v>5083.68</v>
      </c>
      <c r="W34" s="130"/>
      <c r="Y34" s="128">
        <v>2365.4299999999998</v>
      </c>
      <c r="Z34" s="128">
        <v>753.8</v>
      </c>
      <c r="AA34" s="128">
        <v>234.77</v>
      </c>
      <c r="AB34" s="128">
        <v>378.37</v>
      </c>
      <c r="AC34" s="128">
        <v>462.92</v>
      </c>
      <c r="AD34" s="128">
        <v>587.69000000000005</v>
      </c>
      <c r="AE34" s="128">
        <v>-2567</v>
      </c>
      <c r="AF34" s="128">
        <v>434.2</v>
      </c>
      <c r="AG34" s="128">
        <v>457.42</v>
      </c>
      <c r="AH34" s="128">
        <v>293.57</v>
      </c>
      <c r="AI34" s="128">
        <v>328.63</v>
      </c>
      <c r="AJ34" s="128">
        <v>446.81</v>
      </c>
      <c r="AK34" s="128">
        <v>646.48</v>
      </c>
      <c r="AL34" s="128">
        <v>809.91</v>
      </c>
      <c r="AM34" s="129">
        <f t="shared" ref="AM34:AM40" si="69">SUM(Y34:AL34)</f>
        <v>5633</v>
      </c>
      <c r="AN34" s="130">
        <f t="shared" ref="AN34:AN40" si="70">Y34</f>
        <v>2365.4299999999998</v>
      </c>
      <c r="AO34" s="130">
        <f t="shared" ref="AO34:AO40" si="71">AE34</f>
        <v>-2567</v>
      </c>
      <c r="AP34" s="130">
        <f t="shared" ref="AP34:AP40" si="72">AM34-AN34-AO34</f>
        <v>5834.57</v>
      </c>
      <c r="AS34" s="128">
        <v>809.91</v>
      </c>
      <c r="AT34" s="128">
        <v>642.67999999999995</v>
      </c>
      <c r="AU34" s="128">
        <v>425.28</v>
      </c>
      <c r="AV34" s="128">
        <v>606.36</v>
      </c>
      <c r="AW34" s="128">
        <v>488.01</v>
      </c>
      <c r="AX34" s="128">
        <v>710.49</v>
      </c>
      <c r="AY34" s="128"/>
      <c r="AZ34" s="128">
        <v>0</v>
      </c>
      <c r="BA34" s="128">
        <v>1992.94</v>
      </c>
      <c r="BB34" s="128">
        <v>1191.57</v>
      </c>
      <c r="BC34" s="128">
        <v>1120.67</v>
      </c>
      <c r="BD34" s="128">
        <v>1208.74</v>
      </c>
      <c r="BE34" s="128">
        <v>1335.12</v>
      </c>
      <c r="BF34" s="128">
        <v>1394.49</v>
      </c>
      <c r="BG34" s="129">
        <f t="shared" ref="BG34:BG40" si="73">SUM(AS34:BF34)</f>
        <v>11926.26</v>
      </c>
      <c r="BH34" s="130">
        <f t="shared" ref="BH34:BH40" si="74">AS34</f>
        <v>809.91</v>
      </c>
      <c r="BI34" s="130">
        <f t="shared" ref="BI34:BI40" si="75">AY34</f>
        <v>0</v>
      </c>
      <c r="BJ34" s="130">
        <f t="shared" ref="BJ34:BJ40" si="76">BG34-BH34-BI34</f>
        <v>11116.35</v>
      </c>
      <c r="BK34" s="130"/>
      <c r="BM34" s="128">
        <v>11926.26</v>
      </c>
      <c r="BN34" s="128">
        <v>-9301.7999999999993</v>
      </c>
      <c r="BO34" s="128">
        <v>-6630.76</v>
      </c>
      <c r="BP34" s="128">
        <v>9134.9699999999993</v>
      </c>
      <c r="BQ34" s="128">
        <v>2593.2600000000002</v>
      </c>
      <c r="BR34" s="128">
        <v>2536.2399999999998</v>
      </c>
      <c r="BS34" s="128"/>
      <c r="BT34" s="128">
        <v>276.82</v>
      </c>
      <c r="BU34" s="128">
        <v>2580.9299999999998</v>
      </c>
      <c r="BV34" s="128">
        <v>2551.37</v>
      </c>
      <c r="BW34" s="128">
        <v>2340.31</v>
      </c>
      <c r="BX34" s="128">
        <v>2704.39</v>
      </c>
      <c r="BY34" s="128">
        <v>3233.65</v>
      </c>
      <c r="BZ34" s="128">
        <v>3690.23</v>
      </c>
      <c r="CA34" s="129">
        <f t="shared" ref="CA34:CA40" si="77">SUM(BM34:BZ34)</f>
        <v>27635.870000000003</v>
      </c>
      <c r="CB34" s="130">
        <f t="shared" ref="CB34:CB40" si="78">BM34</f>
        <v>11926.26</v>
      </c>
      <c r="CC34" s="130">
        <f t="shared" ref="CC34:CC40" si="79">BS34</f>
        <v>0</v>
      </c>
      <c r="CD34" s="130">
        <f t="shared" ref="CD34:CD35" si="80">CA34-CB34-CC34</f>
        <v>15709.610000000002</v>
      </c>
    </row>
    <row r="35" spans="3:84" x14ac:dyDescent="0.35">
      <c r="C35" s="116" t="s">
        <v>131</v>
      </c>
      <c r="D35" s="116" t="s">
        <v>117</v>
      </c>
      <c r="E35" s="128">
        <v>-16784.39</v>
      </c>
      <c r="F35" s="128">
        <v>-644.9900000000016</v>
      </c>
      <c r="G35" s="128">
        <v>0.98</v>
      </c>
      <c r="H35" s="128">
        <v>1.44</v>
      </c>
      <c r="I35" s="128">
        <v>-39.950000000000003</v>
      </c>
      <c r="J35" s="128">
        <v>-100.72</v>
      </c>
      <c r="K35" s="128">
        <v>18858</v>
      </c>
      <c r="L35" s="128">
        <v>-138.43</v>
      </c>
      <c r="M35" s="128">
        <v>-180.41</v>
      </c>
      <c r="N35" s="128">
        <v>-229.14</v>
      </c>
      <c r="O35" s="128">
        <v>-256.77</v>
      </c>
      <c r="P35" s="128">
        <v>-247.03</v>
      </c>
      <c r="Q35" s="128">
        <v>-256.82</v>
      </c>
      <c r="R35" s="128">
        <v>-445.67</v>
      </c>
      <c r="S35" s="129">
        <f t="shared" si="65"/>
        <v>-463.90000000000464</v>
      </c>
      <c r="T35" s="130">
        <f t="shared" si="66"/>
        <v>-16784.39</v>
      </c>
      <c r="U35" s="130">
        <f t="shared" si="67"/>
        <v>18858</v>
      </c>
      <c r="V35" s="130">
        <f t="shared" si="68"/>
        <v>-2537.5100000000057</v>
      </c>
      <c r="W35" s="130"/>
      <c r="Y35" s="128">
        <v>-463.9</v>
      </c>
      <c r="Z35" s="128">
        <v>-486.44999999999982</v>
      </c>
      <c r="AA35" s="128">
        <v>-459.19</v>
      </c>
      <c r="AB35" s="128">
        <v>-605.87</v>
      </c>
      <c r="AC35" s="128">
        <v>-491.63</v>
      </c>
      <c r="AD35" s="128">
        <v>-656.51</v>
      </c>
      <c r="AE35" s="128">
        <v>-2148</v>
      </c>
      <c r="AF35" s="128">
        <v>-698.98</v>
      </c>
      <c r="AG35" s="128">
        <v>-751.7</v>
      </c>
      <c r="AH35" s="128">
        <v>-758.23</v>
      </c>
      <c r="AI35" s="128">
        <v>-629.75</v>
      </c>
      <c r="AJ35" s="128">
        <v>-646.98</v>
      </c>
      <c r="AK35" s="128">
        <v>-640.15</v>
      </c>
      <c r="AL35" s="128">
        <v>-773.43</v>
      </c>
      <c r="AM35" s="129">
        <f t="shared" si="69"/>
        <v>-10210.77</v>
      </c>
      <c r="AN35" s="130">
        <f t="shared" si="70"/>
        <v>-463.9</v>
      </c>
      <c r="AO35" s="130">
        <f t="shared" si="71"/>
        <v>-2148</v>
      </c>
      <c r="AP35" s="130">
        <f t="shared" si="72"/>
        <v>-7598.8700000000008</v>
      </c>
      <c r="AS35" s="128">
        <v>-773.43</v>
      </c>
      <c r="AT35" s="128">
        <v>-789.24</v>
      </c>
      <c r="AU35" s="128">
        <v>-702.56</v>
      </c>
      <c r="AV35" s="128">
        <v>-801.84</v>
      </c>
      <c r="AW35" s="128">
        <v>-824.18</v>
      </c>
      <c r="AX35" s="128">
        <v>-852.12</v>
      </c>
      <c r="AY35" s="128"/>
      <c r="AZ35" s="128">
        <v>0</v>
      </c>
      <c r="BA35" s="128">
        <v>-1982.93</v>
      </c>
      <c r="BB35" s="128">
        <v>-1039.2</v>
      </c>
      <c r="BC35" s="128">
        <v>-915.71</v>
      </c>
      <c r="BD35" s="128">
        <v>-1299.48</v>
      </c>
      <c r="BE35" s="128">
        <v>-1255.18</v>
      </c>
      <c r="BF35" s="128">
        <v>-1476.57</v>
      </c>
      <c r="BG35" s="129">
        <f t="shared" si="73"/>
        <v>-12712.439999999999</v>
      </c>
      <c r="BH35" s="130">
        <f t="shared" si="74"/>
        <v>-773.43</v>
      </c>
      <c r="BI35" s="130">
        <f t="shared" si="75"/>
        <v>0</v>
      </c>
      <c r="BJ35" s="130">
        <f t="shared" si="76"/>
        <v>-11939.009999999998</v>
      </c>
      <c r="BK35" s="130"/>
      <c r="BM35" s="128">
        <v>-12712.44</v>
      </c>
      <c r="BN35" s="128">
        <v>9809.2800000000007</v>
      </c>
      <c r="BO35" s="128">
        <v>7274.36</v>
      </c>
      <c r="BP35" s="128">
        <v>-9921.2900000000009</v>
      </c>
      <c r="BQ35" s="128">
        <v>-1700.92</v>
      </c>
      <c r="BR35" s="128">
        <v>12985.11</v>
      </c>
      <c r="BS35" s="128"/>
      <c r="BT35" s="128">
        <v>-1129.32</v>
      </c>
      <c r="BU35" s="128">
        <v>-1102.94</v>
      </c>
      <c r="BV35" s="128">
        <v>-983.81</v>
      </c>
      <c r="BW35" s="128">
        <v>-918.77</v>
      </c>
      <c r="BX35" s="128">
        <v>-1053.8</v>
      </c>
      <c r="BY35" s="128">
        <v>-979.48</v>
      </c>
      <c r="BZ35" s="128">
        <v>-1201.4100000000001</v>
      </c>
      <c r="CA35" s="129">
        <f t="shared" si="77"/>
        <v>-1635.4300000000003</v>
      </c>
      <c r="CB35" s="130">
        <f t="shared" si="78"/>
        <v>-12712.44</v>
      </c>
      <c r="CC35" s="130">
        <f t="shared" si="79"/>
        <v>0</v>
      </c>
      <c r="CD35" s="130">
        <f t="shared" si="80"/>
        <v>11077.01</v>
      </c>
    </row>
    <row r="36" spans="3:84" x14ac:dyDescent="0.35">
      <c r="C36" s="131" t="s">
        <v>130</v>
      </c>
      <c r="D36" s="131" t="s">
        <v>118</v>
      </c>
      <c r="E36" s="128"/>
      <c r="F36" s="128"/>
      <c r="G36" s="128"/>
      <c r="H36" s="128"/>
      <c r="I36" s="128"/>
      <c r="J36" s="128"/>
      <c r="K36" s="128">
        <v>0</v>
      </c>
      <c r="L36" s="128"/>
      <c r="M36" s="128"/>
      <c r="N36" s="128"/>
      <c r="O36" s="128"/>
      <c r="P36" s="128"/>
      <c r="Q36" s="128"/>
      <c r="R36" s="128"/>
      <c r="S36" s="129">
        <f t="shared" si="65"/>
        <v>0</v>
      </c>
      <c r="T36" s="130">
        <f t="shared" si="66"/>
        <v>0</v>
      </c>
      <c r="U36" s="130">
        <f t="shared" si="67"/>
        <v>0</v>
      </c>
      <c r="V36" s="130">
        <f t="shared" si="68"/>
        <v>0</v>
      </c>
      <c r="W36" s="130"/>
      <c r="Y36" s="128"/>
      <c r="Z36" s="128"/>
      <c r="AA36" s="128"/>
      <c r="AB36" s="128"/>
      <c r="AC36" s="128"/>
      <c r="AD36" s="128"/>
      <c r="AE36" s="128">
        <v>0</v>
      </c>
      <c r="AF36" s="128"/>
      <c r="AG36" s="128"/>
      <c r="AH36" s="128"/>
      <c r="AI36" s="128"/>
      <c r="AJ36" s="128"/>
      <c r="AK36" s="128"/>
      <c r="AL36" s="128"/>
      <c r="AM36" s="129">
        <f t="shared" si="69"/>
        <v>0</v>
      </c>
      <c r="AN36" s="130">
        <f t="shared" si="70"/>
        <v>0</v>
      </c>
      <c r="AO36" s="130">
        <f t="shared" si="71"/>
        <v>0</v>
      </c>
      <c r="AP36" s="130">
        <f t="shared" si="72"/>
        <v>0</v>
      </c>
      <c r="AS36" s="128" t="s">
        <v>132</v>
      </c>
      <c r="AT36" s="128">
        <v>0</v>
      </c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9">
        <f t="shared" si="73"/>
        <v>0</v>
      </c>
      <c r="BH36" s="130" t="str">
        <f t="shared" si="74"/>
        <v>No Carrying Charges</v>
      </c>
      <c r="BI36" s="130">
        <f t="shared" si="75"/>
        <v>0</v>
      </c>
      <c r="BJ36" s="130">
        <v>0</v>
      </c>
      <c r="BK36" s="130"/>
      <c r="BM36" s="128"/>
      <c r="BN36" s="128"/>
      <c r="BO36" s="128"/>
      <c r="BP36" s="128"/>
      <c r="BQ36" s="128"/>
      <c r="BR36" s="128"/>
      <c r="BS36" s="128"/>
      <c r="BT36" s="128"/>
      <c r="BU36" s="128"/>
      <c r="BV36" s="128"/>
      <c r="BW36" s="128"/>
      <c r="BX36" s="128"/>
      <c r="BY36" s="128"/>
      <c r="BZ36" s="128"/>
      <c r="CA36" s="129">
        <f t="shared" si="77"/>
        <v>0</v>
      </c>
      <c r="CB36" s="130">
        <f t="shared" si="78"/>
        <v>0</v>
      </c>
      <c r="CC36" s="130">
        <f t="shared" si="79"/>
        <v>0</v>
      </c>
      <c r="CD36" s="130">
        <v>0</v>
      </c>
    </row>
    <row r="37" spans="3:84" x14ac:dyDescent="0.35">
      <c r="C37" s="116" t="s">
        <v>133</v>
      </c>
      <c r="D37" s="116" t="s">
        <v>120</v>
      </c>
      <c r="E37" s="128">
        <v>9226.8799999999992</v>
      </c>
      <c r="F37" s="128">
        <v>428.57999999999993</v>
      </c>
      <c r="G37" s="128">
        <v>-132.66999999999999</v>
      </c>
      <c r="H37" s="128">
        <v>-131.06</v>
      </c>
      <c r="I37" s="128">
        <v>-125.12</v>
      </c>
      <c r="J37" s="128">
        <v>-137.26</v>
      </c>
      <c r="K37" s="128">
        <v>-9965</v>
      </c>
      <c r="L37" s="128">
        <v>-131.82</v>
      </c>
      <c r="M37" s="128">
        <v>-119.63</v>
      </c>
      <c r="N37" s="128">
        <v>-99.52</v>
      </c>
      <c r="O37" s="128">
        <v>-59.28</v>
      </c>
      <c r="P37" s="128">
        <v>-3.15</v>
      </c>
      <c r="Q37" s="128">
        <v>-9.1</v>
      </c>
      <c r="R37" s="128">
        <v>16.11</v>
      </c>
      <c r="S37" s="129">
        <f t="shared" si="65"/>
        <v>-1242.0400000000013</v>
      </c>
      <c r="T37" s="130">
        <f t="shared" si="66"/>
        <v>9226.8799999999992</v>
      </c>
      <c r="U37" s="130">
        <f t="shared" si="67"/>
        <v>-9965</v>
      </c>
      <c r="V37" s="130">
        <f t="shared" si="68"/>
        <v>-503.92000000000007</v>
      </c>
      <c r="W37" s="130"/>
      <c r="Y37" s="128">
        <v>-1242.04</v>
      </c>
      <c r="Z37" s="128">
        <v>-3.5399999999999636</v>
      </c>
      <c r="AA37" s="128">
        <v>113.49</v>
      </c>
      <c r="AB37" s="128">
        <v>203.53</v>
      </c>
      <c r="AC37" s="128">
        <v>186.35</v>
      </c>
      <c r="AD37" s="128">
        <v>230.99</v>
      </c>
      <c r="AE37" s="128">
        <v>1891</v>
      </c>
      <c r="AF37" s="128">
        <v>365.82</v>
      </c>
      <c r="AG37" s="128">
        <v>380.63</v>
      </c>
      <c r="AH37" s="128">
        <v>276.66000000000003</v>
      </c>
      <c r="AI37" s="128">
        <v>459.47</v>
      </c>
      <c r="AJ37" s="128">
        <v>542.04999999999995</v>
      </c>
      <c r="AK37" s="128">
        <v>611.33000000000004</v>
      </c>
      <c r="AL37" s="128">
        <v>596.42999999999995</v>
      </c>
      <c r="AM37" s="129">
        <f t="shared" si="69"/>
        <v>4612.17</v>
      </c>
      <c r="AN37" s="130">
        <f t="shared" si="70"/>
        <v>-1242.04</v>
      </c>
      <c r="AO37" s="130">
        <f t="shared" si="71"/>
        <v>1891</v>
      </c>
      <c r="AP37" s="130">
        <f t="shared" si="72"/>
        <v>3963.21</v>
      </c>
      <c r="AS37" s="128">
        <v>596.42999999999995</v>
      </c>
      <c r="AT37" s="128">
        <v>765.36</v>
      </c>
      <c r="AU37" s="128">
        <v>698.9</v>
      </c>
      <c r="AV37" s="128">
        <v>796.05</v>
      </c>
      <c r="AW37" s="128">
        <v>773.6</v>
      </c>
      <c r="AX37" s="128">
        <v>815.56</v>
      </c>
      <c r="AY37" s="128"/>
      <c r="AZ37" s="128">
        <v>0</v>
      </c>
      <c r="BA37" s="128">
        <v>1680.39</v>
      </c>
      <c r="BB37" s="128">
        <v>906.4</v>
      </c>
      <c r="BC37" s="128">
        <v>773.73</v>
      </c>
      <c r="BD37" s="128">
        <v>1342.11</v>
      </c>
      <c r="BE37" s="128">
        <v>1364.98</v>
      </c>
      <c r="BF37" s="128">
        <v>1341.08</v>
      </c>
      <c r="BG37" s="129">
        <f t="shared" si="73"/>
        <v>11854.59</v>
      </c>
      <c r="BH37" s="130">
        <f t="shared" si="74"/>
        <v>596.42999999999995</v>
      </c>
      <c r="BI37" s="130">
        <f t="shared" si="75"/>
        <v>0</v>
      </c>
      <c r="BJ37" s="130">
        <f t="shared" si="76"/>
        <v>11258.16</v>
      </c>
      <c r="BK37" s="130"/>
      <c r="BM37" s="128">
        <v>11854.59</v>
      </c>
      <c r="BN37" s="128">
        <v>-9068.7099999999991</v>
      </c>
      <c r="BO37" s="128">
        <v>-6311.43</v>
      </c>
      <c r="BP37" s="128">
        <v>9238.7999999999993</v>
      </c>
      <c r="BQ37" s="128">
        <v>1910.81</v>
      </c>
      <c r="BR37" s="128">
        <v>-758.36</v>
      </c>
      <c r="BS37" s="128"/>
      <c r="BT37" s="128">
        <v>1872.16</v>
      </c>
      <c r="BU37" s="128">
        <v>1992.12</v>
      </c>
      <c r="BV37" s="128">
        <v>2077.25</v>
      </c>
      <c r="BW37" s="128">
        <v>2130.4299999999998</v>
      </c>
      <c r="BX37" s="128">
        <v>2642.08</v>
      </c>
      <c r="BY37" s="128">
        <v>2558.83</v>
      </c>
      <c r="BZ37" s="128">
        <v>2675.96</v>
      </c>
      <c r="CA37" s="129">
        <f t="shared" si="77"/>
        <v>22814.53</v>
      </c>
      <c r="CB37" s="130">
        <f t="shared" si="78"/>
        <v>11854.59</v>
      </c>
      <c r="CC37" s="130">
        <f t="shared" si="79"/>
        <v>0</v>
      </c>
      <c r="CD37" s="130">
        <f t="shared" ref="CD37:CD40" si="81">CA37-CB37-CC37</f>
        <v>10959.939999999999</v>
      </c>
    </row>
    <row r="38" spans="3:84" x14ac:dyDescent="0.35">
      <c r="C38" s="116" t="s">
        <v>134</v>
      </c>
      <c r="D38" s="116" t="s">
        <v>122</v>
      </c>
      <c r="E38" s="128">
        <v>5030.42</v>
      </c>
      <c r="F38" s="128">
        <v>184.72999999999956</v>
      </c>
      <c r="G38" s="128">
        <v>-205.4</v>
      </c>
      <c r="H38" s="128">
        <v>-200.56</v>
      </c>
      <c r="I38" s="128">
        <v>-160.24</v>
      </c>
      <c r="J38" s="128">
        <v>-164.72</v>
      </c>
      <c r="K38" s="128">
        <v>-6153</v>
      </c>
      <c r="L38" s="128">
        <v>-156.04</v>
      </c>
      <c r="M38" s="128">
        <v>-144.01</v>
      </c>
      <c r="N38" s="128">
        <v>-125.53</v>
      </c>
      <c r="O38" s="128">
        <v>-88.46</v>
      </c>
      <c r="P38" s="128">
        <v>-40.28</v>
      </c>
      <c r="Q38" s="128">
        <v>-3.58</v>
      </c>
      <c r="R38" s="128">
        <v>-5.62</v>
      </c>
      <c r="S38" s="129">
        <f t="shared" si="65"/>
        <v>-2232.2900000000004</v>
      </c>
      <c r="T38" s="130">
        <f t="shared" si="66"/>
        <v>5030.42</v>
      </c>
      <c r="U38" s="130">
        <f t="shared" si="67"/>
        <v>-6153</v>
      </c>
      <c r="V38" s="130">
        <f t="shared" si="68"/>
        <v>-1109.7100000000009</v>
      </c>
      <c r="W38" s="130"/>
      <c r="Y38" s="128">
        <v>-2232.29</v>
      </c>
      <c r="Z38" s="128">
        <v>25.579999999999927</v>
      </c>
      <c r="AA38" s="128">
        <v>193.12</v>
      </c>
      <c r="AB38" s="128">
        <v>262.73</v>
      </c>
      <c r="AC38" s="128">
        <v>260.83999999999997</v>
      </c>
      <c r="AD38" s="128">
        <v>303.08</v>
      </c>
      <c r="AE38" s="128">
        <v>3006</v>
      </c>
      <c r="AF38" s="128">
        <v>409.79</v>
      </c>
      <c r="AG38" s="128">
        <v>440.61</v>
      </c>
      <c r="AH38" s="128">
        <v>347.41</v>
      </c>
      <c r="AI38" s="128">
        <v>483.42</v>
      </c>
      <c r="AJ38" s="128">
        <v>549.83000000000004</v>
      </c>
      <c r="AK38" s="128">
        <v>595.6</v>
      </c>
      <c r="AL38" s="128">
        <v>599.94000000000005</v>
      </c>
      <c r="AM38" s="129">
        <f t="shared" si="69"/>
        <v>5245.66</v>
      </c>
      <c r="AN38" s="130">
        <f t="shared" si="70"/>
        <v>-2232.29</v>
      </c>
      <c r="AO38" s="130">
        <f t="shared" si="71"/>
        <v>3006</v>
      </c>
      <c r="AP38" s="130">
        <f t="shared" si="72"/>
        <v>4471.95</v>
      </c>
      <c r="AS38" s="128">
        <v>599.94000000000005</v>
      </c>
      <c r="AT38" s="128">
        <v>726.82</v>
      </c>
      <c r="AU38" s="128">
        <v>673.67</v>
      </c>
      <c r="AV38" s="128">
        <v>768.27</v>
      </c>
      <c r="AW38" s="128">
        <v>749.62</v>
      </c>
      <c r="AX38" s="128">
        <v>795.27</v>
      </c>
      <c r="AY38" s="128"/>
      <c r="AZ38" s="128">
        <v>0</v>
      </c>
      <c r="BA38" s="128">
        <v>1627.37</v>
      </c>
      <c r="BB38" s="128">
        <v>869.92</v>
      </c>
      <c r="BC38" s="128">
        <v>764.68</v>
      </c>
      <c r="BD38" s="128">
        <v>1291.74</v>
      </c>
      <c r="BE38" s="128">
        <v>1316.94</v>
      </c>
      <c r="BF38" s="128">
        <v>1297.42</v>
      </c>
      <c r="BG38" s="129">
        <f t="shared" si="73"/>
        <v>11481.660000000002</v>
      </c>
      <c r="BH38" s="130">
        <f t="shared" si="74"/>
        <v>599.94000000000005</v>
      </c>
      <c r="BI38" s="130">
        <f t="shared" si="75"/>
        <v>0</v>
      </c>
      <c r="BJ38" s="130">
        <f t="shared" si="76"/>
        <v>10881.720000000001</v>
      </c>
      <c r="BK38" s="130"/>
      <c r="BM38" s="128">
        <v>11481.66</v>
      </c>
      <c r="BN38" s="128">
        <v>-8784.25</v>
      </c>
      <c r="BO38" s="128">
        <v>-6110.89</v>
      </c>
      <c r="BP38" s="128">
        <v>8955.7999999999993</v>
      </c>
      <c r="BQ38" s="128">
        <v>1865.39</v>
      </c>
      <c r="BR38" s="128">
        <v>-3040.22</v>
      </c>
      <c r="BS38" s="128"/>
      <c r="BT38" s="128">
        <v>1702.43</v>
      </c>
      <c r="BU38" s="128">
        <v>1799.51</v>
      </c>
      <c r="BV38" s="128">
        <v>1865.72</v>
      </c>
      <c r="BW38" s="128">
        <v>1890.86</v>
      </c>
      <c r="BX38" s="128">
        <v>2320.33</v>
      </c>
      <c r="BY38" s="128">
        <v>2237.4</v>
      </c>
      <c r="BZ38" s="128">
        <v>2332.73</v>
      </c>
      <c r="CA38" s="129">
        <f t="shared" si="77"/>
        <v>18516.47</v>
      </c>
      <c r="CB38" s="130">
        <f t="shared" si="78"/>
        <v>11481.66</v>
      </c>
      <c r="CC38" s="130">
        <f t="shared" si="79"/>
        <v>0</v>
      </c>
      <c r="CD38" s="130">
        <f t="shared" si="81"/>
        <v>7034.8100000000013</v>
      </c>
    </row>
    <row r="39" spans="3:84" x14ac:dyDescent="0.35">
      <c r="C39" s="131" t="s">
        <v>135</v>
      </c>
      <c r="D39" s="131" t="s">
        <v>124</v>
      </c>
      <c r="E39" s="128">
        <v>211.2</v>
      </c>
      <c r="F39" s="128">
        <v>5.4799999999999898</v>
      </c>
      <c r="G39" s="128">
        <v>-5.29</v>
      </c>
      <c r="H39" s="128">
        <v>-6.86</v>
      </c>
      <c r="I39" s="128">
        <v>-5.3</v>
      </c>
      <c r="J39" s="128">
        <v>-5.56</v>
      </c>
      <c r="K39" s="128">
        <v>-238</v>
      </c>
      <c r="L39" s="128">
        <v>-5.73</v>
      </c>
      <c r="M39" s="128">
        <v>-6.76</v>
      </c>
      <c r="N39" s="128">
        <v>-9.4</v>
      </c>
      <c r="O39" s="128">
        <v>-6.45</v>
      </c>
      <c r="P39" s="128">
        <v>-8.1</v>
      </c>
      <c r="Q39" s="128">
        <v>-8.34</v>
      </c>
      <c r="R39" s="128">
        <v>-9.17</v>
      </c>
      <c r="S39" s="129">
        <f t="shared" si="65"/>
        <v>-98.280000000000044</v>
      </c>
      <c r="T39" s="130">
        <f t="shared" si="66"/>
        <v>211.2</v>
      </c>
      <c r="U39" s="130">
        <f t="shared" si="67"/>
        <v>-238</v>
      </c>
      <c r="V39" s="130">
        <f t="shared" si="68"/>
        <v>-71.480000000000018</v>
      </c>
      <c r="W39" s="130"/>
      <c r="Y39" s="128">
        <v>-98.28</v>
      </c>
      <c r="Z39" s="128">
        <v>-9.4699999999999989</v>
      </c>
      <c r="AA39" s="128">
        <v>-5.01</v>
      </c>
      <c r="AB39" s="128">
        <v>-5.66</v>
      </c>
      <c r="AC39" s="128">
        <v>-5.84</v>
      </c>
      <c r="AD39" s="128">
        <v>-6.47</v>
      </c>
      <c r="AE39" s="128">
        <v>83</v>
      </c>
      <c r="AF39" s="128">
        <v>-6.58</v>
      </c>
      <c r="AG39" s="128">
        <v>-7.24</v>
      </c>
      <c r="AH39" s="128">
        <v>-7.5</v>
      </c>
      <c r="AI39" s="128">
        <v>-7.79</v>
      </c>
      <c r="AJ39" s="128">
        <v>-8.3699999999999992</v>
      </c>
      <c r="AK39" s="128">
        <v>-8.52</v>
      </c>
      <c r="AL39" s="128">
        <v>-9.18</v>
      </c>
      <c r="AM39" s="129">
        <f t="shared" si="69"/>
        <v>-102.91000000000003</v>
      </c>
      <c r="AN39" s="130">
        <f t="shared" si="70"/>
        <v>-98.28</v>
      </c>
      <c r="AO39" s="130">
        <f t="shared" si="71"/>
        <v>83</v>
      </c>
      <c r="AP39" s="130">
        <f t="shared" si="72"/>
        <v>-87.630000000000024</v>
      </c>
      <c r="AS39" s="128">
        <v>-9.18</v>
      </c>
      <c r="AT39" s="128">
        <v>-9.5</v>
      </c>
      <c r="AU39" s="128">
        <v>-8.76</v>
      </c>
      <c r="AV39" s="128">
        <v>-9.9600000000000009</v>
      </c>
      <c r="AW39" s="128">
        <v>-9.98</v>
      </c>
      <c r="AX39" s="128">
        <v>-10.39</v>
      </c>
      <c r="AY39" s="128"/>
      <c r="AZ39" s="128">
        <v>0</v>
      </c>
      <c r="BA39" s="128">
        <v>-21.49</v>
      </c>
      <c r="BB39" s="128">
        <v>-11.41</v>
      </c>
      <c r="BC39" s="128">
        <v>-11.27</v>
      </c>
      <c r="BD39" s="128">
        <v>-17.239999999999998</v>
      </c>
      <c r="BE39" s="128">
        <v>-17.329999999999998</v>
      </c>
      <c r="BF39" s="128">
        <v>-18.579999999999998</v>
      </c>
      <c r="BG39" s="129">
        <f t="shared" si="73"/>
        <v>-155.08999999999997</v>
      </c>
      <c r="BH39" s="130">
        <f t="shared" si="74"/>
        <v>-9.18</v>
      </c>
      <c r="BI39" s="130">
        <f t="shared" si="75"/>
        <v>0</v>
      </c>
      <c r="BJ39" s="130">
        <f t="shared" si="76"/>
        <v>-145.90999999999997</v>
      </c>
      <c r="BK39" s="130"/>
      <c r="BM39" s="128">
        <v>-155.09</v>
      </c>
      <c r="BN39" s="128">
        <v>117.03</v>
      </c>
      <c r="BO39" s="128">
        <v>77.19</v>
      </c>
      <c r="BP39" s="128">
        <v>-119.67</v>
      </c>
      <c r="BQ39" s="128">
        <v>-17.690000000000001</v>
      </c>
      <c r="BR39" s="128">
        <v>81.41</v>
      </c>
      <c r="BS39" s="128"/>
      <c r="BT39" s="128">
        <v>-44.34</v>
      </c>
      <c r="BU39" s="128">
        <v>-46.79</v>
      </c>
      <c r="BV39" s="128">
        <v>-47.64</v>
      </c>
      <c r="BW39" s="128">
        <v>-47.31</v>
      </c>
      <c r="BX39" s="128">
        <v>-57.37</v>
      </c>
      <c r="BY39" s="128">
        <v>-57.11</v>
      </c>
      <c r="BZ39" s="128">
        <v>-60.44</v>
      </c>
      <c r="CA39" s="129">
        <f t="shared" si="77"/>
        <v>-377.82000000000005</v>
      </c>
      <c r="CB39" s="130">
        <f t="shared" si="78"/>
        <v>-155.09</v>
      </c>
      <c r="CC39" s="130">
        <f t="shared" si="79"/>
        <v>0</v>
      </c>
      <c r="CD39" s="130">
        <f t="shared" si="81"/>
        <v>-222.73000000000005</v>
      </c>
    </row>
    <row r="40" spans="3:84" x14ac:dyDescent="0.35">
      <c r="C40" s="116" t="s">
        <v>136</v>
      </c>
      <c r="D40" s="116" t="s">
        <v>126</v>
      </c>
      <c r="E40" s="128">
        <v>1452.64</v>
      </c>
      <c r="F40" s="128">
        <v>281.58</v>
      </c>
      <c r="G40" s="128">
        <v>118.23</v>
      </c>
      <c r="H40" s="128">
        <v>123.41</v>
      </c>
      <c r="I40" s="128">
        <v>69.3</v>
      </c>
      <c r="J40" s="128">
        <v>68.09</v>
      </c>
      <c r="K40" s="128">
        <v>-760</v>
      </c>
      <c r="L40" s="128">
        <v>69.47</v>
      </c>
      <c r="M40" s="128">
        <v>102.81</v>
      </c>
      <c r="N40" s="128">
        <v>169.87</v>
      </c>
      <c r="O40" s="128">
        <v>207.97</v>
      </c>
      <c r="P40" s="128">
        <v>272.55</v>
      </c>
      <c r="Q40" s="128">
        <v>299.57</v>
      </c>
      <c r="R40" s="128">
        <v>342.6</v>
      </c>
      <c r="S40" s="129">
        <f t="shared" si="65"/>
        <v>2818.09</v>
      </c>
      <c r="T40" s="130">
        <f t="shared" si="66"/>
        <v>1452.64</v>
      </c>
      <c r="U40" s="130">
        <f t="shared" si="67"/>
        <v>-760</v>
      </c>
      <c r="V40" s="130">
        <f t="shared" si="68"/>
        <v>2125.4499999999998</v>
      </c>
      <c r="W40" s="130"/>
      <c r="Y40" s="128">
        <v>2818.09</v>
      </c>
      <c r="Z40" s="128">
        <v>378.65000000000009</v>
      </c>
      <c r="AA40" s="128">
        <v>305.79000000000002</v>
      </c>
      <c r="AB40" s="128">
        <v>374.89</v>
      </c>
      <c r="AC40" s="128">
        <v>384.44</v>
      </c>
      <c r="AD40" s="128">
        <v>434.7</v>
      </c>
      <c r="AE40" s="128">
        <v>-1907</v>
      </c>
      <c r="AF40" s="128">
        <v>502.77</v>
      </c>
      <c r="AG40" s="128">
        <v>548.03</v>
      </c>
      <c r="AH40" s="128">
        <v>505.06</v>
      </c>
      <c r="AI40" s="128">
        <v>601.46</v>
      </c>
      <c r="AJ40" s="128">
        <v>668</v>
      </c>
      <c r="AK40" s="128">
        <v>701.16</v>
      </c>
      <c r="AL40" s="128">
        <v>734.12</v>
      </c>
      <c r="AM40" s="129">
        <f t="shared" si="69"/>
        <v>7050.16</v>
      </c>
      <c r="AN40" s="130">
        <f t="shared" si="70"/>
        <v>2818.09</v>
      </c>
      <c r="AO40" s="130">
        <f t="shared" si="71"/>
        <v>-1907</v>
      </c>
      <c r="AP40" s="130">
        <f t="shared" si="72"/>
        <v>6139.07</v>
      </c>
      <c r="AS40" s="128">
        <v>734.12</v>
      </c>
      <c r="AT40" s="128">
        <v>828.28</v>
      </c>
      <c r="AU40" s="128">
        <v>777.28</v>
      </c>
      <c r="AV40" s="128">
        <v>893.97</v>
      </c>
      <c r="AW40" s="128">
        <v>889.35</v>
      </c>
      <c r="AX40" s="128">
        <v>948.18</v>
      </c>
      <c r="AY40" s="128"/>
      <c r="AZ40" s="128">
        <v>0</v>
      </c>
      <c r="BA40" s="128">
        <v>1958.85</v>
      </c>
      <c r="BB40" s="128">
        <v>1050.49</v>
      </c>
      <c r="BC40" s="128">
        <v>979.9</v>
      </c>
      <c r="BD40" s="128">
        <v>1549.24</v>
      </c>
      <c r="BE40" s="128">
        <v>1565.83</v>
      </c>
      <c r="BF40" s="128">
        <v>1605.45</v>
      </c>
      <c r="BG40" s="129">
        <f t="shared" si="73"/>
        <v>13780.94</v>
      </c>
      <c r="BH40" s="130">
        <f t="shared" si="74"/>
        <v>734.12</v>
      </c>
      <c r="BI40" s="130">
        <f t="shared" si="75"/>
        <v>0</v>
      </c>
      <c r="BJ40" s="130">
        <f t="shared" si="76"/>
        <v>13046.82</v>
      </c>
      <c r="BK40" s="130"/>
      <c r="BM40" s="128">
        <v>13780.94</v>
      </c>
      <c r="BN40" s="128">
        <v>-10478.790000000001</v>
      </c>
      <c r="BO40" s="128">
        <v>-7322.23</v>
      </c>
      <c r="BP40" s="128">
        <v>10672.86</v>
      </c>
      <c r="BQ40" s="128">
        <v>2189.81</v>
      </c>
      <c r="BR40" s="128">
        <v>-5580.74</v>
      </c>
      <c r="BS40" s="128"/>
      <c r="BT40" s="128">
        <v>1809.83</v>
      </c>
      <c r="BU40" s="128">
        <v>1901.93</v>
      </c>
      <c r="BV40" s="128">
        <v>1947.97</v>
      </c>
      <c r="BW40" s="128">
        <v>1938.04</v>
      </c>
      <c r="BX40" s="128">
        <v>2352.58</v>
      </c>
      <c r="BY40" s="128">
        <v>2286.2600000000002</v>
      </c>
      <c r="BZ40" s="128">
        <v>2388.63</v>
      </c>
      <c r="CA40" s="129">
        <f t="shared" si="77"/>
        <v>17887.09</v>
      </c>
      <c r="CB40" s="130">
        <f t="shared" si="78"/>
        <v>13780.94</v>
      </c>
      <c r="CC40" s="130">
        <f t="shared" si="79"/>
        <v>0</v>
      </c>
      <c r="CD40" s="130">
        <f t="shared" si="81"/>
        <v>4106.1499999999996</v>
      </c>
    </row>
    <row r="41" spans="3:84" ht="15" thickBot="1" x14ac:dyDescent="0.4">
      <c r="D41" s="116" t="s">
        <v>127</v>
      </c>
      <c r="E41" s="132">
        <f>SUM(E33:E40)</f>
        <v>15303.57</v>
      </c>
      <c r="F41" s="132">
        <f t="shared" ref="F41:V41" si="82">SUM(F33:F40)</f>
        <v>2220.6299999999978</v>
      </c>
      <c r="G41" s="132">
        <f t="shared" si="82"/>
        <v>125.01000000000005</v>
      </c>
      <c r="H41" s="132">
        <f t="shared" si="82"/>
        <v>-63.290000000000049</v>
      </c>
      <c r="I41" s="132">
        <f t="shared" si="82"/>
        <v>24.810000000000002</v>
      </c>
      <c r="J41" s="132">
        <f t="shared" si="82"/>
        <v>343.74</v>
      </c>
      <c r="K41" s="132">
        <f t="shared" si="82"/>
        <v>-11174</v>
      </c>
      <c r="L41" s="132">
        <f t="shared" si="82"/>
        <v>673.17000000000007</v>
      </c>
      <c r="M41" s="132">
        <f t="shared" si="82"/>
        <v>219.57</v>
      </c>
      <c r="N41" s="132">
        <f t="shared" si="82"/>
        <v>-9.1900000000000261</v>
      </c>
      <c r="O41" s="132">
        <f t="shared" si="82"/>
        <v>13.999999999999972</v>
      </c>
      <c r="P41" s="132">
        <f t="shared" si="82"/>
        <v>124.10000000000002</v>
      </c>
      <c r="Q41" s="132">
        <f t="shared" si="82"/>
        <v>174.54999999999995</v>
      </c>
      <c r="R41" s="132">
        <f t="shared" si="82"/>
        <v>539.28</v>
      </c>
      <c r="S41" s="132">
        <f t="shared" si="82"/>
        <v>8515.9499999999898</v>
      </c>
      <c r="T41" s="132">
        <f t="shared" si="82"/>
        <v>15303.57</v>
      </c>
      <c r="U41" s="132">
        <f t="shared" si="82"/>
        <v>-11174</v>
      </c>
      <c r="V41" s="132">
        <f t="shared" si="82"/>
        <v>4386.3799999999919</v>
      </c>
      <c r="W41" s="133"/>
      <c r="Y41" s="132">
        <f>SUM(Y33:Y40)</f>
        <v>8515.9500000000007</v>
      </c>
      <c r="Z41" s="132">
        <f t="shared" ref="Z41:AP41" si="83">SUM(Z33:Z40)</f>
        <v>347.49000000000024</v>
      </c>
      <c r="AA41" s="132">
        <f t="shared" si="83"/>
        <v>-96.919999999999902</v>
      </c>
      <c r="AB41" s="140">
        <f t="shared" si="83"/>
        <v>312.02999999999997</v>
      </c>
      <c r="AC41" s="140">
        <f t="shared" si="83"/>
        <v>469.65999999999997</v>
      </c>
      <c r="AD41" s="132">
        <f t="shared" si="83"/>
        <v>621.55000000000007</v>
      </c>
      <c r="AE41" s="132">
        <f t="shared" si="83"/>
        <v>-9796</v>
      </c>
      <c r="AF41" s="132">
        <f t="shared" si="83"/>
        <v>1064.58</v>
      </c>
      <c r="AG41" s="132">
        <f t="shared" si="83"/>
        <v>923.5</v>
      </c>
      <c r="AH41" s="132">
        <f t="shared" si="83"/>
        <v>15.370000000000118</v>
      </c>
      <c r="AI41" s="132">
        <f t="shared" si="83"/>
        <v>1010.44</v>
      </c>
      <c r="AJ41" s="132">
        <f t="shared" si="83"/>
        <v>1103.73</v>
      </c>
      <c r="AK41" s="132">
        <f t="shared" si="83"/>
        <v>1541.1</v>
      </c>
      <c r="AL41" s="132">
        <f t="shared" si="83"/>
        <v>1602.74</v>
      </c>
      <c r="AM41" s="132">
        <f t="shared" si="83"/>
        <v>7635.2199999999993</v>
      </c>
      <c r="AN41" s="132">
        <f t="shared" si="83"/>
        <v>8515.9500000000007</v>
      </c>
      <c r="AO41" s="132">
        <f t="shared" si="83"/>
        <v>-9796</v>
      </c>
      <c r="AP41" s="132">
        <f t="shared" si="83"/>
        <v>8915.2699999999968</v>
      </c>
      <c r="AS41" s="132">
        <f>SUM(AS33:AS40)</f>
        <v>1602.74</v>
      </c>
      <c r="AT41" s="132">
        <f t="shared" ref="AT41:BJ41" si="84">SUM(AT33:AT40)</f>
        <v>1524.29</v>
      </c>
      <c r="AU41" s="132">
        <f t="shared" si="84"/>
        <v>1422.8899999999999</v>
      </c>
      <c r="AV41" s="141">
        <f t="shared" si="84"/>
        <v>1988.87</v>
      </c>
      <c r="AW41" s="141">
        <f t="shared" si="84"/>
        <v>1579.58</v>
      </c>
      <c r="AX41" s="132">
        <f t="shared" si="84"/>
        <v>1920.46</v>
      </c>
      <c r="AY41" s="132">
        <f t="shared" si="84"/>
        <v>0</v>
      </c>
      <c r="AZ41" s="132">
        <f t="shared" si="84"/>
        <v>0</v>
      </c>
      <c r="BA41" s="132">
        <f t="shared" si="84"/>
        <v>3924.9799999999996</v>
      </c>
      <c r="BB41" s="132">
        <f t="shared" si="84"/>
        <v>1904.2799999999997</v>
      </c>
      <c r="BC41" s="132">
        <f t="shared" si="84"/>
        <v>1985.58</v>
      </c>
      <c r="BD41" s="132">
        <f t="shared" si="84"/>
        <v>2801.8199999999997</v>
      </c>
      <c r="BE41" s="132">
        <f t="shared" si="84"/>
        <v>2746.64</v>
      </c>
      <c r="BF41" s="132">
        <f t="shared" si="84"/>
        <v>3029.62</v>
      </c>
      <c r="BG41" s="132">
        <f t="shared" si="84"/>
        <v>26431.750000000004</v>
      </c>
      <c r="BH41" s="132">
        <f t="shared" si="84"/>
        <v>1602.74</v>
      </c>
      <c r="BI41" s="132">
        <f t="shared" si="84"/>
        <v>0</v>
      </c>
      <c r="BJ41" s="132">
        <f t="shared" si="84"/>
        <v>24829.010000000002</v>
      </c>
      <c r="BK41" s="133"/>
      <c r="BM41" s="132">
        <f>SUM(BM33:BM40)</f>
        <v>26431.75</v>
      </c>
      <c r="BN41" s="132">
        <f t="shared" ref="BN41:CD41" si="85">SUM(BN33:BN40)</f>
        <v>-20528.949999999997</v>
      </c>
      <c r="BO41" s="132">
        <f t="shared" si="85"/>
        <v>-14329.830000000002</v>
      </c>
      <c r="BP41" s="141">
        <f t="shared" si="85"/>
        <v>20470.989999999998</v>
      </c>
      <c r="BQ41" s="141">
        <f t="shared" si="85"/>
        <v>4994.29</v>
      </c>
      <c r="BR41" s="132">
        <f t="shared" si="85"/>
        <v>4515.7200000000012</v>
      </c>
      <c r="BS41" s="132">
        <f t="shared" si="85"/>
        <v>0</v>
      </c>
      <c r="BT41" s="132">
        <f t="shared" si="85"/>
        <v>3588.3900000000003</v>
      </c>
      <c r="BU41" s="132">
        <f t="shared" si="85"/>
        <v>5587.7699999999995</v>
      </c>
      <c r="BV41" s="132">
        <f t="shared" si="85"/>
        <v>4961.7299999999996</v>
      </c>
      <c r="BW41" s="132">
        <f t="shared" si="85"/>
        <v>4773.1299999999992</v>
      </c>
      <c r="BX41" s="132">
        <f t="shared" si="85"/>
        <v>5431.98</v>
      </c>
      <c r="BY41" s="132">
        <f t="shared" si="85"/>
        <v>6336.6</v>
      </c>
      <c r="BZ41" s="132">
        <f t="shared" si="85"/>
        <v>7744.93</v>
      </c>
      <c r="CA41" s="132">
        <f t="shared" si="85"/>
        <v>59978.5</v>
      </c>
      <c r="CB41" s="132">
        <f t="shared" si="85"/>
        <v>26431.75</v>
      </c>
      <c r="CC41" s="132">
        <f t="shared" si="85"/>
        <v>0</v>
      </c>
      <c r="CD41" s="132">
        <f t="shared" si="85"/>
        <v>33546.750000000007</v>
      </c>
    </row>
    <row r="42" spans="3:84" ht="15" thickTop="1" x14ac:dyDescent="0.35">
      <c r="D42" s="116" t="s">
        <v>128</v>
      </c>
      <c r="E42" s="3"/>
      <c r="F42" s="3"/>
      <c r="G42" s="3"/>
      <c r="H42" s="3"/>
      <c r="I42" s="3"/>
      <c r="J42" s="3"/>
      <c r="K42" s="135"/>
      <c r="L42" s="3"/>
      <c r="M42" s="3"/>
      <c r="N42" s="3"/>
      <c r="O42" s="3"/>
      <c r="P42" s="3"/>
      <c r="Q42" s="3"/>
      <c r="R42" s="3"/>
      <c r="T42" s="3"/>
      <c r="U42" s="3"/>
      <c r="V42" s="3"/>
      <c r="W42" s="3"/>
      <c r="Y42" s="3"/>
      <c r="Z42" s="3"/>
      <c r="AA42" s="3"/>
      <c r="AB42" s="245" t="s">
        <v>137</v>
      </c>
      <c r="AC42" s="245"/>
      <c r="AD42" s="3"/>
      <c r="AE42" s="135"/>
      <c r="AF42" s="3"/>
      <c r="AG42" s="3"/>
      <c r="AH42" s="3"/>
      <c r="AI42" s="3"/>
      <c r="AJ42" s="3"/>
      <c r="AK42" s="3"/>
      <c r="AL42" s="3"/>
      <c r="AN42" s="3"/>
      <c r="AO42" s="3"/>
      <c r="AP42" s="3"/>
      <c r="AS42" s="3">
        <v>1602.74</v>
      </c>
      <c r="AT42" s="3">
        <v>1524.29</v>
      </c>
      <c r="AU42" s="3">
        <v>1422.8899999999999</v>
      </c>
      <c r="AV42">
        <v>1988.87</v>
      </c>
      <c r="AW42">
        <v>1579.58</v>
      </c>
      <c r="AX42" s="3">
        <v>1920.46</v>
      </c>
      <c r="AY42" s="135">
        <v>0</v>
      </c>
      <c r="AZ42" s="3">
        <v>1818.6100000000001</v>
      </c>
      <c r="BA42" s="3">
        <v>2106.37</v>
      </c>
      <c r="BB42" s="3">
        <v>1904.2799999999997</v>
      </c>
      <c r="BC42" s="3">
        <v>1985.58</v>
      </c>
      <c r="BD42" s="3">
        <v>2801.8199999999997</v>
      </c>
      <c r="BE42" s="3">
        <v>2746.64</v>
      </c>
      <c r="BF42" s="3">
        <v>3029.62</v>
      </c>
      <c r="BG42" s="116">
        <v>26431.750000000004</v>
      </c>
      <c r="BH42" s="3"/>
      <c r="BI42" s="3"/>
      <c r="BJ42" s="3"/>
      <c r="BK42" s="3"/>
      <c r="BM42" s="3"/>
      <c r="BN42" s="3"/>
      <c r="BO42" s="3"/>
      <c r="BP42"/>
      <c r="BQ42"/>
      <c r="BR42" s="3"/>
      <c r="BS42" s="135"/>
      <c r="BT42" s="3"/>
      <c r="BU42" s="3"/>
      <c r="BV42" s="3"/>
      <c r="BW42" s="3"/>
      <c r="BX42" s="3"/>
      <c r="BY42" s="3"/>
      <c r="BZ42" s="3"/>
      <c r="CB42" s="3"/>
      <c r="CC42" s="3"/>
      <c r="CD42" s="3"/>
    </row>
    <row r="43" spans="3:84" x14ac:dyDescent="0.35">
      <c r="S43" s="137"/>
      <c r="AM43" s="137"/>
      <c r="AS43" s="137">
        <f>AS41-AS42</f>
        <v>0</v>
      </c>
      <c r="AT43" s="137">
        <f t="shared" ref="AT43:BG43" si="86">AT41-AT42</f>
        <v>0</v>
      </c>
      <c r="AU43" s="137">
        <f t="shared" si="86"/>
        <v>0</v>
      </c>
      <c r="AV43" s="137">
        <f t="shared" si="86"/>
        <v>0</v>
      </c>
      <c r="AW43" s="137">
        <f t="shared" si="86"/>
        <v>0</v>
      </c>
      <c r="AX43" s="137">
        <f t="shared" si="86"/>
        <v>0</v>
      </c>
      <c r="AY43" s="137">
        <f t="shared" si="86"/>
        <v>0</v>
      </c>
      <c r="AZ43" s="137">
        <f t="shared" si="86"/>
        <v>-1818.6100000000001</v>
      </c>
      <c r="BA43" s="137">
        <f t="shared" si="86"/>
        <v>1818.6099999999997</v>
      </c>
      <c r="BB43" s="137">
        <f t="shared" si="86"/>
        <v>0</v>
      </c>
      <c r="BC43" s="137">
        <f t="shared" si="86"/>
        <v>0</v>
      </c>
      <c r="BD43" s="137">
        <f t="shared" si="86"/>
        <v>0</v>
      </c>
      <c r="BE43" s="137">
        <f t="shared" si="86"/>
        <v>0</v>
      </c>
      <c r="BF43" s="137">
        <f t="shared" si="86"/>
        <v>0</v>
      </c>
      <c r="BG43" s="137">
        <f t="shared" si="86"/>
        <v>0</v>
      </c>
      <c r="BM43" s="137"/>
      <c r="BN43" s="137"/>
      <c r="BO43" s="137"/>
      <c r="BP43" s="137"/>
      <c r="BQ43" s="137"/>
      <c r="BR43" s="137"/>
      <c r="BS43" s="137"/>
      <c r="BT43" s="137"/>
      <c r="BU43" s="137"/>
      <c r="BV43" s="137"/>
      <c r="BW43" s="137"/>
      <c r="BX43" s="137"/>
      <c r="BY43" s="137"/>
      <c r="BZ43" s="137"/>
      <c r="CA43" s="137"/>
    </row>
    <row r="44" spans="3:84" ht="15" thickBot="1" x14ac:dyDescent="0.4"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3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  <c r="BK44" s="143"/>
      <c r="BM44" s="142"/>
      <c r="BN44" s="142"/>
      <c r="BO44" s="142"/>
      <c r="BP44" s="142"/>
      <c r="BQ44" s="142"/>
      <c r="BR44" s="142"/>
      <c r="BS44" s="142"/>
      <c r="BT44" s="142"/>
      <c r="BU44" s="142"/>
      <c r="BV44" s="142"/>
      <c r="BW44" s="142"/>
      <c r="BX44" s="142"/>
      <c r="BY44" s="142"/>
      <c r="BZ44" s="142"/>
      <c r="CA44" s="142"/>
      <c r="CB44" s="142"/>
      <c r="CC44" s="142"/>
      <c r="CD44" s="142"/>
    </row>
    <row r="45" spans="3:84" ht="14.5" customHeight="1" x14ac:dyDescent="0.35">
      <c r="C45" s="241" t="s">
        <v>138</v>
      </c>
      <c r="D45" s="241"/>
    </row>
    <row r="46" spans="3:84" x14ac:dyDescent="0.35">
      <c r="C46" s="116" t="s">
        <v>139</v>
      </c>
      <c r="E46" s="3"/>
      <c r="F46" s="144">
        <v>1.47E-2</v>
      </c>
      <c r="G46" s="145">
        <v>1.47E-2</v>
      </c>
      <c r="H46" s="145">
        <v>1.47E-2</v>
      </c>
      <c r="I46" s="145">
        <v>1.0999999999999999E-2</v>
      </c>
      <c r="J46" s="145">
        <v>1.0999999999999999E-2</v>
      </c>
      <c r="K46" s="145"/>
      <c r="L46" s="145">
        <v>1.0999999999999999E-2</v>
      </c>
      <c r="M46" s="145">
        <v>1.0999999999999999E-2</v>
      </c>
      <c r="N46" s="145">
        <v>1.0999999999999999E-2</v>
      </c>
      <c r="O46" s="145">
        <v>1.0999999999999999E-2</v>
      </c>
      <c r="P46" s="145">
        <v>1.0999999999999999E-2</v>
      </c>
      <c r="Q46" s="145">
        <v>1.0999999999999999E-2</v>
      </c>
      <c r="R46" s="145">
        <v>1.0999999999999999E-2</v>
      </c>
      <c r="Y46" s="3"/>
      <c r="Z46" s="144">
        <v>1.0999999999999999E-2</v>
      </c>
      <c r="AA46" s="145">
        <v>1.0999999999999999E-2</v>
      </c>
      <c r="AB46" s="145">
        <v>1.0999999999999999E-2</v>
      </c>
      <c r="AC46" s="145">
        <v>1.0999999999999999E-2</v>
      </c>
      <c r="AD46" s="145">
        <v>1.0999999999999999E-2</v>
      </c>
      <c r="AE46" s="145"/>
      <c r="AF46" s="145">
        <v>1.0999999999999999E-2</v>
      </c>
      <c r="AG46" s="145">
        <v>1.0999999999999999E-2</v>
      </c>
      <c r="AH46" s="145">
        <v>1.0999999999999999E-2</v>
      </c>
      <c r="AI46" s="145">
        <v>1.0999999999999999E-2</v>
      </c>
      <c r="AJ46" s="145">
        <v>1.0999999999999999E-2</v>
      </c>
      <c r="AK46" s="145">
        <v>1.0999999999999999E-2</v>
      </c>
      <c r="AL46" s="145">
        <v>1.0999999999999999E-2</v>
      </c>
      <c r="AS46" s="3"/>
      <c r="AT46" s="144">
        <v>1.0999999999999999E-2</v>
      </c>
      <c r="AU46" s="145">
        <v>1.0999999999999999E-2</v>
      </c>
      <c r="AV46" s="145">
        <v>1.0999999999999999E-2</v>
      </c>
      <c r="AW46" s="145">
        <v>1.0999999999999999E-2</v>
      </c>
      <c r="AX46" s="145">
        <v>1.0999999999999999E-2</v>
      </c>
      <c r="AY46" s="145">
        <v>1.0999999999999999E-2</v>
      </c>
      <c r="AZ46" s="145">
        <v>1.0999999999999999E-2</v>
      </c>
      <c r="BA46" s="145">
        <v>1.0999999999999999E-2</v>
      </c>
      <c r="BB46" s="145">
        <v>1.0999999999999999E-2</v>
      </c>
      <c r="BC46" s="145">
        <v>1.0999999999999999E-2</v>
      </c>
      <c r="BD46" s="145">
        <v>1.4999999999999999E-2</v>
      </c>
      <c r="BE46" s="145">
        <v>1.4999999999999999E-2</v>
      </c>
      <c r="BF46" s="145">
        <v>1.4999999999999999E-2</v>
      </c>
      <c r="BM46" s="3"/>
      <c r="BN46" s="144">
        <v>1.4999999999999999E-2</v>
      </c>
      <c r="BO46" s="145">
        <v>1.4999999999999999E-2</v>
      </c>
      <c r="BP46" s="145">
        <v>1.4999999999999999E-2</v>
      </c>
      <c r="BQ46" s="145">
        <v>1.89E-2</v>
      </c>
      <c r="BR46" s="145">
        <v>1.89E-2</v>
      </c>
      <c r="BS46" s="145">
        <v>1.89E-2</v>
      </c>
      <c r="BT46" s="145">
        <v>1.89E-2</v>
      </c>
      <c r="BU46" s="145">
        <v>1.89E-2</v>
      </c>
      <c r="BV46" s="145">
        <v>1.89E-2</v>
      </c>
      <c r="BW46" s="145">
        <v>1.89E-2</v>
      </c>
      <c r="BX46" s="145">
        <v>2.1700000000000001E-2</v>
      </c>
      <c r="BY46" s="145">
        <v>2.1700000000000001E-2</v>
      </c>
      <c r="BZ46" s="145">
        <v>2.1700000000000001E-2</v>
      </c>
    </row>
    <row r="47" spans="3:84" x14ac:dyDescent="0.35">
      <c r="C47" s="131" t="s">
        <v>140</v>
      </c>
      <c r="E47" s="146">
        <v>31</v>
      </c>
      <c r="F47" s="147">
        <v>31</v>
      </c>
      <c r="G47" s="147">
        <v>28</v>
      </c>
      <c r="H47" s="147">
        <v>31</v>
      </c>
      <c r="I47" s="147">
        <v>30</v>
      </c>
      <c r="J47" s="147">
        <v>31</v>
      </c>
      <c r="K47" s="147"/>
      <c r="L47" s="147">
        <v>30</v>
      </c>
      <c r="M47" s="147">
        <v>31</v>
      </c>
      <c r="N47" s="147">
        <v>31</v>
      </c>
      <c r="O47" s="147">
        <v>30</v>
      </c>
      <c r="P47" s="147">
        <v>31</v>
      </c>
      <c r="Q47" s="147">
        <v>30</v>
      </c>
      <c r="R47" s="147">
        <v>31</v>
      </c>
      <c r="Y47" s="146">
        <v>31</v>
      </c>
      <c r="Z47" s="147">
        <v>31</v>
      </c>
      <c r="AA47" s="147">
        <v>29</v>
      </c>
      <c r="AB47" s="147">
        <v>31</v>
      </c>
      <c r="AC47" s="147">
        <v>30</v>
      </c>
      <c r="AD47" s="147">
        <v>31</v>
      </c>
      <c r="AE47" s="147"/>
      <c r="AF47" s="147">
        <v>30</v>
      </c>
      <c r="AG47" s="147">
        <v>31</v>
      </c>
      <c r="AH47" s="147">
        <v>31</v>
      </c>
      <c r="AI47" s="147">
        <v>30</v>
      </c>
      <c r="AJ47" s="147">
        <v>31</v>
      </c>
      <c r="AK47" s="147">
        <v>30</v>
      </c>
      <c r="AL47" s="147">
        <v>31</v>
      </c>
      <c r="AS47" s="146">
        <v>31</v>
      </c>
      <c r="AT47" s="147">
        <v>31</v>
      </c>
      <c r="AU47" s="147">
        <v>28</v>
      </c>
      <c r="AV47" s="147">
        <v>31</v>
      </c>
      <c r="AW47" s="147">
        <v>30</v>
      </c>
      <c r="AX47" s="147">
        <v>31</v>
      </c>
      <c r="AY47" s="147"/>
      <c r="AZ47" s="147">
        <v>30</v>
      </c>
      <c r="BA47" s="147">
        <v>31</v>
      </c>
      <c r="BB47" s="147">
        <v>31</v>
      </c>
      <c r="BC47" s="147">
        <v>30</v>
      </c>
      <c r="BD47" s="147">
        <v>31</v>
      </c>
      <c r="BE47" s="147">
        <v>30</v>
      </c>
      <c r="BF47" s="147">
        <v>31</v>
      </c>
      <c r="BM47" s="146">
        <v>31</v>
      </c>
      <c r="BN47" s="147">
        <v>31</v>
      </c>
      <c r="BO47" s="147">
        <v>28</v>
      </c>
      <c r="BP47" s="147">
        <v>31</v>
      </c>
      <c r="BQ47" s="147">
        <v>30</v>
      </c>
      <c r="BR47" s="147">
        <v>31</v>
      </c>
      <c r="BS47" s="147"/>
      <c r="BT47" s="147">
        <v>30</v>
      </c>
      <c r="BU47" s="147">
        <v>31</v>
      </c>
      <c r="BV47" s="147">
        <v>31</v>
      </c>
      <c r="BW47" s="147">
        <v>30</v>
      </c>
      <c r="BX47" s="147">
        <v>31</v>
      </c>
      <c r="BY47" s="147">
        <v>30</v>
      </c>
      <c r="BZ47" s="147">
        <v>31</v>
      </c>
    </row>
    <row r="48" spans="3:84" s="121" customFormat="1" ht="72.5" x14ac:dyDescent="0.35">
      <c r="E48" s="122">
        <f>E32</f>
        <v>42004</v>
      </c>
      <c r="F48" s="122">
        <f t="shared" ref="F48:Q48" si="87">F32</f>
        <v>42035</v>
      </c>
      <c r="G48" s="122">
        <f t="shared" si="87"/>
        <v>42063</v>
      </c>
      <c r="H48" s="122">
        <f t="shared" si="87"/>
        <v>42094</v>
      </c>
      <c r="I48" s="122">
        <f t="shared" si="87"/>
        <v>42124</v>
      </c>
      <c r="J48" s="122">
        <f t="shared" si="87"/>
        <v>42155</v>
      </c>
      <c r="K48" s="122" t="str">
        <f t="shared" si="87"/>
        <v>COS Disposition</v>
      </c>
      <c r="L48" s="122">
        <f t="shared" si="87"/>
        <v>42185</v>
      </c>
      <c r="M48" s="122">
        <f t="shared" si="87"/>
        <v>42216</v>
      </c>
      <c r="N48" s="122">
        <f t="shared" si="87"/>
        <v>42247</v>
      </c>
      <c r="O48" s="122">
        <f t="shared" si="87"/>
        <v>42277</v>
      </c>
      <c r="P48" s="122">
        <f t="shared" si="87"/>
        <v>42308</v>
      </c>
      <c r="Q48" s="122">
        <f t="shared" si="87"/>
        <v>42338</v>
      </c>
      <c r="R48" s="122">
        <f>R32</f>
        <v>42369</v>
      </c>
      <c r="S48" s="124" t="s">
        <v>109</v>
      </c>
      <c r="T48" s="125" t="s">
        <v>110</v>
      </c>
      <c r="U48" s="125" t="s">
        <v>108</v>
      </c>
      <c r="V48" s="125" t="s">
        <v>111</v>
      </c>
      <c r="W48" s="121" t="s">
        <v>141</v>
      </c>
      <c r="X48" s="127" t="s">
        <v>141</v>
      </c>
      <c r="Y48" s="122">
        <f>Y32</f>
        <v>42369</v>
      </c>
      <c r="Z48" s="122">
        <f t="shared" ref="Z48:AK48" si="88">Z32</f>
        <v>42400</v>
      </c>
      <c r="AA48" s="122">
        <f t="shared" si="88"/>
        <v>42429</v>
      </c>
      <c r="AB48" s="122">
        <f t="shared" si="88"/>
        <v>42460</v>
      </c>
      <c r="AC48" s="122">
        <f t="shared" si="88"/>
        <v>42490</v>
      </c>
      <c r="AD48" s="122">
        <f t="shared" si="88"/>
        <v>42521</v>
      </c>
      <c r="AE48" s="122" t="str">
        <f t="shared" si="88"/>
        <v>COS Disposition</v>
      </c>
      <c r="AF48" s="122">
        <f t="shared" si="88"/>
        <v>42551</v>
      </c>
      <c r="AG48" s="122">
        <f t="shared" si="88"/>
        <v>42582</v>
      </c>
      <c r="AH48" s="122">
        <f t="shared" si="88"/>
        <v>42613</v>
      </c>
      <c r="AI48" s="122">
        <f t="shared" si="88"/>
        <v>42643</v>
      </c>
      <c r="AJ48" s="122">
        <f t="shared" si="88"/>
        <v>42674</v>
      </c>
      <c r="AK48" s="122">
        <f t="shared" si="88"/>
        <v>42704</v>
      </c>
      <c r="AL48" s="122">
        <f>AL32</f>
        <v>42735</v>
      </c>
      <c r="AM48" s="124" t="s">
        <v>109</v>
      </c>
      <c r="AN48" s="125" t="s">
        <v>110</v>
      </c>
      <c r="AO48" s="125" t="s">
        <v>108</v>
      </c>
      <c r="AP48" s="125" t="s">
        <v>111</v>
      </c>
      <c r="AQ48" s="121" t="s">
        <v>141</v>
      </c>
      <c r="AR48" s="127" t="s">
        <v>141</v>
      </c>
      <c r="AS48" s="122">
        <f>AS32</f>
        <v>42735</v>
      </c>
      <c r="AT48" s="122">
        <f t="shared" ref="AT48:BE48" si="89">AT32</f>
        <v>42766</v>
      </c>
      <c r="AU48" s="122">
        <f t="shared" si="89"/>
        <v>42794</v>
      </c>
      <c r="AV48" s="122">
        <f t="shared" si="89"/>
        <v>42825</v>
      </c>
      <c r="AW48" s="122">
        <f t="shared" si="89"/>
        <v>42855</v>
      </c>
      <c r="AX48" s="122">
        <f t="shared" si="89"/>
        <v>42886</v>
      </c>
      <c r="AY48" s="122" t="str">
        <f t="shared" si="89"/>
        <v>COS Disposition</v>
      </c>
      <c r="AZ48" s="122">
        <f t="shared" si="89"/>
        <v>42916</v>
      </c>
      <c r="BA48" s="122">
        <f t="shared" si="89"/>
        <v>42947</v>
      </c>
      <c r="BB48" s="122">
        <f t="shared" si="89"/>
        <v>42978</v>
      </c>
      <c r="BC48" s="122">
        <f t="shared" si="89"/>
        <v>43008</v>
      </c>
      <c r="BD48" s="122">
        <f t="shared" si="89"/>
        <v>43039</v>
      </c>
      <c r="BE48" s="122">
        <f t="shared" si="89"/>
        <v>43069</v>
      </c>
      <c r="BF48" s="122">
        <f>BF32</f>
        <v>43100</v>
      </c>
      <c r="BG48" s="124" t="s">
        <v>109</v>
      </c>
      <c r="BH48" s="125" t="s">
        <v>110</v>
      </c>
      <c r="BI48" s="125" t="s">
        <v>108</v>
      </c>
      <c r="BJ48" s="125" t="s">
        <v>111</v>
      </c>
      <c r="BK48" s="125" t="s">
        <v>141</v>
      </c>
      <c r="BL48" s="127" t="s">
        <v>141</v>
      </c>
      <c r="BM48" s="122">
        <f>BM32</f>
        <v>43100</v>
      </c>
      <c r="BN48" s="122">
        <f t="shared" ref="BN48:BY48" si="90">BN32</f>
        <v>43131</v>
      </c>
      <c r="BO48" s="122">
        <f t="shared" si="90"/>
        <v>43159</v>
      </c>
      <c r="BP48" s="122">
        <f t="shared" si="90"/>
        <v>43190</v>
      </c>
      <c r="BQ48" s="122">
        <f t="shared" si="90"/>
        <v>43220</v>
      </c>
      <c r="BR48" s="122">
        <f t="shared" si="90"/>
        <v>43251</v>
      </c>
      <c r="BS48" s="122" t="str">
        <f t="shared" si="90"/>
        <v>COS Disposition</v>
      </c>
      <c r="BT48" s="122">
        <f t="shared" si="90"/>
        <v>43281</v>
      </c>
      <c r="BU48" s="122">
        <f t="shared" si="90"/>
        <v>43312</v>
      </c>
      <c r="BV48" s="122">
        <f t="shared" si="90"/>
        <v>43343</v>
      </c>
      <c r="BW48" s="122">
        <f t="shared" si="90"/>
        <v>43373</v>
      </c>
      <c r="BX48" s="122">
        <f t="shared" si="90"/>
        <v>43404</v>
      </c>
      <c r="BY48" s="122">
        <f t="shared" si="90"/>
        <v>43434</v>
      </c>
      <c r="BZ48" s="122">
        <f>BZ32</f>
        <v>43465</v>
      </c>
      <c r="CA48" s="124" t="s">
        <v>109</v>
      </c>
      <c r="CB48" s="125" t="s">
        <v>110</v>
      </c>
      <c r="CC48" s="125" t="s">
        <v>108</v>
      </c>
      <c r="CD48" s="125" t="s">
        <v>111</v>
      </c>
      <c r="CE48" s="125" t="s">
        <v>141</v>
      </c>
      <c r="CF48" s="125" t="s">
        <v>142</v>
      </c>
    </row>
    <row r="49" spans="3:84" x14ac:dyDescent="0.35">
      <c r="C49" s="116" t="s">
        <v>129</v>
      </c>
      <c r="D49" s="116" t="s">
        <v>113</v>
      </c>
      <c r="E49" s="128">
        <v>11604.07</v>
      </c>
      <c r="F49" s="3">
        <f t="shared" ref="F49:J56" si="91">ROUND(SUM(E7)*F$46/365*F$47,2)</f>
        <v>665.53</v>
      </c>
      <c r="G49" s="3">
        <f t="shared" si="91"/>
        <v>258.99</v>
      </c>
      <c r="H49" s="3">
        <f t="shared" si="91"/>
        <v>239.26</v>
      </c>
      <c r="I49" s="3">
        <f t="shared" si="91"/>
        <v>291.39</v>
      </c>
      <c r="J49" s="3">
        <f t="shared" si="91"/>
        <v>331.44</v>
      </c>
      <c r="K49" s="3">
        <v>-5635</v>
      </c>
      <c r="L49" s="3">
        <f t="shared" ref="L49:L56" si="92">ROUND(SUM(J7)*L$46/365*L$47,2)</f>
        <v>511.03</v>
      </c>
      <c r="M49" s="3">
        <f t="shared" ref="M49:R56" si="93">ROUND(SUM(L7)*M$46/365*M$47,2)</f>
        <v>10.16</v>
      </c>
      <c r="N49" s="3">
        <f t="shared" si="93"/>
        <v>-164.46</v>
      </c>
      <c r="O49" s="3">
        <f t="shared" si="93"/>
        <v>-295.67</v>
      </c>
      <c r="P49" s="3">
        <f t="shared" si="93"/>
        <v>-194.89</v>
      </c>
      <c r="Q49" s="3">
        <f t="shared" si="93"/>
        <v>-202.27</v>
      </c>
      <c r="R49" s="3">
        <f t="shared" si="93"/>
        <v>-50.64</v>
      </c>
      <c r="S49" s="129">
        <f>SUM(E49:R49)</f>
        <v>7368.94</v>
      </c>
      <c r="T49" s="130">
        <f>E49</f>
        <v>11604.07</v>
      </c>
      <c r="U49" s="130">
        <f>K49</f>
        <v>-5635</v>
      </c>
      <c r="V49" s="130">
        <f>S49-T49-U49</f>
        <v>1399.87</v>
      </c>
      <c r="W49" s="148">
        <f>V33-V49</f>
        <v>-1.8189894035458565E-12</v>
      </c>
      <c r="X49" s="149">
        <f>V33-V49</f>
        <v>-1.8189894035458565E-12</v>
      </c>
      <c r="Y49" s="130">
        <v>7368.94</v>
      </c>
      <c r="Z49" s="130">
        <f t="shared" ref="Z49:AD56" si="94">ROUND(SUM(Y7)*Z$46/365*Z$47,2)</f>
        <v>-311.08</v>
      </c>
      <c r="AA49" s="130">
        <f t="shared" si="94"/>
        <v>-479.89</v>
      </c>
      <c r="AB49" s="130">
        <f t="shared" si="94"/>
        <v>-295.95999999999998</v>
      </c>
      <c r="AC49" s="130">
        <f t="shared" si="94"/>
        <v>-327.42</v>
      </c>
      <c r="AD49" s="130">
        <f t="shared" si="94"/>
        <v>-271.93</v>
      </c>
      <c r="AE49" s="130">
        <v>-8154</v>
      </c>
      <c r="AF49" s="130">
        <f t="shared" ref="AF49:AF56" si="95">ROUND(SUM(AD7)*AF$46/365*AF$47,2)</f>
        <v>57.56</v>
      </c>
      <c r="AG49" s="130">
        <f t="shared" ref="AG49:AL56" si="96">ROUND(SUM(AF7)*AG$46/365*AG$47,2)</f>
        <v>-144.25</v>
      </c>
      <c r="AH49" s="130">
        <f t="shared" si="96"/>
        <v>-641.6</v>
      </c>
      <c r="AI49" s="130">
        <f t="shared" si="96"/>
        <v>-225</v>
      </c>
      <c r="AJ49" s="130">
        <f t="shared" si="96"/>
        <v>-447.61</v>
      </c>
      <c r="AK49" s="130">
        <f t="shared" si="96"/>
        <v>-364.8</v>
      </c>
      <c r="AL49" s="130">
        <f t="shared" si="96"/>
        <v>-355.05</v>
      </c>
      <c r="AM49" s="129">
        <f>SUM(Y49:AL49)</f>
        <v>-4592.0900000000011</v>
      </c>
      <c r="AN49" s="130">
        <f>Y49</f>
        <v>7368.94</v>
      </c>
      <c r="AO49" s="130">
        <f>AE49</f>
        <v>-8154</v>
      </c>
      <c r="AP49" s="130">
        <f>AM49-AN49-AO49</f>
        <v>-3807.0300000000007</v>
      </c>
      <c r="AQ49" s="148">
        <f>AP33-AP49</f>
        <v>0</v>
      </c>
      <c r="AR49" s="149">
        <f t="shared" ref="AR49:AR56" si="97">AP33-AP49</f>
        <v>0</v>
      </c>
      <c r="AS49" s="130">
        <v>-4592.09</v>
      </c>
      <c r="AT49" s="130">
        <f t="shared" ref="AT49:AX56" si="98">ROUND(SUM(AS20)*AT$46/365*AT$47,2)</f>
        <v>-640.11</v>
      </c>
      <c r="AU49" s="130">
        <f t="shared" si="98"/>
        <v>-440.92</v>
      </c>
      <c r="AV49" s="130">
        <f t="shared" si="98"/>
        <v>-263.98</v>
      </c>
      <c r="AW49" s="130">
        <f t="shared" si="98"/>
        <v>-486.84</v>
      </c>
      <c r="AX49" s="130">
        <f t="shared" si="98"/>
        <v>-486.53</v>
      </c>
      <c r="AY49" s="130"/>
      <c r="AZ49" s="130">
        <f>ROUND(SUM(AX20)*AZ$46/365*AZ$47,2)</f>
        <v>-686.03</v>
      </c>
      <c r="BA49" s="130">
        <f t="shared" ref="BA49:BF56" si="99">ROUND(SUM(AZ20)*BA$46/365*BA$47,2)</f>
        <v>-644.12</v>
      </c>
      <c r="BB49" s="130">
        <f t="shared" si="99"/>
        <v>-1063.49</v>
      </c>
      <c r="BC49" s="130">
        <f t="shared" si="99"/>
        <v>-726.42</v>
      </c>
      <c r="BD49" s="130">
        <f t="shared" si="99"/>
        <v>-1273.29</v>
      </c>
      <c r="BE49" s="130">
        <f t="shared" si="99"/>
        <v>-1563.72</v>
      </c>
      <c r="BF49" s="130">
        <f t="shared" si="99"/>
        <v>-1113.67</v>
      </c>
      <c r="BG49" s="129">
        <f>SUM(AS49:BF49)</f>
        <v>-13981.21</v>
      </c>
      <c r="BH49" s="130">
        <f>AS49</f>
        <v>-4592.09</v>
      </c>
      <c r="BI49" s="130">
        <f>AY49</f>
        <v>0</v>
      </c>
      <c r="BJ49" s="130">
        <f>BG49-BH49-BI49</f>
        <v>-9389.119999999999</v>
      </c>
      <c r="BK49" s="148">
        <f>BG33-BG49</f>
        <v>4237.0399999999991</v>
      </c>
      <c r="BL49" s="149">
        <f>BI33-BI49</f>
        <v>0</v>
      </c>
      <c r="BM49" s="138">
        <f>BG49</f>
        <v>-13981.21</v>
      </c>
      <c r="BN49" s="130">
        <f t="shared" ref="BN49:BR56" si="100">ROUND(SUM(BM20)*BN$46/365*BN$47,2)</f>
        <v>-1296.8399999999999</v>
      </c>
      <c r="BO49" s="130">
        <f t="shared" si="100"/>
        <v>-1077.8499999999999</v>
      </c>
      <c r="BP49" s="130">
        <f t="shared" si="100"/>
        <v>-1371.5</v>
      </c>
      <c r="BQ49" s="130">
        <f t="shared" si="100"/>
        <v>-947.64</v>
      </c>
      <c r="BR49" s="130">
        <f t="shared" si="100"/>
        <v>-1287.48</v>
      </c>
      <c r="BS49" s="130"/>
      <c r="BT49" s="130">
        <f t="shared" ref="BT49:BT56" si="101">ROUND(SUM(BR20)*BT$46/365*BT$47,2)</f>
        <v>-2720.73</v>
      </c>
      <c r="BU49" s="130">
        <f t="shared" ref="BU49:BZ56" si="102">ROUND(SUM(BT20)*BU$46/365*BU$47,2)</f>
        <v>-1536.99</v>
      </c>
      <c r="BV49" s="130">
        <f t="shared" si="102"/>
        <v>-2449.13</v>
      </c>
      <c r="BW49" s="130">
        <f t="shared" si="102"/>
        <v>-2560.4299999999998</v>
      </c>
      <c r="BX49" s="130">
        <f t="shared" si="102"/>
        <v>-3476.23</v>
      </c>
      <c r="BY49" s="130">
        <f t="shared" si="102"/>
        <v>-2942.95</v>
      </c>
      <c r="BZ49" s="130">
        <f t="shared" si="102"/>
        <v>-2080.77</v>
      </c>
      <c r="CA49" s="129">
        <f>SUM(BM49:BZ49)</f>
        <v>-37729.75</v>
      </c>
      <c r="CB49" s="130">
        <f>BM49</f>
        <v>-13981.21</v>
      </c>
      <c r="CC49" s="130">
        <f>BS49</f>
        <v>0</v>
      </c>
      <c r="CD49" s="130">
        <f>CA49-CB49-CC49</f>
        <v>-23748.54</v>
      </c>
      <c r="CE49" s="148">
        <f>CA33-CA49</f>
        <v>12867.54</v>
      </c>
      <c r="CF49" s="148">
        <f>CE49-BK49</f>
        <v>8630.5000000000018</v>
      </c>
    </row>
    <row r="50" spans="3:84" x14ac:dyDescent="0.35">
      <c r="C50" s="116" t="s">
        <v>130</v>
      </c>
      <c r="D50" s="116" t="s">
        <v>115</v>
      </c>
      <c r="E50" s="128">
        <v>4562.75</v>
      </c>
      <c r="F50" s="3">
        <f t="shared" si="91"/>
        <v>1299.72</v>
      </c>
      <c r="G50" s="3">
        <f t="shared" si="91"/>
        <v>90.17</v>
      </c>
      <c r="H50" s="3">
        <f t="shared" si="91"/>
        <v>-88.92</v>
      </c>
      <c r="I50" s="3">
        <f t="shared" si="91"/>
        <v>-5.27</v>
      </c>
      <c r="J50" s="3">
        <f t="shared" si="91"/>
        <v>352.47</v>
      </c>
      <c r="K50" s="3">
        <v>-7281</v>
      </c>
      <c r="L50" s="3">
        <f t="shared" si="92"/>
        <v>524.69000000000005</v>
      </c>
      <c r="M50" s="3">
        <f t="shared" si="93"/>
        <v>557.41</v>
      </c>
      <c r="N50" s="3">
        <f t="shared" si="93"/>
        <v>448.99</v>
      </c>
      <c r="O50" s="3">
        <f t="shared" si="93"/>
        <v>512.66</v>
      </c>
      <c r="P50" s="3">
        <f t="shared" si="93"/>
        <v>345</v>
      </c>
      <c r="Q50" s="3">
        <f t="shared" si="93"/>
        <v>355.09</v>
      </c>
      <c r="R50" s="3">
        <f t="shared" si="93"/>
        <v>691.67</v>
      </c>
      <c r="S50" s="129">
        <f t="shared" ref="S50:S56" si="103">SUM(E50:R50)</f>
        <v>2365.4299999999998</v>
      </c>
      <c r="T50" s="130">
        <f t="shared" ref="T50:T56" si="104">E50</f>
        <v>4562.75</v>
      </c>
      <c r="U50" s="130">
        <f t="shared" ref="U50:U56" si="105">K50</f>
        <v>-7281</v>
      </c>
      <c r="V50" s="130">
        <f t="shared" ref="V50:V56" si="106">S50-T50-U50</f>
        <v>5083.68</v>
      </c>
      <c r="W50" s="148">
        <f t="shared" ref="W50:W56" si="107">V34-V50</f>
        <v>0</v>
      </c>
      <c r="X50" s="149">
        <f t="shared" ref="X50:X56" si="108">V34-V50</f>
        <v>0</v>
      </c>
      <c r="Y50" s="130">
        <v>2365.4299999999998</v>
      </c>
      <c r="Z50" s="130">
        <f t="shared" si="94"/>
        <v>753.8</v>
      </c>
      <c r="AA50" s="130">
        <f t="shared" si="94"/>
        <v>234.77</v>
      </c>
      <c r="AB50" s="130">
        <f t="shared" si="94"/>
        <v>378.37</v>
      </c>
      <c r="AC50" s="130">
        <f t="shared" si="94"/>
        <v>462.92</v>
      </c>
      <c r="AD50" s="130">
        <f t="shared" si="94"/>
        <v>587.69000000000005</v>
      </c>
      <c r="AE50" s="130">
        <v>-2567</v>
      </c>
      <c r="AF50" s="130">
        <f t="shared" si="95"/>
        <v>434.2</v>
      </c>
      <c r="AG50" s="130">
        <f t="shared" si="96"/>
        <v>457.42</v>
      </c>
      <c r="AH50" s="130">
        <f t="shared" si="96"/>
        <v>293.57</v>
      </c>
      <c r="AI50" s="130">
        <f t="shared" si="96"/>
        <v>328.63</v>
      </c>
      <c r="AJ50" s="130">
        <f t="shared" si="96"/>
        <v>446.81</v>
      </c>
      <c r="AK50" s="130">
        <f t="shared" si="96"/>
        <v>646.48</v>
      </c>
      <c r="AL50" s="130">
        <f t="shared" si="96"/>
        <v>809.91</v>
      </c>
      <c r="AM50" s="129">
        <f t="shared" ref="AM50:AM56" si="109">SUM(Y50:AL50)</f>
        <v>5633</v>
      </c>
      <c r="AN50" s="130">
        <f t="shared" ref="AN50:AN56" si="110">Y50</f>
        <v>2365.4299999999998</v>
      </c>
      <c r="AO50" s="130">
        <f t="shared" ref="AO50:AO56" si="111">AE50</f>
        <v>-2567</v>
      </c>
      <c r="AP50" s="130">
        <f t="shared" ref="AP50:AP56" si="112">AM50-AN50-AO50</f>
        <v>5834.57</v>
      </c>
      <c r="AQ50" s="148">
        <f t="shared" ref="AQ50:AQ56" si="113">AP34-AP50</f>
        <v>0</v>
      </c>
      <c r="AR50" s="149">
        <f t="shared" si="97"/>
        <v>0</v>
      </c>
      <c r="AS50" s="130">
        <v>5633</v>
      </c>
      <c r="AT50" s="130">
        <f t="shared" si="98"/>
        <v>642.67999999999995</v>
      </c>
      <c r="AU50" s="130">
        <f t="shared" si="98"/>
        <v>425.28</v>
      </c>
      <c r="AV50" s="130">
        <f t="shared" si="98"/>
        <v>606.36</v>
      </c>
      <c r="AW50" s="130">
        <f t="shared" si="98"/>
        <v>488.01</v>
      </c>
      <c r="AX50" s="130">
        <f t="shared" si="98"/>
        <v>710.49</v>
      </c>
      <c r="AY50" s="130"/>
      <c r="AZ50" s="130">
        <f t="shared" ref="AZ50:AZ56" si="114">ROUND(SUM(AX21)*AZ$46/365*AZ$47,2)</f>
        <v>960.4</v>
      </c>
      <c r="BA50" s="130">
        <f t="shared" si="99"/>
        <v>1032.54</v>
      </c>
      <c r="BB50" s="130">
        <f t="shared" si="99"/>
        <v>1191.57</v>
      </c>
      <c r="BC50" s="130">
        <f t="shared" si="99"/>
        <v>1120.67</v>
      </c>
      <c r="BD50" s="130">
        <f t="shared" si="99"/>
        <v>1208.74</v>
      </c>
      <c r="BE50" s="130">
        <f t="shared" si="99"/>
        <v>1335.12</v>
      </c>
      <c r="BF50" s="130">
        <f t="shared" si="99"/>
        <v>1394.49</v>
      </c>
      <c r="BG50" s="129">
        <f t="shared" ref="BG50:BG56" si="115">SUM(AS50:BF50)</f>
        <v>16749.349999999999</v>
      </c>
      <c r="BH50" s="130">
        <f t="shared" ref="BH50:BH56" si="116">AS50</f>
        <v>5633</v>
      </c>
      <c r="BI50" s="130">
        <f t="shared" ref="BI50:BI56" si="117">AY50</f>
        <v>0</v>
      </c>
      <c r="BJ50" s="130">
        <f t="shared" ref="BJ50:BJ56" si="118">BG50-BH50-BI50</f>
        <v>11116.349999999999</v>
      </c>
      <c r="BK50" s="148">
        <f t="shared" ref="BK50:BK56" si="119">BG34-BG50</f>
        <v>-4823.0899999999983</v>
      </c>
      <c r="BL50" s="149">
        <f t="shared" ref="BL50:BL56" si="120">BI34-BI50</f>
        <v>0</v>
      </c>
      <c r="BM50" s="138">
        <f t="shared" ref="BM50:BM56" si="121">BG50</f>
        <v>16749.349999999999</v>
      </c>
      <c r="BN50" s="130">
        <f t="shared" si="100"/>
        <v>1229.97</v>
      </c>
      <c r="BO50" s="130">
        <f t="shared" si="100"/>
        <v>1090.3900000000001</v>
      </c>
      <c r="BP50" s="130">
        <f t="shared" si="100"/>
        <v>1013.33</v>
      </c>
      <c r="BQ50" s="130">
        <f t="shared" si="100"/>
        <v>1814.43</v>
      </c>
      <c r="BR50" s="130">
        <f t="shared" si="100"/>
        <v>2144.6999999999998</v>
      </c>
      <c r="BS50" s="130"/>
      <c r="BT50" s="130">
        <f t="shared" si="101"/>
        <v>1843.28</v>
      </c>
      <c r="BU50" s="130">
        <f t="shared" si="102"/>
        <v>2567.15</v>
      </c>
      <c r="BV50" s="130">
        <f t="shared" si="102"/>
        <v>2431.5700000000002</v>
      </c>
      <c r="BW50" s="130">
        <f t="shared" si="102"/>
        <v>2340.31</v>
      </c>
      <c r="BX50" s="130">
        <f t="shared" si="102"/>
        <v>2842.37</v>
      </c>
      <c r="BY50" s="130">
        <f t="shared" si="102"/>
        <v>3233.65</v>
      </c>
      <c r="BZ50" s="130">
        <f t="shared" si="102"/>
        <v>3690.23</v>
      </c>
      <c r="CA50" s="129">
        <f t="shared" ref="CA50:CA56" si="122">SUM(BM50:BZ50)</f>
        <v>42990.73000000001</v>
      </c>
      <c r="CB50" s="130">
        <f t="shared" ref="CB50:CB56" si="123">BM50</f>
        <v>16749.349999999999</v>
      </c>
      <c r="CC50" s="130">
        <f t="shared" ref="CC50:CC56" si="124">BS50</f>
        <v>0</v>
      </c>
      <c r="CD50" s="130">
        <f t="shared" ref="CD50:CD51" si="125">CA50-CB50-CC50</f>
        <v>26241.380000000012</v>
      </c>
      <c r="CE50" s="148">
        <f t="shared" ref="CE50:CE56" si="126">CA34-CA50</f>
        <v>-15354.860000000008</v>
      </c>
      <c r="CF50" s="148">
        <f t="shared" ref="CF50:CF56" si="127">CE50-BK50</f>
        <v>-10531.77000000001</v>
      </c>
    </row>
    <row r="51" spans="3:84" x14ac:dyDescent="0.35">
      <c r="C51" s="116" t="s">
        <v>131</v>
      </c>
      <c r="D51" s="116" t="s">
        <v>117</v>
      </c>
      <c r="E51" s="128">
        <v>-16784.39</v>
      </c>
      <c r="F51" s="3">
        <f t="shared" si="91"/>
        <v>-644.99</v>
      </c>
      <c r="G51" s="3">
        <f t="shared" si="91"/>
        <v>0.98</v>
      </c>
      <c r="H51" s="3">
        <f t="shared" si="91"/>
        <v>1.44</v>
      </c>
      <c r="I51" s="3">
        <f t="shared" si="91"/>
        <v>-39.950000000000003</v>
      </c>
      <c r="J51" s="3">
        <f t="shared" si="91"/>
        <v>-100.72</v>
      </c>
      <c r="K51" s="3">
        <v>18858</v>
      </c>
      <c r="L51" s="3">
        <f t="shared" si="92"/>
        <v>-138.43</v>
      </c>
      <c r="M51" s="3">
        <f t="shared" si="93"/>
        <v>-180.41</v>
      </c>
      <c r="N51" s="3">
        <f t="shared" si="93"/>
        <v>-229.14</v>
      </c>
      <c r="O51" s="3">
        <f t="shared" si="93"/>
        <v>-256.77</v>
      </c>
      <c r="P51" s="3">
        <f t="shared" si="93"/>
        <v>-247.03</v>
      </c>
      <c r="Q51" s="3">
        <f t="shared" si="93"/>
        <v>-256.82</v>
      </c>
      <c r="R51" s="3">
        <f t="shared" si="93"/>
        <v>-445.67</v>
      </c>
      <c r="S51" s="129">
        <f t="shared" si="103"/>
        <v>-463.90000000000464</v>
      </c>
      <c r="T51" s="130">
        <f t="shared" si="104"/>
        <v>-16784.39</v>
      </c>
      <c r="U51" s="130">
        <f t="shared" si="105"/>
        <v>18858</v>
      </c>
      <c r="V51" s="130">
        <f t="shared" si="106"/>
        <v>-2537.5100000000057</v>
      </c>
      <c r="W51" s="148">
        <f t="shared" si="107"/>
        <v>0</v>
      </c>
      <c r="X51" s="149">
        <f t="shared" si="108"/>
        <v>0</v>
      </c>
      <c r="Y51" s="130">
        <v>-463.9</v>
      </c>
      <c r="Z51" s="130">
        <f t="shared" si="94"/>
        <v>-486.45</v>
      </c>
      <c r="AA51" s="130">
        <f t="shared" si="94"/>
        <v>-459.19</v>
      </c>
      <c r="AB51" s="130">
        <f t="shared" si="94"/>
        <v>-484.48</v>
      </c>
      <c r="AC51" s="130">
        <f t="shared" si="94"/>
        <v>-613.02</v>
      </c>
      <c r="AD51" s="130">
        <f t="shared" si="94"/>
        <v>-656.51</v>
      </c>
      <c r="AE51" s="130">
        <v>-2148</v>
      </c>
      <c r="AF51" s="130">
        <f t="shared" si="95"/>
        <v>-698.98</v>
      </c>
      <c r="AG51" s="130">
        <f t="shared" si="96"/>
        <v>-751.7</v>
      </c>
      <c r="AH51" s="130">
        <f t="shared" si="96"/>
        <v>-758.23</v>
      </c>
      <c r="AI51" s="130">
        <f t="shared" si="96"/>
        <v>-629.75</v>
      </c>
      <c r="AJ51" s="130">
        <f t="shared" si="96"/>
        <v>-646.98</v>
      </c>
      <c r="AK51" s="130">
        <f t="shared" si="96"/>
        <v>-640.15</v>
      </c>
      <c r="AL51" s="130">
        <f t="shared" si="96"/>
        <v>-773.43</v>
      </c>
      <c r="AM51" s="129">
        <f t="shared" si="109"/>
        <v>-10210.77</v>
      </c>
      <c r="AN51" s="130">
        <f t="shared" si="110"/>
        <v>-463.9</v>
      </c>
      <c r="AO51" s="130">
        <f t="shared" si="111"/>
        <v>-2148</v>
      </c>
      <c r="AP51" s="130">
        <f t="shared" si="112"/>
        <v>-7598.8700000000008</v>
      </c>
      <c r="AQ51" s="148">
        <f t="shared" si="113"/>
        <v>0</v>
      </c>
      <c r="AR51" s="149">
        <f t="shared" si="97"/>
        <v>0</v>
      </c>
      <c r="AS51" s="130">
        <v>-10210.77</v>
      </c>
      <c r="AT51" s="130">
        <f t="shared" si="98"/>
        <v>-789.24</v>
      </c>
      <c r="AU51" s="130">
        <f t="shared" si="98"/>
        <v>-702.56</v>
      </c>
      <c r="AV51" s="130">
        <f t="shared" si="98"/>
        <v>-801.84</v>
      </c>
      <c r="AW51" s="130">
        <f t="shared" si="98"/>
        <v>-824.18</v>
      </c>
      <c r="AX51" s="130">
        <f t="shared" si="98"/>
        <v>-852.12</v>
      </c>
      <c r="AY51" s="130"/>
      <c r="AZ51" s="130">
        <f t="shared" si="114"/>
        <v>-975.6</v>
      </c>
      <c r="BA51" s="130">
        <f t="shared" si="99"/>
        <v>-1007.33</v>
      </c>
      <c r="BB51" s="130">
        <f t="shared" si="99"/>
        <v>-1039.2</v>
      </c>
      <c r="BC51" s="130">
        <f t="shared" si="99"/>
        <v>-915.71</v>
      </c>
      <c r="BD51" s="130">
        <f t="shared" si="99"/>
        <v>-1299.48</v>
      </c>
      <c r="BE51" s="130">
        <f t="shared" si="99"/>
        <v>-1255.18</v>
      </c>
      <c r="BF51" s="130">
        <f t="shared" si="99"/>
        <v>-1476.57</v>
      </c>
      <c r="BG51" s="129">
        <f t="shared" si="115"/>
        <v>-22149.78</v>
      </c>
      <c r="BH51" s="130">
        <f t="shared" si="116"/>
        <v>-10210.77</v>
      </c>
      <c r="BI51" s="130">
        <f t="shared" si="117"/>
        <v>0</v>
      </c>
      <c r="BJ51" s="130">
        <f t="shared" si="118"/>
        <v>-11939.009999999998</v>
      </c>
      <c r="BK51" s="148">
        <f t="shared" si="119"/>
        <v>9437.34</v>
      </c>
      <c r="BL51" s="149">
        <f t="shared" si="120"/>
        <v>0</v>
      </c>
      <c r="BM51" s="138">
        <f t="shared" si="121"/>
        <v>-22149.78</v>
      </c>
      <c r="BN51" s="130">
        <f t="shared" si="100"/>
        <v>-1426.59</v>
      </c>
      <c r="BO51" s="130">
        <f t="shared" si="100"/>
        <v>-1267.46</v>
      </c>
      <c r="BP51" s="128">
        <f t="shared" si="100"/>
        <v>-1379.47</v>
      </c>
      <c r="BQ51" s="130">
        <f t="shared" si="100"/>
        <v>-1700.92</v>
      </c>
      <c r="BR51" s="130">
        <f t="shared" si="100"/>
        <v>-1743.89</v>
      </c>
      <c r="BS51" s="130"/>
      <c r="BT51" s="130">
        <f t="shared" si="101"/>
        <v>-1129.32</v>
      </c>
      <c r="BU51" s="130">
        <f t="shared" si="102"/>
        <v>-1102.94</v>
      </c>
      <c r="BV51" s="130">
        <f t="shared" si="102"/>
        <v>-983.81</v>
      </c>
      <c r="BW51" s="130">
        <f t="shared" si="102"/>
        <v>-918.77</v>
      </c>
      <c r="BX51" s="130">
        <f t="shared" si="102"/>
        <v>-1053.8</v>
      </c>
      <c r="BY51" s="130">
        <f t="shared" si="102"/>
        <v>-979.48</v>
      </c>
      <c r="BZ51" s="130">
        <f t="shared" si="102"/>
        <v>-1201.4100000000001</v>
      </c>
      <c r="CA51" s="129">
        <f t="shared" si="122"/>
        <v>-37037.640000000007</v>
      </c>
      <c r="CB51" s="130">
        <f t="shared" si="123"/>
        <v>-22149.78</v>
      </c>
      <c r="CC51" s="130">
        <f t="shared" si="124"/>
        <v>0</v>
      </c>
      <c r="CD51" s="130">
        <f t="shared" si="125"/>
        <v>-14887.860000000008</v>
      </c>
      <c r="CE51" s="148">
        <f>CA35-CA51</f>
        <v>35402.210000000006</v>
      </c>
      <c r="CF51" s="148">
        <f t="shared" si="127"/>
        <v>25964.870000000006</v>
      </c>
    </row>
    <row r="52" spans="3:84" x14ac:dyDescent="0.35">
      <c r="C52" s="131" t="s">
        <v>130</v>
      </c>
      <c r="D52" s="131" t="s">
        <v>118</v>
      </c>
      <c r="E52" s="128"/>
      <c r="F52" s="3">
        <f t="shared" si="91"/>
        <v>0</v>
      </c>
      <c r="G52" s="3">
        <f t="shared" si="91"/>
        <v>0</v>
      </c>
      <c r="H52" s="3">
        <f t="shared" si="91"/>
        <v>0</v>
      </c>
      <c r="I52" s="3">
        <f t="shared" si="91"/>
        <v>0</v>
      </c>
      <c r="J52" s="3">
        <f t="shared" si="91"/>
        <v>0</v>
      </c>
      <c r="K52" s="3">
        <v>0</v>
      </c>
      <c r="L52" s="3">
        <f t="shared" si="92"/>
        <v>0</v>
      </c>
      <c r="M52" s="3">
        <f t="shared" si="93"/>
        <v>0</v>
      </c>
      <c r="N52" s="3">
        <f t="shared" si="93"/>
        <v>0</v>
      </c>
      <c r="O52" s="3">
        <f t="shared" si="93"/>
        <v>0</v>
      </c>
      <c r="P52" s="3">
        <f t="shared" si="93"/>
        <v>0</v>
      </c>
      <c r="Q52" s="3">
        <f t="shared" si="93"/>
        <v>0</v>
      </c>
      <c r="R52" s="3">
        <f t="shared" si="93"/>
        <v>0</v>
      </c>
      <c r="S52" s="129">
        <f t="shared" si="103"/>
        <v>0</v>
      </c>
      <c r="T52" s="130">
        <f t="shared" si="104"/>
        <v>0</v>
      </c>
      <c r="U52" s="130">
        <f t="shared" si="105"/>
        <v>0</v>
      </c>
      <c r="V52" s="130">
        <f t="shared" si="106"/>
        <v>0</v>
      </c>
      <c r="W52" s="148">
        <f t="shared" si="107"/>
        <v>0</v>
      </c>
      <c r="X52" s="149">
        <f t="shared" si="108"/>
        <v>0</v>
      </c>
      <c r="Y52" s="130"/>
      <c r="Z52" s="130">
        <f t="shared" si="94"/>
        <v>0</v>
      </c>
      <c r="AA52" s="130">
        <f t="shared" si="94"/>
        <v>0</v>
      </c>
      <c r="AB52" s="130">
        <f t="shared" si="94"/>
        <v>0</v>
      </c>
      <c r="AC52" s="130">
        <f t="shared" si="94"/>
        <v>0</v>
      </c>
      <c r="AD52" s="130">
        <f t="shared" si="94"/>
        <v>0</v>
      </c>
      <c r="AE52" s="130">
        <v>0</v>
      </c>
      <c r="AF52" s="130">
        <f t="shared" si="95"/>
        <v>0</v>
      </c>
      <c r="AG52" s="130">
        <f t="shared" si="96"/>
        <v>0</v>
      </c>
      <c r="AH52" s="130">
        <f t="shared" si="96"/>
        <v>0</v>
      </c>
      <c r="AI52" s="130">
        <f t="shared" si="96"/>
        <v>0</v>
      </c>
      <c r="AJ52" s="130">
        <f t="shared" si="96"/>
        <v>0</v>
      </c>
      <c r="AK52" s="130">
        <f t="shared" si="96"/>
        <v>0</v>
      </c>
      <c r="AL52" s="130">
        <f t="shared" si="96"/>
        <v>0</v>
      </c>
      <c r="AM52" s="129">
        <f t="shared" si="109"/>
        <v>0</v>
      </c>
      <c r="AN52" s="130">
        <f t="shared" si="110"/>
        <v>0</v>
      </c>
      <c r="AO52" s="130">
        <f t="shared" si="111"/>
        <v>0</v>
      </c>
      <c r="AP52" s="130">
        <f t="shared" si="112"/>
        <v>0</v>
      </c>
      <c r="AQ52" s="148">
        <f t="shared" si="113"/>
        <v>0</v>
      </c>
      <c r="AR52" s="149">
        <f t="shared" si="97"/>
        <v>0</v>
      </c>
      <c r="AS52" s="128" t="s">
        <v>132</v>
      </c>
      <c r="AT52" s="130">
        <f t="shared" si="98"/>
        <v>0</v>
      </c>
      <c r="AU52" s="130">
        <f t="shared" si="98"/>
        <v>0</v>
      </c>
      <c r="AV52" s="130">
        <f t="shared" si="98"/>
        <v>0</v>
      </c>
      <c r="AW52" s="130">
        <f t="shared" si="98"/>
        <v>0</v>
      </c>
      <c r="AX52" s="130">
        <f t="shared" si="98"/>
        <v>0</v>
      </c>
      <c r="AY52" s="130"/>
      <c r="AZ52" s="130">
        <f t="shared" si="114"/>
        <v>0</v>
      </c>
      <c r="BA52" s="130">
        <f t="shared" si="99"/>
        <v>0</v>
      </c>
      <c r="BB52" s="130">
        <v>0</v>
      </c>
      <c r="BC52" s="130">
        <v>0</v>
      </c>
      <c r="BD52" s="130">
        <v>0</v>
      </c>
      <c r="BE52" s="130">
        <v>0</v>
      </c>
      <c r="BF52" s="130">
        <v>0</v>
      </c>
      <c r="BG52" s="129">
        <f t="shared" si="115"/>
        <v>0</v>
      </c>
      <c r="BH52" s="130" t="str">
        <f t="shared" si="116"/>
        <v>No Carrying Charges</v>
      </c>
      <c r="BI52" s="130">
        <f t="shared" si="117"/>
        <v>0</v>
      </c>
      <c r="BJ52" s="130">
        <v>0</v>
      </c>
      <c r="BK52" s="148">
        <f t="shared" si="119"/>
        <v>0</v>
      </c>
      <c r="BL52" s="149">
        <f t="shared" si="120"/>
        <v>0</v>
      </c>
      <c r="BM52" s="138">
        <f t="shared" si="121"/>
        <v>0</v>
      </c>
      <c r="BN52" s="130">
        <f t="shared" si="100"/>
        <v>0</v>
      </c>
      <c r="BO52" s="130">
        <f t="shared" si="100"/>
        <v>0</v>
      </c>
      <c r="BP52" s="130">
        <f t="shared" si="100"/>
        <v>0</v>
      </c>
      <c r="BQ52" s="130">
        <f t="shared" si="100"/>
        <v>0</v>
      </c>
      <c r="BR52" s="130">
        <f t="shared" si="100"/>
        <v>0</v>
      </c>
      <c r="BS52" s="130"/>
      <c r="BT52" s="130">
        <f t="shared" si="101"/>
        <v>0</v>
      </c>
      <c r="BU52" s="130">
        <f t="shared" si="102"/>
        <v>0</v>
      </c>
      <c r="BV52" s="130">
        <f t="shared" si="102"/>
        <v>0</v>
      </c>
      <c r="BW52" s="130">
        <f t="shared" si="102"/>
        <v>0</v>
      </c>
      <c r="BX52" s="130">
        <f t="shared" si="102"/>
        <v>0</v>
      </c>
      <c r="BY52" s="130">
        <f t="shared" si="102"/>
        <v>0</v>
      </c>
      <c r="BZ52" s="130">
        <f t="shared" si="102"/>
        <v>0</v>
      </c>
      <c r="CA52" s="129">
        <f t="shared" si="122"/>
        <v>0</v>
      </c>
      <c r="CB52" s="130">
        <f t="shared" si="123"/>
        <v>0</v>
      </c>
      <c r="CC52" s="130">
        <f t="shared" si="124"/>
        <v>0</v>
      </c>
      <c r="CD52" s="130">
        <v>0</v>
      </c>
      <c r="CE52" s="148">
        <f t="shared" si="126"/>
        <v>0</v>
      </c>
      <c r="CF52" s="148">
        <f t="shared" si="127"/>
        <v>0</v>
      </c>
    </row>
    <row r="53" spans="3:84" x14ac:dyDescent="0.35">
      <c r="C53" s="116" t="s">
        <v>133</v>
      </c>
      <c r="D53" s="116" t="s">
        <v>120</v>
      </c>
      <c r="E53" s="128">
        <v>9226.8799999999992</v>
      </c>
      <c r="F53" s="3">
        <f t="shared" si="91"/>
        <v>428.58</v>
      </c>
      <c r="G53" s="3">
        <f t="shared" si="91"/>
        <v>-132.66999999999999</v>
      </c>
      <c r="H53" s="3">
        <f t="shared" si="91"/>
        <v>-131.06</v>
      </c>
      <c r="I53" s="3">
        <f t="shared" si="91"/>
        <v>-125.12</v>
      </c>
      <c r="J53" s="3">
        <f t="shared" si="91"/>
        <v>-137.26</v>
      </c>
      <c r="K53" s="3">
        <v>-9965</v>
      </c>
      <c r="L53" s="3">
        <f t="shared" si="92"/>
        <v>-131.82</v>
      </c>
      <c r="M53" s="3">
        <f t="shared" si="93"/>
        <v>-119.63</v>
      </c>
      <c r="N53" s="3">
        <f t="shared" si="93"/>
        <v>-99.52</v>
      </c>
      <c r="O53" s="3">
        <f t="shared" si="93"/>
        <v>-59.28</v>
      </c>
      <c r="P53" s="3">
        <f t="shared" si="93"/>
        <v>-3.15</v>
      </c>
      <c r="Q53" s="3">
        <f t="shared" si="93"/>
        <v>-9.1</v>
      </c>
      <c r="R53" s="3">
        <f t="shared" si="93"/>
        <v>16.11</v>
      </c>
      <c r="S53" s="129">
        <f t="shared" si="103"/>
        <v>-1242.0400000000013</v>
      </c>
      <c r="T53" s="130">
        <f t="shared" si="104"/>
        <v>9226.8799999999992</v>
      </c>
      <c r="U53" s="130">
        <f t="shared" si="105"/>
        <v>-9965</v>
      </c>
      <c r="V53" s="130">
        <f t="shared" si="106"/>
        <v>-503.92000000000007</v>
      </c>
      <c r="W53" s="148">
        <f t="shared" si="107"/>
        <v>0</v>
      </c>
      <c r="X53" s="149">
        <f t="shared" si="108"/>
        <v>0</v>
      </c>
      <c r="Y53" s="130">
        <v>-1242.04</v>
      </c>
      <c r="Z53" s="130">
        <f t="shared" si="94"/>
        <v>-3.54</v>
      </c>
      <c r="AA53" s="130">
        <f t="shared" si="94"/>
        <v>113.49</v>
      </c>
      <c r="AB53" s="130">
        <f t="shared" si="94"/>
        <v>203.53</v>
      </c>
      <c r="AC53" s="130">
        <f t="shared" si="94"/>
        <v>186.35</v>
      </c>
      <c r="AD53" s="130">
        <f t="shared" si="94"/>
        <v>230.99</v>
      </c>
      <c r="AE53" s="130">
        <v>1891</v>
      </c>
      <c r="AF53" s="130">
        <f t="shared" si="95"/>
        <v>365.82</v>
      </c>
      <c r="AG53" s="130">
        <f t="shared" si="96"/>
        <v>380.63</v>
      </c>
      <c r="AH53" s="130">
        <f t="shared" si="96"/>
        <v>276.66000000000003</v>
      </c>
      <c r="AI53" s="130">
        <f t="shared" si="96"/>
        <v>459.47</v>
      </c>
      <c r="AJ53" s="130">
        <f t="shared" si="96"/>
        <v>542.04999999999995</v>
      </c>
      <c r="AK53" s="130">
        <f t="shared" si="96"/>
        <v>611.33000000000004</v>
      </c>
      <c r="AL53" s="130">
        <f t="shared" si="96"/>
        <v>596.42999999999995</v>
      </c>
      <c r="AM53" s="129">
        <f t="shared" si="109"/>
        <v>4612.17</v>
      </c>
      <c r="AN53" s="130">
        <f t="shared" si="110"/>
        <v>-1242.04</v>
      </c>
      <c r="AO53" s="130">
        <f t="shared" si="111"/>
        <v>1891</v>
      </c>
      <c r="AP53" s="130">
        <f t="shared" si="112"/>
        <v>3963.21</v>
      </c>
      <c r="AQ53" s="148">
        <f t="shared" si="113"/>
        <v>0</v>
      </c>
      <c r="AR53" s="149">
        <f t="shared" si="97"/>
        <v>0</v>
      </c>
      <c r="AS53" s="130">
        <v>4612.17</v>
      </c>
      <c r="AT53" s="130">
        <f t="shared" si="98"/>
        <v>765.36</v>
      </c>
      <c r="AU53" s="130">
        <f t="shared" si="98"/>
        <v>698.9</v>
      </c>
      <c r="AV53" s="130">
        <f t="shared" si="98"/>
        <v>796.05</v>
      </c>
      <c r="AW53" s="130">
        <f t="shared" si="98"/>
        <v>773.6</v>
      </c>
      <c r="AX53" s="130">
        <f t="shared" si="98"/>
        <v>815.56</v>
      </c>
      <c r="AY53" s="130"/>
      <c r="AZ53" s="130">
        <f t="shared" si="114"/>
        <v>804.43</v>
      </c>
      <c r="BA53" s="130">
        <f t="shared" si="99"/>
        <v>875.96</v>
      </c>
      <c r="BB53" s="130">
        <f t="shared" si="99"/>
        <v>906.4</v>
      </c>
      <c r="BC53" s="130">
        <f t="shared" si="99"/>
        <v>773.73</v>
      </c>
      <c r="BD53" s="130">
        <f t="shared" si="99"/>
        <v>1342.11</v>
      </c>
      <c r="BE53" s="130">
        <f t="shared" si="99"/>
        <v>1364.98</v>
      </c>
      <c r="BF53" s="130">
        <f t="shared" si="99"/>
        <v>1341.08</v>
      </c>
      <c r="BG53" s="129">
        <f t="shared" si="115"/>
        <v>15870.329999999998</v>
      </c>
      <c r="BH53" s="130">
        <f t="shared" si="116"/>
        <v>4612.17</v>
      </c>
      <c r="BI53" s="130">
        <f t="shared" si="117"/>
        <v>0</v>
      </c>
      <c r="BJ53" s="130">
        <f t="shared" si="118"/>
        <v>11258.159999999998</v>
      </c>
      <c r="BK53" s="148">
        <f t="shared" si="119"/>
        <v>-4015.739999999998</v>
      </c>
      <c r="BL53" s="149">
        <f t="shared" si="120"/>
        <v>0</v>
      </c>
      <c r="BM53" s="138">
        <f t="shared" si="121"/>
        <v>15870.329999999998</v>
      </c>
      <c r="BN53" s="130">
        <f t="shared" si="100"/>
        <v>1444.8</v>
      </c>
      <c r="BO53" s="130">
        <f t="shared" si="100"/>
        <v>1378.64</v>
      </c>
      <c r="BP53" s="130">
        <f t="shared" si="100"/>
        <v>1548.73</v>
      </c>
      <c r="BQ53" s="130">
        <f t="shared" si="100"/>
        <v>1910.81</v>
      </c>
      <c r="BR53" s="130">
        <f t="shared" si="100"/>
        <v>2027.64</v>
      </c>
      <c r="BS53" s="130"/>
      <c r="BT53" s="130">
        <f t="shared" si="101"/>
        <v>1872.16</v>
      </c>
      <c r="BU53" s="130">
        <f t="shared" si="102"/>
        <v>1992.12</v>
      </c>
      <c r="BV53" s="130">
        <f t="shared" si="102"/>
        <v>2077.25</v>
      </c>
      <c r="BW53" s="130">
        <f t="shared" si="102"/>
        <v>2130.4299999999998</v>
      </c>
      <c r="BX53" s="130">
        <f t="shared" si="102"/>
        <v>2642.08</v>
      </c>
      <c r="BY53" s="130">
        <f t="shared" si="102"/>
        <v>2558.83</v>
      </c>
      <c r="BZ53" s="130">
        <f t="shared" si="102"/>
        <v>2675.96</v>
      </c>
      <c r="CA53" s="129">
        <f t="shared" si="122"/>
        <v>40129.78</v>
      </c>
      <c r="CB53" s="130">
        <f t="shared" si="123"/>
        <v>15870.329999999998</v>
      </c>
      <c r="CC53" s="130">
        <f t="shared" si="124"/>
        <v>0</v>
      </c>
      <c r="CD53" s="130">
        <f t="shared" ref="CD53:CD56" si="128">CA53-CB53-CC53</f>
        <v>24259.45</v>
      </c>
      <c r="CE53" s="148">
        <f t="shared" si="126"/>
        <v>-17315.25</v>
      </c>
      <c r="CF53" s="148">
        <f t="shared" si="127"/>
        <v>-13299.510000000002</v>
      </c>
    </row>
    <row r="54" spans="3:84" x14ac:dyDescent="0.35">
      <c r="C54" s="116" t="s">
        <v>134</v>
      </c>
      <c r="D54" s="116" t="s">
        <v>122</v>
      </c>
      <c r="E54" s="128">
        <v>5030.42</v>
      </c>
      <c r="F54" s="3">
        <f t="shared" si="91"/>
        <v>184.73</v>
      </c>
      <c r="G54" s="3">
        <f t="shared" si="91"/>
        <v>-205.4</v>
      </c>
      <c r="H54" s="3">
        <f t="shared" si="91"/>
        <v>-200.56</v>
      </c>
      <c r="I54" s="3">
        <f t="shared" si="91"/>
        <v>-160.24</v>
      </c>
      <c r="J54" s="3">
        <f t="shared" si="91"/>
        <v>-164.72</v>
      </c>
      <c r="K54" s="3">
        <v>-6153</v>
      </c>
      <c r="L54" s="3">
        <f t="shared" si="92"/>
        <v>-156.04</v>
      </c>
      <c r="M54" s="3">
        <f t="shared" si="93"/>
        <v>-144.01</v>
      </c>
      <c r="N54" s="3">
        <f t="shared" si="93"/>
        <v>-125.53</v>
      </c>
      <c r="O54" s="3">
        <f t="shared" si="93"/>
        <v>-88.46</v>
      </c>
      <c r="P54" s="3">
        <f t="shared" si="93"/>
        <v>-40.28</v>
      </c>
      <c r="Q54" s="3">
        <f t="shared" si="93"/>
        <v>-3.58</v>
      </c>
      <c r="R54" s="3">
        <f t="shared" si="93"/>
        <v>-5.62</v>
      </c>
      <c r="S54" s="129">
        <f t="shared" si="103"/>
        <v>-2232.2900000000004</v>
      </c>
      <c r="T54" s="130">
        <f t="shared" si="104"/>
        <v>5030.42</v>
      </c>
      <c r="U54" s="130">
        <f t="shared" si="105"/>
        <v>-6153</v>
      </c>
      <c r="V54" s="130">
        <f t="shared" si="106"/>
        <v>-1109.7100000000009</v>
      </c>
      <c r="W54" s="148">
        <f t="shared" si="107"/>
        <v>0</v>
      </c>
      <c r="X54" s="149">
        <f t="shared" si="108"/>
        <v>0</v>
      </c>
      <c r="Y54" s="130">
        <v>-2232.29</v>
      </c>
      <c r="Z54" s="130">
        <f t="shared" si="94"/>
        <v>25.58</v>
      </c>
      <c r="AA54" s="130">
        <f t="shared" si="94"/>
        <v>193.12</v>
      </c>
      <c r="AB54" s="130">
        <f t="shared" si="94"/>
        <v>262.73</v>
      </c>
      <c r="AC54" s="130">
        <f t="shared" si="94"/>
        <v>260.83999999999997</v>
      </c>
      <c r="AD54" s="130">
        <f t="shared" si="94"/>
        <v>303.08</v>
      </c>
      <c r="AE54" s="130">
        <v>3006</v>
      </c>
      <c r="AF54" s="130">
        <f t="shared" si="95"/>
        <v>409.79</v>
      </c>
      <c r="AG54" s="130">
        <f t="shared" si="96"/>
        <v>440.61</v>
      </c>
      <c r="AH54" s="130">
        <f t="shared" si="96"/>
        <v>347.41</v>
      </c>
      <c r="AI54" s="130">
        <f t="shared" si="96"/>
        <v>483.42</v>
      </c>
      <c r="AJ54" s="130">
        <f t="shared" si="96"/>
        <v>549.83000000000004</v>
      </c>
      <c r="AK54" s="130">
        <f t="shared" si="96"/>
        <v>595.6</v>
      </c>
      <c r="AL54" s="130">
        <f t="shared" si="96"/>
        <v>599.94000000000005</v>
      </c>
      <c r="AM54" s="129">
        <f t="shared" si="109"/>
        <v>5245.66</v>
      </c>
      <c r="AN54" s="130">
        <f t="shared" si="110"/>
        <v>-2232.29</v>
      </c>
      <c r="AO54" s="130">
        <f t="shared" si="111"/>
        <v>3006</v>
      </c>
      <c r="AP54" s="130">
        <f t="shared" si="112"/>
        <v>4471.95</v>
      </c>
      <c r="AQ54" s="148">
        <f t="shared" si="113"/>
        <v>0</v>
      </c>
      <c r="AR54" s="149">
        <f t="shared" si="97"/>
        <v>0</v>
      </c>
      <c r="AS54" s="130">
        <v>5245.66</v>
      </c>
      <c r="AT54" s="130">
        <f t="shared" si="98"/>
        <v>726.82</v>
      </c>
      <c r="AU54" s="130">
        <f t="shared" si="98"/>
        <v>673.67</v>
      </c>
      <c r="AV54" s="130">
        <f t="shared" si="98"/>
        <v>768.27</v>
      </c>
      <c r="AW54" s="130">
        <f t="shared" si="98"/>
        <v>749.62</v>
      </c>
      <c r="AX54" s="130">
        <f t="shared" si="98"/>
        <v>795.27</v>
      </c>
      <c r="AY54" s="130"/>
      <c r="AZ54" s="130">
        <f t="shared" si="114"/>
        <v>782.35</v>
      </c>
      <c r="BA54" s="130">
        <f t="shared" si="99"/>
        <v>845.02</v>
      </c>
      <c r="BB54" s="130">
        <f t="shared" si="99"/>
        <v>869.92</v>
      </c>
      <c r="BC54" s="130">
        <f t="shared" si="99"/>
        <v>764.68</v>
      </c>
      <c r="BD54" s="130">
        <f t="shared" si="99"/>
        <v>1291.74</v>
      </c>
      <c r="BE54" s="130">
        <f t="shared" si="99"/>
        <v>1316.94</v>
      </c>
      <c r="BF54" s="130">
        <f t="shared" si="99"/>
        <v>1297.42</v>
      </c>
      <c r="BG54" s="129">
        <f t="shared" si="115"/>
        <v>16127.380000000001</v>
      </c>
      <c r="BH54" s="130">
        <f t="shared" si="116"/>
        <v>5245.66</v>
      </c>
      <c r="BI54" s="130">
        <f t="shared" si="117"/>
        <v>0</v>
      </c>
      <c r="BJ54" s="130">
        <f t="shared" si="118"/>
        <v>10881.720000000001</v>
      </c>
      <c r="BK54" s="148">
        <f t="shared" si="119"/>
        <v>-4645.7199999999993</v>
      </c>
      <c r="BL54" s="149">
        <f t="shared" si="120"/>
        <v>0</v>
      </c>
      <c r="BM54" s="138">
        <f t="shared" si="121"/>
        <v>16127.380000000001</v>
      </c>
      <c r="BN54" s="130">
        <f t="shared" si="100"/>
        <v>1399.99</v>
      </c>
      <c r="BO54" s="130">
        <f t="shared" si="100"/>
        <v>1336.68</v>
      </c>
      <c r="BP54" s="130">
        <f t="shared" si="100"/>
        <v>1508.23</v>
      </c>
      <c r="BQ54" s="130">
        <f t="shared" si="100"/>
        <v>1865.39</v>
      </c>
      <c r="BR54" s="130">
        <f t="shared" si="100"/>
        <v>1995.48</v>
      </c>
      <c r="BS54" s="130"/>
      <c r="BT54" s="130">
        <f t="shared" si="101"/>
        <v>1702.43</v>
      </c>
      <c r="BU54" s="130">
        <f t="shared" si="102"/>
        <v>1799.51</v>
      </c>
      <c r="BV54" s="130">
        <f t="shared" si="102"/>
        <v>1865.72</v>
      </c>
      <c r="BW54" s="130">
        <f t="shared" si="102"/>
        <v>1890.86</v>
      </c>
      <c r="BX54" s="130">
        <f t="shared" si="102"/>
        <v>2320.33</v>
      </c>
      <c r="BY54" s="130">
        <f t="shared" si="102"/>
        <v>2237.4</v>
      </c>
      <c r="BZ54" s="130">
        <f t="shared" si="102"/>
        <v>2332.73</v>
      </c>
      <c r="CA54" s="129">
        <f t="shared" si="122"/>
        <v>38382.130000000005</v>
      </c>
      <c r="CB54" s="130">
        <f t="shared" si="123"/>
        <v>16127.380000000001</v>
      </c>
      <c r="CC54" s="130">
        <f t="shared" si="124"/>
        <v>0</v>
      </c>
      <c r="CD54" s="130">
        <f t="shared" si="128"/>
        <v>22254.750000000004</v>
      </c>
      <c r="CE54" s="148">
        <f t="shared" si="126"/>
        <v>-19865.660000000003</v>
      </c>
      <c r="CF54" s="148">
        <f t="shared" si="127"/>
        <v>-15219.940000000004</v>
      </c>
    </row>
    <row r="55" spans="3:84" x14ac:dyDescent="0.35">
      <c r="C55" s="131" t="s">
        <v>135</v>
      </c>
      <c r="D55" s="131" t="s">
        <v>124</v>
      </c>
      <c r="E55" s="128">
        <v>211.2</v>
      </c>
      <c r="F55" s="3">
        <f t="shared" si="91"/>
        <v>5.48</v>
      </c>
      <c r="G55" s="3">
        <f t="shared" si="91"/>
        <v>-5.29</v>
      </c>
      <c r="H55" s="3">
        <f t="shared" si="91"/>
        <v>-6.86</v>
      </c>
      <c r="I55" s="3">
        <f t="shared" si="91"/>
        <v>-5.3</v>
      </c>
      <c r="J55" s="3">
        <f t="shared" si="91"/>
        <v>-5.56</v>
      </c>
      <c r="K55" s="3">
        <v>-238</v>
      </c>
      <c r="L55" s="3">
        <f t="shared" si="92"/>
        <v>-5.73</v>
      </c>
      <c r="M55" s="3">
        <f t="shared" si="93"/>
        <v>-6.76</v>
      </c>
      <c r="N55" s="3">
        <f t="shared" si="93"/>
        <v>-9.4</v>
      </c>
      <c r="O55" s="3">
        <f t="shared" si="93"/>
        <v>-6.45</v>
      </c>
      <c r="P55" s="3">
        <f t="shared" si="93"/>
        <v>-8.1</v>
      </c>
      <c r="Q55" s="3">
        <f t="shared" si="93"/>
        <v>-8.34</v>
      </c>
      <c r="R55" s="3">
        <f t="shared" si="93"/>
        <v>-9.17</v>
      </c>
      <c r="S55" s="129">
        <f t="shared" si="103"/>
        <v>-98.280000000000044</v>
      </c>
      <c r="T55" s="130">
        <f t="shared" si="104"/>
        <v>211.2</v>
      </c>
      <c r="U55" s="130">
        <f t="shared" si="105"/>
        <v>-238</v>
      </c>
      <c r="V55" s="130">
        <f t="shared" si="106"/>
        <v>-71.480000000000018</v>
      </c>
      <c r="W55" s="148">
        <f t="shared" si="107"/>
        <v>0</v>
      </c>
      <c r="X55" s="149">
        <f t="shared" si="108"/>
        <v>0</v>
      </c>
      <c r="Y55" s="130">
        <v>-98.28</v>
      </c>
      <c r="Z55" s="130">
        <f t="shared" si="94"/>
        <v>-9.4700000000000006</v>
      </c>
      <c r="AA55" s="130">
        <f t="shared" si="94"/>
        <v>-5.01</v>
      </c>
      <c r="AB55" s="130">
        <f t="shared" si="94"/>
        <v>-5.66</v>
      </c>
      <c r="AC55" s="130">
        <f t="shared" si="94"/>
        <v>-5.84</v>
      </c>
      <c r="AD55" s="130">
        <f t="shared" si="94"/>
        <v>-6.47</v>
      </c>
      <c r="AE55" s="130">
        <v>83</v>
      </c>
      <c r="AF55" s="130">
        <f t="shared" si="95"/>
        <v>-6.58</v>
      </c>
      <c r="AG55" s="130">
        <f t="shared" si="96"/>
        <v>-7.24</v>
      </c>
      <c r="AH55" s="130">
        <f t="shared" si="96"/>
        <v>-7.5</v>
      </c>
      <c r="AI55" s="130">
        <f t="shared" si="96"/>
        <v>-7.79</v>
      </c>
      <c r="AJ55" s="130">
        <f t="shared" si="96"/>
        <v>-8.3699999999999992</v>
      </c>
      <c r="AK55" s="130">
        <f t="shared" si="96"/>
        <v>-8.52</v>
      </c>
      <c r="AL55" s="130">
        <f t="shared" si="96"/>
        <v>-9.18</v>
      </c>
      <c r="AM55" s="129">
        <f t="shared" si="109"/>
        <v>-102.91000000000003</v>
      </c>
      <c r="AN55" s="130">
        <f t="shared" si="110"/>
        <v>-98.28</v>
      </c>
      <c r="AO55" s="130">
        <f t="shared" si="111"/>
        <v>83</v>
      </c>
      <c r="AP55" s="130">
        <f t="shared" si="112"/>
        <v>-87.630000000000024</v>
      </c>
      <c r="AQ55" s="148">
        <f t="shared" si="113"/>
        <v>0</v>
      </c>
      <c r="AR55" s="149">
        <f t="shared" si="97"/>
        <v>0</v>
      </c>
      <c r="AS55" s="130">
        <v>-102.91</v>
      </c>
      <c r="AT55" s="130">
        <f t="shared" si="98"/>
        <v>-9.5</v>
      </c>
      <c r="AU55" s="130">
        <f t="shared" si="98"/>
        <v>-8.76</v>
      </c>
      <c r="AV55" s="130">
        <f t="shared" si="98"/>
        <v>-9.9600000000000009</v>
      </c>
      <c r="AW55" s="130">
        <f t="shared" si="98"/>
        <v>-9.98</v>
      </c>
      <c r="AX55" s="130">
        <f t="shared" si="98"/>
        <v>-10.39</v>
      </c>
      <c r="AY55" s="130"/>
      <c r="AZ55" s="130">
        <f t="shared" si="114"/>
        <v>-10.38</v>
      </c>
      <c r="BA55" s="130">
        <f t="shared" si="99"/>
        <v>-11.11</v>
      </c>
      <c r="BB55" s="130">
        <f t="shared" si="99"/>
        <v>-11.41</v>
      </c>
      <c r="BC55" s="130">
        <f t="shared" si="99"/>
        <v>-11.27</v>
      </c>
      <c r="BD55" s="130">
        <f t="shared" si="99"/>
        <v>-17.239999999999998</v>
      </c>
      <c r="BE55" s="130">
        <f t="shared" si="99"/>
        <v>-17.329999999999998</v>
      </c>
      <c r="BF55" s="130">
        <f t="shared" si="99"/>
        <v>-18.579999999999998</v>
      </c>
      <c r="BG55" s="129">
        <f t="shared" si="115"/>
        <v>-248.82</v>
      </c>
      <c r="BH55" s="130">
        <f t="shared" si="116"/>
        <v>-102.91</v>
      </c>
      <c r="BI55" s="130">
        <f t="shared" si="117"/>
        <v>0</v>
      </c>
      <c r="BJ55" s="130">
        <f t="shared" si="118"/>
        <v>-145.91</v>
      </c>
      <c r="BK55" s="148">
        <f t="shared" si="119"/>
        <v>93.730000000000018</v>
      </c>
      <c r="BL55" s="149">
        <f t="shared" si="120"/>
        <v>0</v>
      </c>
      <c r="BM55" s="138">
        <f t="shared" si="121"/>
        <v>-248.82</v>
      </c>
      <c r="BN55" s="130">
        <f t="shared" si="100"/>
        <v>-19.48</v>
      </c>
      <c r="BO55" s="130">
        <f t="shared" si="100"/>
        <v>-19.920000000000002</v>
      </c>
      <c r="BP55" s="130">
        <f t="shared" si="100"/>
        <v>-22.56</v>
      </c>
      <c r="BQ55" s="130">
        <f t="shared" si="100"/>
        <v>-17.690000000000001</v>
      </c>
      <c r="BR55" s="130">
        <f t="shared" si="100"/>
        <v>-59.59</v>
      </c>
      <c r="BS55" s="130"/>
      <c r="BT55" s="130">
        <f t="shared" si="101"/>
        <v>-44.34</v>
      </c>
      <c r="BU55" s="130">
        <f t="shared" si="102"/>
        <v>-46.79</v>
      </c>
      <c r="BV55" s="130">
        <f t="shared" si="102"/>
        <v>-47.64</v>
      </c>
      <c r="BW55" s="130">
        <f t="shared" si="102"/>
        <v>-47.31</v>
      </c>
      <c r="BX55" s="130">
        <f t="shared" si="102"/>
        <v>-57.37</v>
      </c>
      <c r="BY55" s="130">
        <f t="shared" si="102"/>
        <v>-57.11</v>
      </c>
      <c r="BZ55" s="130">
        <f t="shared" si="102"/>
        <v>-60.44</v>
      </c>
      <c r="CA55" s="129">
        <f t="shared" si="122"/>
        <v>-749.06000000000017</v>
      </c>
      <c r="CB55" s="130">
        <f t="shared" si="123"/>
        <v>-248.82</v>
      </c>
      <c r="CC55" s="130">
        <f t="shared" si="124"/>
        <v>0</v>
      </c>
      <c r="CD55" s="130">
        <f t="shared" si="128"/>
        <v>-500.24000000000018</v>
      </c>
      <c r="CE55" s="148">
        <f t="shared" si="126"/>
        <v>371.24000000000012</v>
      </c>
      <c r="CF55" s="148">
        <f t="shared" si="127"/>
        <v>277.5100000000001</v>
      </c>
    </row>
    <row r="56" spans="3:84" x14ac:dyDescent="0.35">
      <c r="C56" s="116" t="s">
        <v>136</v>
      </c>
      <c r="D56" s="116" t="s">
        <v>126</v>
      </c>
      <c r="E56" s="128">
        <v>1452.64</v>
      </c>
      <c r="F56" s="3">
        <f t="shared" si="91"/>
        <v>281.58</v>
      </c>
      <c r="G56" s="3">
        <f t="shared" si="91"/>
        <v>118.23</v>
      </c>
      <c r="H56" s="3">
        <f t="shared" si="91"/>
        <v>123.41</v>
      </c>
      <c r="I56" s="3">
        <f t="shared" si="91"/>
        <v>69.3</v>
      </c>
      <c r="J56" s="3">
        <f t="shared" si="91"/>
        <v>68.09</v>
      </c>
      <c r="K56" s="3">
        <v>-760</v>
      </c>
      <c r="L56" s="3">
        <f t="shared" si="92"/>
        <v>69.47</v>
      </c>
      <c r="M56" s="3">
        <f t="shared" si="93"/>
        <v>102.81</v>
      </c>
      <c r="N56" s="3">
        <f t="shared" si="93"/>
        <v>169.87</v>
      </c>
      <c r="O56" s="3">
        <f t="shared" si="93"/>
        <v>207.97</v>
      </c>
      <c r="P56" s="3">
        <f t="shared" si="93"/>
        <v>272.55</v>
      </c>
      <c r="Q56" s="3">
        <f t="shared" si="93"/>
        <v>299.57</v>
      </c>
      <c r="R56" s="3">
        <f t="shared" si="93"/>
        <v>342.6</v>
      </c>
      <c r="S56" s="129">
        <f t="shared" si="103"/>
        <v>2818.09</v>
      </c>
      <c r="T56" s="130">
        <f t="shared" si="104"/>
        <v>1452.64</v>
      </c>
      <c r="U56" s="130">
        <f t="shared" si="105"/>
        <v>-760</v>
      </c>
      <c r="V56" s="130">
        <f t="shared" si="106"/>
        <v>2125.4499999999998</v>
      </c>
      <c r="W56" s="148">
        <f t="shared" si="107"/>
        <v>0</v>
      </c>
      <c r="X56" s="149">
        <f t="shared" si="108"/>
        <v>0</v>
      </c>
      <c r="Y56" s="130">
        <v>2818.09</v>
      </c>
      <c r="Z56" s="130">
        <f t="shared" si="94"/>
        <v>378.65</v>
      </c>
      <c r="AA56" s="130">
        <f t="shared" si="94"/>
        <v>305.79000000000002</v>
      </c>
      <c r="AB56" s="130">
        <f t="shared" si="94"/>
        <v>374.89</v>
      </c>
      <c r="AC56" s="130">
        <f t="shared" si="94"/>
        <v>384.44</v>
      </c>
      <c r="AD56" s="130">
        <f t="shared" si="94"/>
        <v>434.7</v>
      </c>
      <c r="AE56" s="130">
        <v>-1907</v>
      </c>
      <c r="AF56" s="130">
        <f t="shared" si="95"/>
        <v>502.77</v>
      </c>
      <c r="AG56" s="130">
        <f t="shared" si="96"/>
        <v>548.03</v>
      </c>
      <c r="AH56" s="130">
        <f t="shared" si="96"/>
        <v>505.06</v>
      </c>
      <c r="AI56" s="130">
        <f t="shared" si="96"/>
        <v>601.46</v>
      </c>
      <c r="AJ56" s="130">
        <f t="shared" si="96"/>
        <v>668</v>
      </c>
      <c r="AK56" s="130">
        <f t="shared" si="96"/>
        <v>701.16</v>
      </c>
      <c r="AL56" s="130">
        <f t="shared" si="96"/>
        <v>734.12</v>
      </c>
      <c r="AM56" s="129">
        <f t="shared" si="109"/>
        <v>7050.16</v>
      </c>
      <c r="AN56" s="130">
        <f t="shared" si="110"/>
        <v>2818.09</v>
      </c>
      <c r="AO56" s="130">
        <f t="shared" si="111"/>
        <v>-1907</v>
      </c>
      <c r="AP56" s="130">
        <f t="shared" si="112"/>
        <v>6139.07</v>
      </c>
      <c r="AQ56" s="148">
        <f t="shared" si="113"/>
        <v>0</v>
      </c>
      <c r="AR56" s="149">
        <f t="shared" si="97"/>
        <v>0</v>
      </c>
      <c r="AS56" s="130">
        <v>7050.16</v>
      </c>
      <c r="AT56" s="130">
        <f t="shared" si="98"/>
        <v>828.28</v>
      </c>
      <c r="AU56" s="130">
        <f t="shared" si="98"/>
        <v>777.28</v>
      </c>
      <c r="AV56" s="130">
        <f t="shared" si="98"/>
        <v>893.97</v>
      </c>
      <c r="AW56" s="130">
        <f t="shared" si="98"/>
        <v>889.35</v>
      </c>
      <c r="AX56" s="130">
        <f t="shared" si="98"/>
        <v>948.18</v>
      </c>
      <c r="AY56" s="130"/>
      <c r="AZ56" s="130">
        <f t="shared" si="114"/>
        <v>943.44</v>
      </c>
      <c r="BA56" s="130">
        <f t="shared" si="99"/>
        <v>1015.41</v>
      </c>
      <c r="BB56" s="130">
        <f t="shared" si="99"/>
        <v>1050.49</v>
      </c>
      <c r="BC56" s="130">
        <f t="shared" si="99"/>
        <v>979.9</v>
      </c>
      <c r="BD56" s="130">
        <f t="shared" si="99"/>
        <v>1549.24</v>
      </c>
      <c r="BE56" s="130">
        <f t="shared" si="99"/>
        <v>1565.83</v>
      </c>
      <c r="BF56" s="130">
        <f t="shared" si="99"/>
        <v>1605.45</v>
      </c>
      <c r="BG56" s="129">
        <f t="shared" si="115"/>
        <v>20096.98</v>
      </c>
      <c r="BH56" s="130">
        <f t="shared" si="116"/>
        <v>7050.16</v>
      </c>
      <c r="BI56" s="130">
        <f t="shared" si="117"/>
        <v>0</v>
      </c>
      <c r="BJ56" s="130">
        <f t="shared" si="118"/>
        <v>13046.82</v>
      </c>
      <c r="BK56" s="148">
        <f t="shared" si="119"/>
        <v>-6316.0399999999991</v>
      </c>
      <c r="BL56" s="149">
        <f t="shared" si="120"/>
        <v>0</v>
      </c>
      <c r="BM56" s="138">
        <f t="shared" si="121"/>
        <v>20096.98</v>
      </c>
      <c r="BN56" s="130">
        <f t="shared" si="100"/>
        <v>1696.7</v>
      </c>
      <c r="BO56" s="130">
        <f t="shared" si="100"/>
        <v>1578.28</v>
      </c>
      <c r="BP56" s="130">
        <f t="shared" si="100"/>
        <v>1772.35</v>
      </c>
      <c r="BQ56" s="130">
        <f t="shared" si="100"/>
        <v>2189.81</v>
      </c>
      <c r="BR56" s="130">
        <f t="shared" si="100"/>
        <v>2309.96</v>
      </c>
      <c r="BS56" s="130"/>
      <c r="BT56" s="130">
        <f t="shared" si="101"/>
        <v>1809.83</v>
      </c>
      <c r="BU56" s="130">
        <f t="shared" si="102"/>
        <v>1901.93</v>
      </c>
      <c r="BV56" s="130">
        <f t="shared" si="102"/>
        <v>1947.97</v>
      </c>
      <c r="BW56" s="130">
        <f t="shared" si="102"/>
        <v>1938.04</v>
      </c>
      <c r="BX56" s="130">
        <f t="shared" si="102"/>
        <v>2352.58</v>
      </c>
      <c r="BY56" s="130">
        <f t="shared" si="102"/>
        <v>2286.2600000000002</v>
      </c>
      <c r="BZ56" s="130">
        <f t="shared" si="102"/>
        <v>2388.63</v>
      </c>
      <c r="CA56" s="129">
        <f t="shared" si="122"/>
        <v>44269.32</v>
      </c>
      <c r="CB56" s="130">
        <f t="shared" si="123"/>
        <v>20096.98</v>
      </c>
      <c r="CC56" s="130">
        <f t="shared" si="124"/>
        <v>0</v>
      </c>
      <c r="CD56" s="130">
        <f t="shared" si="128"/>
        <v>24172.34</v>
      </c>
      <c r="CE56" s="148">
        <f t="shared" si="126"/>
        <v>-26382.23</v>
      </c>
      <c r="CF56" s="148">
        <f t="shared" si="127"/>
        <v>-20066.190000000002</v>
      </c>
    </row>
    <row r="57" spans="3:84" ht="15" thickBot="1" x14ac:dyDescent="0.4">
      <c r="D57" s="116" t="s">
        <v>127</v>
      </c>
      <c r="E57" s="132">
        <f>SUM(E49:E56)</f>
        <v>15303.57</v>
      </c>
      <c r="F57" s="132">
        <f t="shared" ref="F57:X57" si="129">SUM(F49:F56)</f>
        <v>2220.63</v>
      </c>
      <c r="G57" s="132">
        <f t="shared" si="129"/>
        <v>125.01000000000005</v>
      </c>
      <c r="H57" s="132">
        <f t="shared" si="129"/>
        <v>-63.290000000000049</v>
      </c>
      <c r="I57" s="132">
        <f t="shared" si="129"/>
        <v>24.810000000000002</v>
      </c>
      <c r="J57" s="132">
        <f t="shared" si="129"/>
        <v>343.74</v>
      </c>
      <c r="K57" s="132">
        <f t="shared" si="129"/>
        <v>-11174</v>
      </c>
      <c r="L57" s="132">
        <f t="shared" si="129"/>
        <v>673.17000000000007</v>
      </c>
      <c r="M57" s="132">
        <f t="shared" si="129"/>
        <v>219.57</v>
      </c>
      <c r="N57" s="132">
        <f t="shared" si="129"/>
        <v>-9.1900000000000261</v>
      </c>
      <c r="O57" s="132">
        <f t="shared" si="129"/>
        <v>13.999999999999972</v>
      </c>
      <c r="P57" s="132">
        <f t="shared" si="129"/>
        <v>124.10000000000002</v>
      </c>
      <c r="Q57" s="132">
        <f t="shared" si="129"/>
        <v>174.54999999999995</v>
      </c>
      <c r="R57" s="132">
        <f t="shared" si="129"/>
        <v>539.28</v>
      </c>
      <c r="S57" s="132">
        <f t="shared" si="129"/>
        <v>8515.9499999999935</v>
      </c>
      <c r="T57" s="132">
        <f t="shared" si="129"/>
        <v>15303.57</v>
      </c>
      <c r="U57" s="132">
        <f t="shared" si="129"/>
        <v>-11174</v>
      </c>
      <c r="V57" s="132">
        <f t="shared" si="129"/>
        <v>4386.3799999999937</v>
      </c>
      <c r="W57" s="132">
        <f t="shared" si="129"/>
        <v>-1.8189894035458565E-12</v>
      </c>
      <c r="X57" s="150">
        <f t="shared" si="129"/>
        <v>-1.8189894035458565E-12</v>
      </c>
      <c r="Y57" s="132">
        <f>SUM(Y49:Y56)</f>
        <v>8515.9500000000007</v>
      </c>
      <c r="Z57" s="132">
        <f t="shared" ref="Z57:AR57" si="130">SUM(Z49:Z56)</f>
        <v>347.48999999999995</v>
      </c>
      <c r="AA57" s="132">
        <f t="shared" si="130"/>
        <v>-96.919999999999902</v>
      </c>
      <c r="AB57" s="132">
        <f t="shared" si="130"/>
        <v>433.42</v>
      </c>
      <c r="AC57" s="132">
        <f t="shared" si="130"/>
        <v>348.27</v>
      </c>
      <c r="AD57" s="132">
        <f t="shared" si="130"/>
        <v>621.55000000000007</v>
      </c>
      <c r="AE57" s="132">
        <f t="shared" si="130"/>
        <v>-9796</v>
      </c>
      <c r="AF57" s="132">
        <f t="shared" si="130"/>
        <v>1064.58</v>
      </c>
      <c r="AG57" s="132">
        <f t="shared" si="130"/>
        <v>923.5</v>
      </c>
      <c r="AH57" s="132">
        <f t="shared" si="130"/>
        <v>15.370000000000118</v>
      </c>
      <c r="AI57" s="132">
        <f t="shared" si="130"/>
        <v>1010.44</v>
      </c>
      <c r="AJ57" s="132">
        <f t="shared" si="130"/>
        <v>1103.73</v>
      </c>
      <c r="AK57" s="132">
        <f t="shared" si="130"/>
        <v>1541.1</v>
      </c>
      <c r="AL57" s="132">
        <f t="shared" si="130"/>
        <v>1602.74</v>
      </c>
      <c r="AM57" s="132">
        <f t="shared" si="130"/>
        <v>7635.2199999999993</v>
      </c>
      <c r="AN57" s="132">
        <f t="shared" si="130"/>
        <v>8515.9500000000007</v>
      </c>
      <c r="AO57" s="132">
        <f t="shared" si="130"/>
        <v>-9796</v>
      </c>
      <c r="AP57" s="132">
        <f t="shared" si="130"/>
        <v>8915.2699999999968</v>
      </c>
      <c r="AQ57" s="132">
        <f t="shared" si="130"/>
        <v>0</v>
      </c>
      <c r="AR57" s="150">
        <f t="shared" si="130"/>
        <v>0</v>
      </c>
      <c r="AS57" s="132">
        <f>SUM(AS49:AS56)</f>
        <v>7635.2199999999993</v>
      </c>
      <c r="AT57" s="132">
        <f t="shared" ref="AT57:BL57" si="131">SUM(AT49:AT56)</f>
        <v>1524.29</v>
      </c>
      <c r="AU57" s="132">
        <f t="shared" si="131"/>
        <v>1422.8899999999999</v>
      </c>
      <c r="AV57" s="132">
        <f t="shared" si="131"/>
        <v>1988.87</v>
      </c>
      <c r="AW57" s="132">
        <f t="shared" si="131"/>
        <v>1579.58</v>
      </c>
      <c r="AX57" s="132">
        <f t="shared" si="131"/>
        <v>1920.46</v>
      </c>
      <c r="AY57" s="132">
        <f t="shared" si="131"/>
        <v>0</v>
      </c>
      <c r="AZ57" s="132">
        <f t="shared" si="131"/>
        <v>1818.6100000000001</v>
      </c>
      <c r="BA57" s="132">
        <f t="shared" si="131"/>
        <v>2106.37</v>
      </c>
      <c r="BB57" s="132">
        <f t="shared" si="131"/>
        <v>1904.2799999999997</v>
      </c>
      <c r="BC57" s="132">
        <f t="shared" si="131"/>
        <v>1985.58</v>
      </c>
      <c r="BD57" s="132">
        <f t="shared" si="131"/>
        <v>2801.8199999999997</v>
      </c>
      <c r="BE57" s="132">
        <f t="shared" si="131"/>
        <v>2746.64</v>
      </c>
      <c r="BF57" s="132">
        <f t="shared" si="131"/>
        <v>3029.62</v>
      </c>
      <c r="BG57" s="132">
        <f t="shared" si="131"/>
        <v>32464.23</v>
      </c>
      <c r="BH57" s="132">
        <f t="shared" si="131"/>
        <v>7635.2199999999993</v>
      </c>
      <c r="BI57" s="132">
        <f t="shared" si="131"/>
        <v>0</v>
      </c>
      <c r="BJ57" s="132">
        <f t="shared" si="131"/>
        <v>24829.010000000002</v>
      </c>
      <c r="BK57" s="132">
        <f t="shared" si="131"/>
        <v>-6032.4799999999959</v>
      </c>
      <c r="BL57" s="150">
        <f t="shared" si="131"/>
        <v>0</v>
      </c>
      <c r="BM57" s="132">
        <f>SUM(BM49:BM56)</f>
        <v>32464.23</v>
      </c>
      <c r="BN57" s="132">
        <f t="shared" ref="BN57:CF57" si="132">SUM(BN49:BN56)</f>
        <v>3028.55</v>
      </c>
      <c r="BO57" s="132">
        <f t="shared" si="132"/>
        <v>3018.76</v>
      </c>
      <c r="BP57" s="132">
        <f t="shared" si="132"/>
        <v>3069.11</v>
      </c>
      <c r="BQ57" s="132">
        <f t="shared" si="132"/>
        <v>5114.1899999999996</v>
      </c>
      <c r="BR57" s="132">
        <f t="shared" si="132"/>
        <v>5386.82</v>
      </c>
      <c r="BS57" s="132">
        <f t="shared" si="132"/>
        <v>0</v>
      </c>
      <c r="BT57" s="132">
        <f t="shared" si="132"/>
        <v>3333.3100000000004</v>
      </c>
      <c r="BU57" s="132">
        <f t="shared" si="132"/>
        <v>5573.99</v>
      </c>
      <c r="BV57" s="132">
        <f t="shared" si="132"/>
        <v>4841.93</v>
      </c>
      <c r="BW57" s="132">
        <f t="shared" si="132"/>
        <v>4773.1299999999992</v>
      </c>
      <c r="BX57" s="132">
        <f t="shared" si="132"/>
        <v>5569.96</v>
      </c>
      <c r="BY57" s="132">
        <f t="shared" si="132"/>
        <v>6336.6</v>
      </c>
      <c r="BZ57" s="132">
        <f t="shared" si="132"/>
        <v>7744.93</v>
      </c>
      <c r="CA57" s="132">
        <f t="shared" si="132"/>
        <v>90255.510000000009</v>
      </c>
      <c r="CB57" s="132">
        <f t="shared" si="132"/>
        <v>32464.23</v>
      </c>
      <c r="CC57" s="132">
        <f t="shared" si="132"/>
        <v>0</v>
      </c>
      <c r="CD57" s="132">
        <f t="shared" si="132"/>
        <v>57791.280000000013</v>
      </c>
      <c r="CE57" s="132">
        <f t="shared" si="132"/>
        <v>-30277.010000000002</v>
      </c>
      <c r="CF57" s="132">
        <f t="shared" si="132"/>
        <v>-24244.53000000001</v>
      </c>
    </row>
    <row r="58" spans="3:84" ht="15" thickTop="1" x14ac:dyDescent="0.35">
      <c r="D58" s="116" t="s">
        <v>128</v>
      </c>
      <c r="E58" s="3"/>
      <c r="F58" s="3"/>
      <c r="G58" s="3"/>
      <c r="H58" s="3"/>
      <c r="I58" s="3"/>
      <c r="J58" s="3"/>
      <c r="K58" s="135"/>
      <c r="L58" s="3"/>
      <c r="M58" s="3"/>
      <c r="N58" s="3"/>
      <c r="O58" s="3"/>
      <c r="P58" s="3"/>
      <c r="Q58" s="3"/>
      <c r="R58" s="3"/>
      <c r="T58" s="3"/>
      <c r="U58" s="3"/>
      <c r="V58" s="3"/>
      <c r="W58" s="3"/>
      <c r="Y58" s="3"/>
      <c r="Z58" s="3"/>
      <c r="AA58" s="134">
        <v>-96.919999999999902</v>
      </c>
      <c r="AB58" s="3"/>
      <c r="AC58" s="3"/>
      <c r="AD58" s="3"/>
      <c r="AE58" s="135"/>
      <c r="AF58" s="3"/>
      <c r="AG58" s="3"/>
      <c r="AH58" s="3"/>
      <c r="AI58" s="3"/>
      <c r="AJ58" s="3"/>
      <c r="AK58" s="3"/>
      <c r="AL58" s="3"/>
      <c r="AN58" s="3"/>
      <c r="AO58" s="3"/>
      <c r="AP58" s="3"/>
      <c r="AS58" s="3"/>
      <c r="AT58" s="3"/>
      <c r="AU58" s="134"/>
      <c r="AV58" s="3"/>
      <c r="AW58" s="3"/>
      <c r="AX58" s="3"/>
      <c r="AY58" s="135"/>
      <c r="AZ58" s="3"/>
      <c r="BA58" s="3"/>
      <c r="BB58" s="3"/>
      <c r="BC58" s="3"/>
      <c r="BD58" s="3"/>
      <c r="BE58" s="3"/>
      <c r="BF58" s="3"/>
      <c r="BH58" s="3"/>
      <c r="BI58" s="3"/>
      <c r="BJ58" s="3"/>
      <c r="BK58" s="3"/>
      <c r="BM58" s="3"/>
      <c r="BN58" s="3"/>
      <c r="BO58" s="134"/>
      <c r="BP58" s="3"/>
      <c r="BQ58" s="3"/>
      <c r="BR58" s="3"/>
      <c r="BS58" s="135"/>
      <c r="BT58" s="3"/>
      <c r="BU58" s="3"/>
      <c r="BV58" s="3"/>
      <c r="BW58" s="3"/>
      <c r="BX58" s="3"/>
      <c r="BY58" s="3"/>
      <c r="BZ58" s="3"/>
      <c r="CB58" s="3"/>
      <c r="CC58" s="3"/>
      <c r="CD58" s="3"/>
    </row>
    <row r="59" spans="3:84" x14ac:dyDescent="0.35">
      <c r="S59" s="137"/>
      <c r="AA59" s="151"/>
      <c r="AM59" s="137"/>
      <c r="AV59" s="151"/>
      <c r="BH59" s="137"/>
      <c r="BP59" s="151"/>
      <c r="CB59" s="137"/>
    </row>
    <row r="60" spans="3:84" ht="15" thickBot="1" x14ac:dyDescent="0.4"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5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  <c r="AN60" s="142"/>
      <c r="AO60" s="142"/>
      <c r="AP60" s="142"/>
      <c r="AQ60" s="142"/>
      <c r="AR60" s="152"/>
      <c r="AS60" s="142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2"/>
      <c r="BM60" s="142"/>
      <c r="BN60" s="153"/>
      <c r="BO60" s="153"/>
      <c r="BP60" s="153"/>
      <c r="BQ60" s="153"/>
      <c r="BR60" s="153"/>
      <c r="BS60" s="153"/>
      <c r="BT60" s="153"/>
      <c r="BU60" s="153"/>
      <c r="BV60" s="153"/>
      <c r="BW60" s="153"/>
      <c r="BX60" s="153"/>
      <c r="BY60" s="153"/>
      <c r="BZ60" s="153"/>
      <c r="CA60" s="153"/>
      <c r="CB60" s="153"/>
      <c r="CC60" s="153"/>
      <c r="CD60" s="153"/>
    </row>
  </sheetData>
  <mergeCells count="9">
    <mergeCell ref="BM3:CD3"/>
    <mergeCell ref="C6:D6"/>
    <mergeCell ref="C19:D19"/>
    <mergeCell ref="C31:D31"/>
    <mergeCell ref="C45:D45"/>
    <mergeCell ref="F3:X3"/>
    <mergeCell ref="Y3:AP3"/>
    <mergeCell ref="AS3:BJ3"/>
    <mergeCell ref="AB42:AC42"/>
  </mergeCells>
  <pageMargins left="0.70866141732283472" right="0.70866141732283472" top="0.74803149606299213" bottom="0.74803149606299213" header="0.31496062992125984" footer="0.31496062992125984"/>
  <pageSetup scale="20" orientation="landscape" r:id="rId1"/>
  <colBreaks count="1" manualBreakCount="1">
    <brk id="6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1. 2019 1588-1589</vt:lpstr>
      <vt:lpstr>2. 2018 1588-1589</vt:lpstr>
      <vt:lpstr>3. 2017 1588-1589</vt:lpstr>
      <vt:lpstr>4. 2016 1588-1589</vt:lpstr>
      <vt:lpstr>5. 2015 1588-1589</vt:lpstr>
      <vt:lpstr>6. 2014 1588-1589</vt:lpstr>
      <vt:lpstr>7. 1588-1589 Trf</vt:lpstr>
      <vt:lpstr>8. 1588-1589 Interest</vt:lpstr>
      <vt:lpstr>9. Int Adj All Acct</vt:lpstr>
      <vt:lpstr>10. 1580 Cont Sched</vt:lpstr>
      <vt:lpstr>11. 1580 WMS Acct </vt:lpstr>
      <vt:lpstr>'1. 2019 1588-1589'!Print_Area</vt:lpstr>
      <vt:lpstr>'7. 1588-1589 Trf'!Print_Area</vt:lpstr>
      <vt:lpstr>'7. 1588-1589 Trf'!Print_Titles</vt:lpstr>
      <vt:lpstr>'9. Int Adj All Acct'!Print_Titles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Hampton</dc:creator>
  <cp:lastModifiedBy>Laura Hampton</cp:lastModifiedBy>
  <cp:lastPrinted>2019-07-30T19:14:06Z</cp:lastPrinted>
  <dcterms:created xsi:type="dcterms:W3CDTF">2019-07-29T12:29:21Z</dcterms:created>
  <dcterms:modified xsi:type="dcterms:W3CDTF">2020-08-17T19:27:49Z</dcterms:modified>
</cp:coreProperties>
</file>