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inance\Rates\_Alectra\Rate Applications\EDR Rate Applications\2021 EDR Application\4. Enersource Rate Zone\Final for Filling\"/>
    </mc:Choice>
  </mc:AlternateContent>
  <xr:revisionPtr revIDLastSave="0" documentId="13_ncr:1_{0B7312F5-389C-4CA1-B6AA-8D311D6BE398}" xr6:coauthVersionLast="45" xr6:coauthVersionMax="45" xr10:uidLastSave="{00000000-0000-0000-0000-000000000000}"/>
  <bookViews>
    <workbookView xWindow="-60" yWindow="-60" windowWidth="28920" windowHeight="15720" xr2:uid="{00000000-000D-0000-FFFF-FFFF00000000}"/>
  </bookViews>
  <sheets>
    <sheet name="Revenue Requirement" sheetId="12" r:id="rId1"/>
    <sheet name="Avg NFA" sheetId="2" r:id="rId2"/>
    <sheet name="CCA" sheetId="3" r:id="rId3"/>
    <sheet name="PILs" sheetId="5" r:id="rId4"/>
  </sheets>
  <externalReferences>
    <externalReference r:id="rId5"/>
  </externalReferences>
  <definedNames>
    <definedName name="EBNUMBER">'[1]LDC Info'!$E$16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6" i="12" l="1"/>
  <c r="E86" i="12" s="1"/>
  <c r="F86" i="12" s="1"/>
  <c r="G86" i="12" s="1"/>
  <c r="H86" i="12" s="1"/>
  <c r="I86" i="12" s="1"/>
  <c r="J86" i="12" s="1"/>
  <c r="K86" i="12" s="1"/>
  <c r="L86" i="12" s="1"/>
  <c r="M86" i="12" s="1"/>
  <c r="N86" i="12" s="1"/>
  <c r="O86" i="12" s="1"/>
  <c r="D85" i="12"/>
  <c r="E85" i="12" s="1"/>
  <c r="F85" i="12" s="1"/>
  <c r="G85" i="12" s="1"/>
  <c r="H85" i="12" s="1"/>
  <c r="I85" i="12" s="1"/>
  <c r="J85" i="12" s="1"/>
  <c r="K85" i="12" s="1"/>
  <c r="L85" i="12" s="1"/>
  <c r="M85" i="12" s="1"/>
  <c r="N85" i="12" s="1"/>
  <c r="O85" i="12" s="1"/>
  <c r="D73" i="12"/>
  <c r="D69" i="12"/>
  <c r="V45" i="12"/>
  <c r="Y45" i="12" s="1"/>
  <c r="AB45" i="12" s="1"/>
  <c r="AE45" i="12" s="1"/>
  <c r="AH45" i="12" s="1"/>
  <c r="AK45" i="12" s="1"/>
  <c r="AB30" i="12"/>
  <c r="AB49" i="12" s="1"/>
  <c r="Z30" i="12"/>
  <c r="Z49" i="12" s="1"/>
  <c r="T30" i="12"/>
  <c r="T49" i="12" s="1"/>
  <c r="Q30" i="12"/>
  <c r="Q49" i="12" s="1"/>
  <c r="P30" i="12"/>
  <c r="P49" i="12" s="1"/>
  <c r="N30" i="12"/>
  <c r="N49" i="12" s="1"/>
  <c r="M30" i="12"/>
  <c r="M49" i="12" s="1"/>
  <c r="K30" i="12"/>
  <c r="K49" i="12" s="1"/>
  <c r="J30" i="12"/>
  <c r="J49" i="12" s="1"/>
  <c r="H30" i="12"/>
  <c r="H49" i="12" s="1"/>
  <c r="G30" i="12"/>
  <c r="G49" i="12" s="1"/>
  <c r="E30" i="12"/>
  <c r="E49" i="12" s="1"/>
  <c r="D30" i="12"/>
  <c r="D49" i="12" s="1"/>
  <c r="AL15" i="12"/>
  <c r="AI15" i="12"/>
  <c r="AI29" i="12" s="1"/>
  <c r="AH15" i="12"/>
  <c r="AE15" i="12"/>
  <c r="AB15" i="12"/>
  <c r="AC15" i="12"/>
  <c r="Z15" i="12"/>
  <c r="W15" i="12"/>
  <c r="W16" i="12" s="1"/>
  <c r="V15" i="12"/>
  <c r="S15" i="12"/>
  <c r="P15" i="12"/>
  <c r="Q15" i="12"/>
  <c r="N15" i="12"/>
  <c r="K15" i="12"/>
  <c r="K29" i="12" s="1"/>
  <c r="J15" i="12"/>
  <c r="H15" i="12"/>
  <c r="H29" i="12" s="1"/>
  <c r="G15" i="12"/>
  <c r="E15" i="12"/>
  <c r="AH14" i="12"/>
  <c r="AB14" i="12"/>
  <c r="AB29" i="12" s="1"/>
  <c r="Y14" i="12"/>
  <c r="V14" i="12"/>
  <c r="S14" i="12"/>
  <c r="P14" i="12"/>
  <c r="P29" i="12" s="1"/>
  <c r="M14" i="12"/>
  <c r="J14" i="12"/>
  <c r="G14" i="12"/>
  <c r="G29" i="12" s="1"/>
  <c r="D14" i="12"/>
  <c r="AC13" i="12"/>
  <c r="AB13" i="12"/>
  <c r="Z13" i="12"/>
  <c r="Y13" i="12"/>
  <c r="W13" i="12"/>
  <c r="T13" i="12"/>
  <c r="Q13" i="12"/>
  <c r="P13" i="12"/>
  <c r="N13" i="12"/>
  <c r="M13" i="12"/>
  <c r="K13" i="12"/>
  <c r="J13" i="12"/>
  <c r="H13" i="12"/>
  <c r="G13" i="12"/>
  <c r="E13" i="12"/>
  <c r="D13" i="12"/>
  <c r="AI16" i="12" l="1"/>
  <c r="S30" i="12"/>
  <c r="S49" i="12" s="1"/>
  <c r="Y30" i="12"/>
  <c r="Y49" i="12" s="1"/>
  <c r="V13" i="12"/>
  <c r="D15" i="12"/>
  <c r="T15" i="12"/>
  <c r="T29" i="12" s="1"/>
  <c r="AF15" i="12"/>
  <c r="AF29" i="12" s="1"/>
  <c r="K16" i="12"/>
  <c r="K17" i="12" s="1"/>
  <c r="K21" i="12" s="1"/>
  <c r="K25" i="12" s="1"/>
  <c r="W17" i="12"/>
  <c r="W21" i="12" s="1"/>
  <c r="W25" i="12" s="1"/>
  <c r="W29" i="12"/>
  <c r="AC30" i="12"/>
  <c r="AC49" i="12" s="1"/>
  <c r="Q29" i="12"/>
  <c r="Q16" i="12"/>
  <c r="Q17" i="12" s="1"/>
  <c r="S29" i="12"/>
  <c r="S16" i="12"/>
  <c r="AC16" i="12"/>
  <c r="AC17" i="12" s="1"/>
  <c r="AC29" i="12"/>
  <c r="N17" i="12"/>
  <c r="J29" i="12"/>
  <c r="J16" i="12"/>
  <c r="J17" i="12" s="1"/>
  <c r="D29" i="12"/>
  <c r="D16" i="12"/>
  <c r="D17" i="12" s="1"/>
  <c r="E16" i="12"/>
  <c r="E17" i="12" s="1"/>
  <c r="E29" i="12"/>
  <c r="N29" i="12"/>
  <c r="N16" i="12"/>
  <c r="Z29" i="12"/>
  <c r="Z16" i="12"/>
  <c r="Z17" i="12" s="1"/>
  <c r="AL29" i="12"/>
  <c r="AL16" i="12"/>
  <c r="V29" i="12"/>
  <c r="AH29" i="12"/>
  <c r="W30" i="12"/>
  <c r="W49" i="12" s="1"/>
  <c r="V30" i="12"/>
  <c r="V49" i="12" s="1"/>
  <c r="M15" i="12"/>
  <c r="M16" i="12" s="1"/>
  <c r="M17" i="12" s="1"/>
  <c r="Y15" i="12"/>
  <c r="Y29" i="12" s="1"/>
  <c r="AK15" i="12"/>
  <c r="G16" i="12"/>
  <c r="G17" i="12" s="1"/>
  <c r="S13" i="12"/>
  <c r="H16" i="12"/>
  <c r="H17" i="12" s="1"/>
  <c r="T16" i="12"/>
  <c r="T17" i="12" s="1"/>
  <c r="AF16" i="12"/>
  <c r="P16" i="12"/>
  <c r="P17" i="12" s="1"/>
  <c r="V16" i="12"/>
  <c r="AB16" i="12"/>
  <c r="AB17" i="12" s="1"/>
  <c r="AH16" i="12"/>
  <c r="E69" i="12"/>
  <c r="V17" i="12" l="1"/>
  <c r="W22" i="12"/>
  <c r="W26" i="12" s="1"/>
  <c r="W48" i="12" s="1"/>
  <c r="W20" i="12"/>
  <c r="W24" i="12" s="1"/>
  <c r="K22" i="12"/>
  <c r="K26" i="12" s="1"/>
  <c r="K48" i="12" s="1"/>
  <c r="K20" i="12"/>
  <c r="K24" i="12" s="1"/>
  <c r="M29" i="12"/>
  <c r="M22" i="12"/>
  <c r="M26" i="12" s="1"/>
  <c r="M48" i="12" s="1"/>
  <c r="M21" i="12"/>
  <c r="M25" i="12" s="1"/>
  <c r="M20" i="12"/>
  <c r="M24" i="12" s="1"/>
  <c r="Z22" i="12"/>
  <c r="Z26" i="12" s="1"/>
  <c r="Z48" i="12" s="1"/>
  <c r="Z21" i="12"/>
  <c r="Z25" i="12" s="1"/>
  <c r="Z20" i="12"/>
  <c r="Z24" i="12" s="1"/>
  <c r="H22" i="12"/>
  <c r="H26" i="12" s="1"/>
  <c r="H48" i="12" s="1"/>
  <c r="H21" i="12"/>
  <c r="H25" i="12" s="1"/>
  <c r="H20" i="12"/>
  <c r="H24" i="12" s="1"/>
  <c r="P22" i="12"/>
  <c r="P26" i="12" s="1"/>
  <c r="P48" i="12" s="1"/>
  <c r="P21" i="12"/>
  <c r="P25" i="12" s="1"/>
  <c r="P20" i="12"/>
  <c r="P24" i="12" s="1"/>
  <c r="T22" i="12"/>
  <c r="T26" i="12" s="1"/>
  <c r="T48" i="12" s="1"/>
  <c r="T21" i="12"/>
  <c r="T25" i="12" s="1"/>
  <c r="T20" i="12"/>
  <c r="T24" i="12" s="1"/>
  <c r="AC21" i="12"/>
  <c r="AC25" i="12" s="1"/>
  <c r="AC22" i="12"/>
  <c r="AC26" i="12" s="1"/>
  <c r="AC48" i="12" s="1"/>
  <c r="AC20" i="12"/>
  <c r="AC24" i="12" s="1"/>
  <c r="E20" i="12"/>
  <c r="E24" i="12" s="1"/>
  <c r="E21" i="12"/>
  <c r="E25" i="12" s="1"/>
  <c r="E22" i="12"/>
  <c r="E26" i="12" s="1"/>
  <c r="E48" i="12" s="1"/>
  <c r="V22" i="12"/>
  <c r="V26" i="12" s="1"/>
  <c r="V48" i="12" s="1"/>
  <c r="V21" i="12"/>
  <c r="V25" i="12" s="1"/>
  <c r="V20" i="12"/>
  <c r="V24" i="12" s="1"/>
  <c r="N22" i="12"/>
  <c r="N26" i="12" s="1"/>
  <c r="N48" i="12" s="1"/>
  <c r="N21" i="12"/>
  <c r="N25" i="12" s="1"/>
  <c r="N20" i="12"/>
  <c r="N24" i="12" s="1"/>
  <c r="G22" i="12"/>
  <c r="G26" i="12" s="1"/>
  <c r="G48" i="12" s="1"/>
  <c r="G21" i="12"/>
  <c r="G25" i="12" s="1"/>
  <c r="G20" i="12"/>
  <c r="G24" i="12" s="1"/>
  <c r="Y16" i="12"/>
  <c r="Y17" i="12" s="1"/>
  <c r="AB22" i="12"/>
  <c r="AB26" i="12" s="1"/>
  <c r="AB48" i="12" s="1"/>
  <c r="AB21" i="12"/>
  <c r="AB25" i="12" s="1"/>
  <c r="AB20" i="12"/>
  <c r="AB24" i="12" s="1"/>
  <c r="D22" i="12"/>
  <c r="D26" i="12" s="1"/>
  <c r="D48" i="12" s="1"/>
  <c r="D21" i="12"/>
  <c r="D25" i="12" s="1"/>
  <c r="D20" i="12"/>
  <c r="D24" i="12" s="1"/>
  <c r="D27" i="12" s="1"/>
  <c r="Q20" i="12"/>
  <c r="Q24" i="12" s="1"/>
  <c r="Q22" i="12"/>
  <c r="Q26" i="12" s="1"/>
  <c r="Q48" i="12" s="1"/>
  <c r="Q21" i="12"/>
  <c r="Q25" i="12" s="1"/>
  <c r="S17" i="12"/>
  <c r="J22" i="12"/>
  <c r="J26" i="12" s="1"/>
  <c r="J48" i="12" s="1"/>
  <c r="J21" i="12"/>
  <c r="J25" i="12" s="1"/>
  <c r="J20" i="12"/>
  <c r="J24" i="12" s="1"/>
  <c r="W27" i="12"/>
  <c r="AE14" i="12"/>
  <c r="N27" i="12" l="1"/>
  <c r="E27" i="12"/>
  <c r="K27" i="12"/>
  <c r="AE29" i="12"/>
  <c r="AE16" i="12"/>
  <c r="G27" i="12"/>
  <c r="H27" i="12"/>
  <c r="Q27" i="12"/>
  <c r="AB27" i="12"/>
  <c r="P27" i="12"/>
  <c r="S22" i="12"/>
  <c r="S26" i="12" s="1"/>
  <c r="S48" i="12" s="1"/>
  <c r="S21" i="12"/>
  <c r="S25" i="12" s="1"/>
  <c r="S20" i="12"/>
  <c r="S24" i="12" s="1"/>
  <c r="J27" i="12"/>
  <c r="AC27" i="12"/>
  <c r="T27" i="12"/>
  <c r="M27" i="12"/>
  <c r="Y22" i="12"/>
  <c r="Y26" i="12" s="1"/>
  <c r="Y48" i="12" s="1"/>
  <c r="Y21" i="12"/>
  <c r="Y25" i="12" s="1"/>
  <c r="Y20" i="12"/>
  <c r="Y24" i="12" s="1"/>
  <c r="V27" i="12"/>
  <c r="Z27" i="12"/>
  <c r="O27" i="5"/>
  <c r="H120" i="2"/>
  <c r="L119" i="2"/>
  <c r="L117" i="2"/>
  <c r="L116" i="2"/>
  <c r="L115" i="2"/>
  <c r="O9" i="5" l="1"/>
  <c r="N124" i="2"/>
  <c r="S27" i="12"/>
  <c r="D120" i="2"/>
  <c r="O65" i="12" s="1"/>
  <c r="Y27" i="12"/>
  <c r="L118" i="2"/>
  <c r="L120" i="2"/>
  <c r="AK14" i="12" l="1"/>
  <c r="O9" i="3"/>
  <c r="N123" i="2"/>
  <c r="N27" i="5"/>
  <c r="O81" i="12" l="1"/>
  <c r="O83" i="12" s="1"/>
  <c r="O70" i="12"/>
  <c r="AK30" i="12"/>
  <c r="AK49" i="12" s="1"/>
  <c r="AL30" i="12"/>
  <c r="AL49" i="12" s="1"/>
  <c r="AK16" i="12"/>
  <c r="AK29" i="12"/>
  <c r="L108" i="2" l="1"/>
  <c r="L106" i="2"/>
  <c r="L105" i="2"/>
  <c r="D109" i="2" l="1"/>
  <c r="N65" i="12" s="1"/>
  <c r="H109" i="2"/>
  <c r="L107" i="2"/>
  <c r="N9" i="3" l="1"/>
  <c r="M123" i="2"/>
  <c r="M124" i="2"/>
  <c r="N9" i="5"/>
  <c r="L104" i="2"/>
  <c r="L109" i="2" s="1"/>
  <c r="N70" i="12" l="1"/>
  <c r="N81" i="12"/>
  <c r="N83" i="12" s="1"/>
  <c r="AI30" i="12"/>
  <c r="AI49" i="12" s="1"/>
  <c r="AH30" i="12"/>
  <c r="AH49" i="12" s="1"/>
  <c r="M27" i="5"/>
  <c r="L27" i="5"/>
  <c r="K27" i="5"/>
  <c r="J27" i="5"/>
  <c r="I27" i="5"/>
  <c r="H27" i="5"/>
  <c r="G27" i="5"/>
  <c r="F27" i="5"/>
  <c r="E27" i="5"/>
  <c r="D27" i="5"/>
  <c r="C27" i="5"/>
  <c r="C10" i="5"/>
  <c r="E128" i="2"/>
  <c r="L97" i="2"/>
  <c r="L96" i="2"/>
  <c r="L95" i="2"/>
  <c r="L94" i="2"/>
  <c r="L86" i="2"/>
  <c r="L85" i="2"/>
  <c r="L84" i="2"/>
  <c r="L83" i="2"/>
  <c r="D87" i="2"/>
  <c r="L65" i="12" s="1"/>
  <c r="L76" i="2"/>
  <c r="L73" i="2"/>
  <c r="H47" i="2"/>
  <c r="G124" i="2" s="1"/>
  <c r="D47" i="2"/>
  <c r="H65" i="12" s="1"/>
  <c r="L46" i="2"/>
  <c r="L45" i="2"/>
  <c r="L44" i="2"/>
  <c r="L43" i="2"/>
  <c r="L42" i="2"/>
  <c r="H37" i="2"/>
  <c r="F124" i="2" s="1"/>
  <c r="D37" i="2"/>
  <c r="G65" i="12" s="1"/>
  <c r="L36" i="2"/>
  <c r="L35" i="2"/>
  <c r="L34" i="2"/>
  <c r="L33" i="2"/>
  <c r="L32" i="2"/>
  <c r="H27" i="2"/>
  <c r="E124" i="2" s="1"/>
  <c r="G27" i="2"/>
  <c r="D27" i="2"/>
  <c r="F65" i="12" s="1"/>
  <c r="C27" i="2"/>
  <c r="L26" i="2"/>
  <c r="K26" i="2"/>
  <c r="I26" i="2"/>
  <c r="G36" i="2" s="1"/>
  <c r="E26" i="2"/>
  <c r="L25" i="2"/>
  <c r="K25" i="2"/>
  <c r="I25" i="2"/>
  <c r="G35" i="2" s="1"/>
  <c r="I35" i="2" s="1"/>
  <c r="G45" i="2" s="1"/>
  <c r="I45" i="2" s="1"/>
  <c r="G55" i="2" s="1"/>
  <c r="E25" i="2"/>
  <c r="C35" i="2" s="1"/>
  <c r="L24" i="2"/>
  <c r="K24" i="2"/>
  <c r="I24" i="2"/>
  <c r="G34" i="2" s="1"/>
  <c r="I34" i="2" s="1"/>
  <c r="G44" i="2" s="1"/>
  <c r="I44" i="2" s="1"/>
  <c r="G54" i="2" s="1"/>
  <c r="E24" i="2"/>
  <c r="L23" i="2"/>
  <c r="K23" i="2"/>
  <c r="I23" i="2"/>
  <c r="G33" i="2" s="1"/>
  <c r="I33" i="2" s="1"/>
  <c r="G43" i="2" s="1"/>
  <c r="I43" i="2" s="1"/>
  <c r="G53" i="2" s="1"/>
  <c r="E23" i="2"/>
  <c r="L22" i="2"/>
  <c r="K22" i="2"/>
  <c r="I22" i="2"/>
  <c r="E22" i="2"/>
  <c r="H17" i="2"/>
  <c r="D124" i="2" s="1"/>
  <c r="D17" i="2"/>
  <c r="E65" i="12" s="1"/>
  <c r="L16" i="2"/>
  <c r="K16" i="2"/>
  <c r="I16" i="2"/>
  <c r="E16" i="2"/>
  <c r="L15" i="2"/>
  <c r="K15" i="2"/>
  <c r="I15" i="2"/>
  <c r="E15" i="2"/>
  <c r="L14" i="2"/>
  <c r="G14" i="2"/>
  <c r="I14" i="2" s="1"/>
  <c r="C14" i="2"/>
  <c r="L13" i="2"/>
  <c r="H8" i="2"/>
  <c r="C124" i="2" s="1"/>
  <c r="G8" i="2"/>
  <c r="D8" i="2"/>
  <c r="D65" i="12" s="1"/>
  <c r="C8" i="2"/>
  <c r="L7" i="2"/>
  <c r="K7" i="2"/>
  <c r="I7" i="2"/>
  <c r="E7" i="2"/>
  <c r="L6" i="2"/>
  <c r="K6" i="2"/>
  <c r="I6" i="2"/>
  <c r="E6" i="2"/>
  <c r="L5" i="2"/>
  <c r="K5" i="2"/>
  <c r="I5" i="2"/>
  <c r="G13" i="2" s="1"/>
  <c r="E5" i="2"/>
  <c r="C13" i="2" s="1"/>
  <c r="H70" i="12" l="1"/>
  <c r="H81" i="12"/>
  <c r="H83" i="12" s="1"/>
  <c r="L70" i="12"/>
  <c r="L81" i="12"/>
  <c r="L83" i="12" s="1"/>
  <c r="F70" i="12"/>
  <c r="F81" i="12"/>
  <c r="F83" i="12" s="1"/>
  <c r="G81" i="12"/>
  <c r="G83" i="12" s="1"/>
  <c r="G70" i="12"/>
  <c r="E66" i="12"/>
  <c r="E70" i="12"/>
  <c r="E81" i="12"/>
  <c r="E83" i="12" s="1"/>
  <c r="D66" i="12"/>
  <c r="D74" i="12" s="1"/>
  <c r="D75" i="12" s="1"/>
  <c r="D70" i="12"/>
  <c r="D71" i="12" s="1"/>
  <c r="E68" i="12" s="1"/>
  <c r="D81" i="12"/>
  <c r="K14" i="2"/>
  <c r="M26" i="2"/>
  <c r="M24" i="2"/>
  <c r="C123" i="2"/>
  <c r="D9" i="3"/>
  <c r="D10" i="3" s="1"/>
  <c r="D123" i="2"/>
  <c r="E9" i="3"/>
  <c r="E11" i="3" s="1"/>
  <c r="E123" i="2"/>
  <c r="F9" i="3"/>
  <c r="F11" i="3" s="1"/>
  <c r="M23" i="2"/>
  <c r="F123" i="2"/>
  <c r="G9" i="3"/>
  <c r="G11" i="3" s="1"/>
  <c r="G123" i="2"/>
  <c r="H9" i="3"/>
  <c r="H11" i="3" s="1"/>
  <c r="K123" i="2"/>
  <c r="L9" i="3"/>
  <c r="L11" i="3" s="1"/>
  <c r="C11" i="5"/>
  <c r="C13" i="5" s="1"/>
  <c r="C18" i="5" s="1"/>
  <c r="C20" i="5" s="1"/>
  <c r="K35" i="2"/>
  <c r="M16" i="2"/>
  <c r="I13" i="2"/>
  <c r="I17" i="2" s="1"/>
  <c r="G17" i="2"/>
  <c r="E14" i="2"/>
  <c r="E127" i="2" s="1"/>
  <c r="E129" i="2" s="1"/>
  <c r="H87" i="2"/>
  <c r="K124" i="2" s="1"/>
  <c r="I27" i="2"/>
  <c r="C17" i="2"/>
  <c r="M7" i="2"/>
  <c r="C36" i="2"/>
  <c r="E36" i="2" s="1"/>
  <c r="C46" i="2" s="1"/>
  <c r="I8" i="2"/>
  <c r="F128" i="2"/>
  <c r="C33" i="2"/>
  <c r="E33" i="2" s="1"/>
  <c r="K13" i="2"/>
  <c r="K17" i="2" s="1"/>
  <c r="L52" i="2"/>
  <c r="L54" i="2"/>
  <c r="L63" i="2"/>
  <c r="D57" i="2"/>
  <c r="I65" i="12" s="1"/>
  <c r="L62" i="2"/>
  <c r="L75" i="2"/>
  <c r="I54" i="2"/>
  <c r="G64" i="2" s="1"/>
  <c r="I64" i="2" s="1"/>
  <c r="G74" i="2" s="1"/>
  <c r="I74" i="2" s="1"/>
  <c r="G84" i="2" s="1"/>
  <c r="I84" i="2" s="1"/>
  <c r="G95" i="2" s="1"/>
  <c r="I95" i="2" s="1"/>
  <c r="G106" i="2" s="1"/>
  <c r="I106" i="2" s="1"/>
  <c r="G117" i="2" s="1"/>
  <c r="I117" i="2" s="1"/>
  <c r="L55" i="2"/>
  <c r="L66" i="2"/>
  <c r="L17" i="2"/>
  <c r="L53" i="2"/>
  <c r="D77" i="2"/>
  <c r="K65" i="12" s="1"/>
  <c r="K8" i="2"/>
  <c r="L27" i="2"/>
  <c r="L37" i="2"/>
  <c r="D67" i="2"/>
  <c r="J65" i="12" s="1"/>
  <c r="L8" i="2"/>
  <c r="I53" i="2"/>
  <c r="G63" i="2" s="1"/>
  <c r="I63" i="2" s="1"/>
  <c r="G73" i="2" s="1"/>
  <c r="I73" i="2" s="1"/>
  <c r="G83" i="2" s="1"/>
  <c r="I83" i="2" s="1"/>
  <c r="G94" i="2" s="1"/>
  <c r="I94" i="2" s="1"/>
  <c r="G105" i="2" s="1"/>
  <c r="I105" i="2" s="1"/>
  <c r="G116" i="2" s="1"/>
  <c r="I116" i="2" s="1"/>
  <c r="I55" i="2"/>
  <c r="G65" i="2" s="1"/>
  <c r="I65" i="2" s="1"/>
  <c r="G75" i="2" s="1"/>
  <c r="I75" i="2" s="1"/>
  <c r="G85" i="2" s="1"/>
  <c r="I85" i="2" s="1"/>
  <c r="G96" i="2" s="1"/>
  <c r="I96" i="2" s="1"/>
  <c r="G107" i="2" s="1"/>
  <c r="I107" i="2" s="1"/>
  <c r="G118" i="2" s="1"/>
  <c r="L65" i="2"/>
  <c r="D11" i="3"/>
  <c r="D12" i="3" s="1"/>
  <c r="D15" i="3" s="1"/>
  <c r="I36" i="2"/>
  <c r="G46" i="2" s="1"/>
  <c r="I46" i="2" s="1"/>
  <c r="G56" i="2" s="1"/>
  <c r="I56" i="2" s="1"/>
  <c r="G66" i="2" s="1"/>
  <c r="I66" i="2" s="1"/>
  <c r="G76" i="2" s="1"/>
  <c r="I76" i="2" s="1"/>
  <c r="G86" i="2" s="1"/>
  <c r="I86" i="2" s="1"/>
  <c r="G97" i="2" s="1"/>
  <c r="I97" i="2" s="1"/>
  <c r="G108" i="2" s="1"/>
  <c r="I108" i="2" s="1"/>
  <c r="G119" i="2" s="1"/>
  <c r="I119" i="2" s="1"/>
  <c r="D98" i="2"/>
  <c r="M65" i="12" s="1"/>
  <c r="K27" i="2"/>
  <c r="E35" i="2"/>
  <c r="C128" i="2"/>
  <c r="M6" i="2"/>
  <c r="E8" i="2"/>
  <c r="E27" i="2"/>
  <c r="M22" i="2"/>
  <c r="M25" i="2"/>
  <c r="C32" i="2"/>
  <c r="C34" i="2"/>
  <c r="H57" i="2"/>
  <c r="H124" i="2" s="1"/>
  <c r="G32" i="2"/>
  <c r="C129" i="2"/>
  <c r="M5" i="2"/>
  <c r="C127" i="2"/>
  <c r="E13" i="2"/>
  <c r="H98" i="2"/>
  <c r="L47" i="2"/>
  <c r="L56" i="2"/>
  <c r="H77" i="2"/>
  <c r="J124" i="2" s="1"/>
  <c r="D128" i="2"/>
  <c r="M15" i="2"/>
  <c r="H67" i="2"/>
  <c r="I124" i="2" s="1"/>
  <c r="L64" i="2"/>
  <c r="L72" i="2"/>
  <c r="L74" i="2"/>
  <c r="J70" i="12" l="1"/>
  <c r="J81" i="12"/>
  <c r="J83" i="12" s="1"/>
  <c r="K81" i="12"/>
  <c r="K83" i="12" s="1"/>
  <c r="K70" i="12"/>
  <c r="I70" i="12"/>
  <c r="I81" i="12"/>
  <c r="I83" i="12" s="1"/>
  <c r="D82" i="12"/>
  <c r="D83" i="12"/>
  <c r="E73" i="12"/>
  <c r="E71" i="12"/>
  <c r="F68" i="12" s="1"/>
  <c r="F64" i="12"/>
  <c r="E74" i="12"/>
  <c r="M9" i="3"/>
  <c r="M11" i="3" s="1"/>
  <c r="I118" i="2"/>
  <c r="L124" i="2"/>
  <c r="O124" i="2" s="1"/>
  <c r="D16" i="3"/>
  <c r="E8" i="3" s="1"/>
  <c r="E10" i="3" s="1"/>
  <c r="E12" i="3" s="1"/>
  <c r="E15" i="3" s="1"/>
  <c r="D10" i="5"/>
  <c r="D11" i="5" s="1"/>
  <c r="D13" i="5" s="1"/>
  <c r="D18" i="5" s="1"/>
  <c r="D26" i="5" s="1"/>
  <c r="D28" i="5" s="1"/>
  <c r="J123" i="2"/>
  <c r="K9" i="3"/>
  <c r="K11" i="3" s="1"/>
  <c r="I123" i="2"/>
  <c r="J9" i="3"/>
  <c r="J11" i="3" s="1"/>
  <c r="H123" i="2"/>
  <c r="I9" i="3"/>
  <c r="I11" i="3" s="1"/>
  <c r="C26" i="5"/>
  <c r="C28" i="5" s="1"/>
  <c r="K33" i="2"/>
  <c r="K36" i="2"/>
  <c r="L123" i="2"/>
  <c r="L77" i="2"/>
  <c r="L82" i="2"/>
  <c r="L87" i="2" s="1"/>
  <c r="M14" i="2"/>
  <c r="F133" i="2"/>
  <c r="L67" i="2"/>
  <c r="L57" i="2"/>
  <c r="E17" i="2"/>
  <c r="M13" i="2"/>
  <c r="D129" i="2"/>
  <c r="D134" i="2" s="1"/>
  <c r="C134" i="2"/>
  <c r="C37" i="2"/>
  <c r="E37" i="2" s="1"/>
  <c r="K32" i="2"/>
  <c r="E32" i="2"/>
  <c r="I32" i="2"/>
  <c r="G42" i="2" s="1"/>
  <c r="G37" i="2"/>
  <c r="I37" i="2" s="1"/>
  <c r="C132" i="2"/>
  <c r="D127" i="2"/>
  <c r="D132" i="2" s="1"/>
  <c r="M27" i="2"/>
  <c r="D133" i="2"/>
  <c r="C133" i="2"/>
  <c r="L93" i="2"/>
  <c r="L98" i="2" s="1"/>
  <c r="M36" i="2"/>
  <c r="M8" i="2"/>
  <c r="E34" i="2"/>
  <c r="G128" i="2" s="1"/>
  <c r="K34" i="2"/>
  <c r="C45" i="2"/>
  <c r="M35" i="2"/>
  <c r="M33" i="2"/>
  <c r="C43" i="2"/>
  <c r="E46" i="2"/>
  <c r="K46" i="2"/>
  <c r="D84" i="12" l="1"/>
  <c r="D87" i="12" s="1"/>
  <c r="F69" i="12"/>
  <c r="F71" i="12" s="1"/>
  <c r="G68" i="12" s="1"/>
  <c r="F66" i="12"/>
  <c r="F73" i="12"/>
  <c r="D88" i="12"/>
  <c r="E80" i="12" s="1"/>
  <c r="E82" i="12" s="1"/>
  <c r="E50" i="12"/>
  <c r="E51" i="12" s="1"/>
  <c r="E55" i="12" s="1"/>
  <c r="E57" i="12" s="1"/>
  <c r="E58" i="12" s="1"/>
  <c r="E31" i="12" s="1"/>
  <c r="E33" i="12" s="1"/>
  <c r="E36" i="12" s="1"/>
  <c r="E38" i="12" s="1"/>
  <c r="D50" i="12"/>
  <c r="D51" i="12" s="1"/>
  <c r="D55" i="12" s="1"/>
  <c r="D57" i="12" s="1"/>
  <c r="D58" i="12" s="1"/>
  <c r="D31" i="12" s="1"/>
  <c r="D33" i="12" s="1"/>
  <c r="E75" i="12"/>
  <c r="M70" i="12"/>
  <c r="M81" i="12"/>
  <c r="M83" i="12" s="1"/>
  <c r="O123" i="2"/>
  <c r="E16" i="3"/>
  <c r="F8" i="3" s="1"/>
  <c r="F10" i="3" s="1"/>
  <c r="F12" i="3" s="1"/>
  <c r="F15" i="3" s="1"/>
  <c r="E10" i="5"/>
  <c r="E11" i="5" s="1"/>
  <c r="E13" i="5" s="1"/>
  <c r="E18" i="5" s="1"/>
  <c r="D20" i="5"/>
  <c r="K37" i="2"/>
  <c r="N11" i="3"/>
  <c r="M17" i="2"/>
  <c r="G133" i="2"/>
  <c r="M34" i="2"/>
  <c r="C44" i="2"/>
  <c r="C135" i="2"/>
  <c r="M46" i="2"/>
  <c r="C56" i="2"/>
  <c r="D135" i="2"/>
  <c r="M32" i="2"/>
  <c r="C42" i="2"/>
  <c r="K43" i="2"/>
  <c r="E43" i="2"/>
  <c r="K45" i="2"/>
  <c r="E45" i="2"/>
  <c r="F129" i="2"/>
  <c r="F127" i="2"/>
  <c r="G47" i="2"/>
  <c r="I42" i="2"/>
  <c r="E84" i="12" l="1"/>
  <c r="E87" i="12" s="1"/>
  <c r="E88" i="12"/>
  <c r="F80" i="12" s="1"/>
  <c r="F82" i="12" s="1"/>
  <c r="F84" i="12" s="1"/>
  <c r="F87" i="12" s="1"/>
  <c r="G64" i="12"/>
  <c r="F74" i="12"/>
  <c r="F75" i="12" s="1"/>
  <c r="AF30" i="12"/>
  <c r="AF49" i="12" s="1"/>
  <c r="AE30" i="12"/>
  <c r="AE49" i="12" s="1"/>
  <c r="F16" i="3"/>
  <c r="G8" i="3" s="1"/>
  <c r="G10" i="3" s="1"/>
  <c r="G12" i="3" s="1"/>
  <c r="G15" i="3" s="1"/>
  <c r="F10" i="5"/>
  <c r="F11" i="5" s="1"/>
  <c r="F13" i="5" s="1"/>
  <c r="F18" i="5" s="1"/>
  <c r="E20" i="5"/>
  <c r="E26" i="5"/>
  <c r="E28" i="5" s="1"/>
  <c r="M37" i="2"/>
  <c r="G127" i="2"/>
  <c r="C55" i="2"/>
  <c r="M45" i="2"/>
  <c r="C47" i="2"/>
  <c r="E42" i="2"/>
  <c r="K42" i="2"/>
  <c r="F132" i="2"/>
  <c r="I47" i="2"/>
  <c r="G52" i="2"/>
  <c r="G129" i="2"/>
  <c r="C53" i="2"/>
  <c r="M43" i="2"/>
  <c r="E44" i="2"/>
  <c r="H128" i="2" s="1"/>
  <c r="K44" i="2"/>
  <c r="F134" i="2"/>
  <c r="E56" i="2"/>
  <c r="K56" i="2"/>
  <c r="G69" i="12" l="1"/>
  <c r="G71" i="12" s="1"/>
  <c r="H68" i="12" s="1"/>
  <c r="G66" i="12"/>
  <c r="G73" i="12"/>
  <c r="H50" i="12"/>
  <c r="H51" i="12" s="1"/>
  <c r="H55" i="12" s="1"/>
  <c r="H57" i="12" s="1"/>
  <c r="H58" i="12" s="1"/>
  <c r="H31" i="12" s="1"/>
  <c r="H33" i="12" s="1"/>
  <c r="H36" i="12" s="1"/>
  <c r="H38" i="12" s="1"/>
  <c r="G50" i="12"/>
  <c r="G51" i="12" s="1"/>
  <c r="G55" i="12" s="1"/>
  <c r="G57" i="12" s="1"/>
  <c r="G58" i="12" s="1"/>
  <c r="G31" i="12" s="1"/>
  <c r="G33" i="12" s="1"/>
  <c r="F88" i="12"/>
  <c r="G80" i="12" s="1"/>
  <c r="G82" i="12" s="1"/>
  <c r="K50" i="12"/>
  <c r="K51" i="12" s="1"/>
  <c r="K55" i="12" s="1"/>
  <c r="K57" i="12" s="1"/>
  <c r="K58" i="12" s="1"/>
  <c r="K31" i="12" s="1"/>
  <c r="K33" i="12" s="1"/>
  <c r="K36" i="12" s="1"/>
  <c r="K38" i="12" s="1"/>
  <c r="J50" i="12"/>
  <c r="J51" i="12" s="1"/>
  <c r="J55" i="12" s="1"/>
  <c r="J57" i="12" s="1"/>
  <c r="J58" i="12" s="1"/>
  <c r="J31" i="12" s="1"/>
  <c r="J33" i="12" s="1"/>
  <c r="G16" i="3"/>
  <c r="H8" i="3" s="1"/>
  <c r="H10" i="3" s="1"/>
  <c r="H12" i="3" s="1"/>
  <c r="H15" i="3" s="1"/>
  <c r="G10" i="5"/>
  <c r="G11" i="5" s="1"/>
  <c r="G13" i="5" s="1"/>
  <c r="G18" i="5" s="1"/>
  <c r="F20" i="5"/>
  <c r="F26" i="5"/>
  <c r="F28" i="5" s="1"/>
  <c r="F135" i="2"/>
  <c r="H133" i="2"/>
  <c r="M42" i="2"/>
  <c r="C52" i="2"/>
  <c r="E47" i="2"/>
  <c r="H127" i="2"/>
  <c r="H132" i="2" s="1"/>
  <c r="M44" i="2"/>
  <c r="C54" i="2"/>
  <c r="H129" i="2"/>
  <c r="G132" i="2"/>
  <c r="M56" i="2"/>
  <c r="C66" i="2"/>
  <c r="G134" i="2"/>
  <c r="K47" i="2"/>
  <c r="K53" i="2"/>
  <c r="E53" i="2"/>
  <c r="I52" i="2"/>
  <c r="G57" i="2"/>
  <c r="K55" i="2"/>
  <c r="E55" i="2"/>
  <c r="G84" i="12" l="1"/>
  <c r="G87" i="12" s="1"/>
  <c r="G88" i="12"/>
  <c r="H80" i="12" s="1"/>
  <c r="H82" i="12" s="1"/>
  <c r="H64" i="12"/>
  <c r="G74" i="12"/>
  <c r="G75" i="12" s="1"/>
  <c r="H16" i="3"/>
  <c r="I8" i="3" s="1"/>
  <c r="I10" i="3" s="1"/>
  <c r="I12" i="3" s="1"/>
  <c r="I15" i="3" s="1"/>
  <c r="H10" i="5"/>
  <c r="H11" i="5" s="1"/>
  <c r="H13" i="5" s="1"/>
  <c r="H18" i="5" s="1"/>
  <c r="G26" i="5"/>
  <c r="G28" i="5" s="1"/>
  <c r="G20" i="5"/>
  <c r="G135" i="2"/>
  <c r="M55" i="2"/>
  <c r="C65" i="2"/>
  <c r="C63" i="2"/>
  <c r="M53" i="2"/>
  <c r="E66" i="2"/>
  <c r="K66" i="2"/>
  <c r="I129" i="2"/>
  <c r="I134" i="2" s="1"/>
  <c r="K54" i="2"/>
  <c r="E54" i="2"/>
  <c r="E52" i="2"/>
  <c r="K52" i="2"/>
  <c r="C57" i="2"/>
  <c r="G62" i="2"/>
  <c r="I57" i="2"/>
  <c r="H134" i="2"/>
  <c r="H135" i="2" s="1"/>
  <c r="I127" i="2"/>
  <c r="I132" i="2" s="1"/>
  <c r="M47" i="2"/>
  <c r="H66" i="12" l="1"/>
  <c r="H69" i="12"/>
  <c r="H71" i="12" s="1"/>
  <c r="I68" i="12" s="1"/>
  <c r="H73" i="12"/>
  <c r="H84" i="12"/>
  <c r="H87" i="12" s="1"/>
  <c r="N50" i="12"/>
  <c r="N51" i="12" s="1"/>
  <c r="N55" i="12" s="1"/>
  <c r="N57" i="12" s="1"/>
  <c r="N58" i="12" s="1"/>
  <c r="N31" i="12" s="1"/>
  <c r="N33" i="12" s="1"/>
  <c r="N36" i="12" s="1"/>
  <c r="N38" i="12" s="1"/>
  <c r="M50" i="12"/>
  <c r="M51" i="12" s="1"/>
  <c r="M55" i="12" s="1"/>
  <c r="M57" i="12" s="1"/>
  <c r="M58" i="12" s="1"/>
  <c r="M31" i="12" s="1"/>
  <c r="M33" i="12" s="1"/>
  <c r="H20" i="5"/>
  <c r="H26" i="5"/>
  <c r="H28" i="5" s="1"/>
  <c r="I16" i="3"/>
  <c r="J8" i="3" s="1"/>
  <c r="J10" i="3" s="1"/>
  <c r="J12" i="3" s="1"/>
  <c r="J15" i="3" s="1"/>
  <c r="I10" i="5"/>
  <c r="I11" i="5" s="1"/>
  <c r="I13" i="5" s="1"/>
  <c r="I18" i="5" s="1"/>
  <c r="K57" i="2"/>
  <c r="M66" i="2"/>
  <c r="C76" i="2"/>
  <c r="K65" i="2"/>
  <c r="E65" i="2"/>
  <c r="I62" i="2"/>
  <c r="G67" i="2"/>
  <c r="E57" i="2"/>
  <c r="C62" i="2"/>
  <c r="M52" i="2"/>
  <c r="J127" i="2"/>
  <c r="M54" i="2"/>
  <c r="C64" i="2"/>
  <c r="J129" i="2"/>
  <c r="I128" i="2"/>
  <c r="E63" i="2"/>
  <c r="K63" i="2"/>
  <c r="P50" i="12" l="1"/>
  <c r="P51" i="12" s="1"/>
  <c r="P55" i="12" s="1"/>
  <c r="P57" i="12" s="1"/>
  <c r="P58" i="12" s="1"/>
  <c r="P31" i="12" s="1"/>
  <c r="P33" i="12" s="1"/>
  <c r="Q50" i="12"/>
  <c r="Q51" i="12" s="1"/>
  <c r="Q55" i="12" s="1"/>
  <c r="Q57" i="12" s="1"/>
  <c r="Q58" i="12" s="1"/>
  <c r="Q31" i="12" s="1"/>
  <c r="Q33" i="12" s="1"/>
  <c r="Q36" i="12" s="1"/>
  <c r="Q38" i="12" s="1"/>
  <c r="H88" i="12"/>
  <c r="I80" i="12" s="1"/>
  <c r="I82" i="12" s="1"/>
  <c r="I64" i="12"/>
  <c r="H74" i="12"/>
  <c r="H75" i="12" s="1"/>
  <c r="J16" i="3"/>
  <c r="K8" i="3" s="1"/>
  <c r="K10" i="3" s="1"/>
  <c r="K12" i="3" s="1"/>
  <c r="K15" i="3" s="1"/>
  <c r="J10" i="5"/>
  <c r="J11" i="5" s="1"/>
  <c r="J13" i="5" s="1"/>
  <c r="J18" i="5" s="1"/>
  <c r="I20" i="5"/>
  <c r="I26" i="5"/>
  <c r="I28" i="5" s="1"/>
  <c r="M57" i="2"/>
  <c r="C73" i="2"/>
  <c r="M63" i="2"/>
  <c r="K64" i="2"/>
  <c r="E64" i="2"/>
  <c r="G72" i="2"/>
  <c r="I67" i="2"/>
  <c r="E76" i="2"/>
  <c r="K76" i="2"/>
  <c r="I133" i="2"/>
  <c r="I135" i="2" s="1"/>
  <c r="C67" i="2"/>
  <c r="E62" i="2"/>
  <c r="K62" i="2"/>
  <c r="K129" i="2"/>
  <c r="K127" i="2"/>
  <c r="M65" i="2"/>
  <c r="C75" i="2"/>
  <c r="J134" i="2"/>
  <c r="J132" i="2"/>
  <c r="I66" i="12" l="1"/>
  <c r="I69" i="12"/>
  <c r="I71" i="12" s="1"/>
  <c r="J68" i="12" s="1"/>
  <c r="I73" i="12"/>
  <c r="I84" i="12"/>
  <c r="I87" i="12" s="1"/>
  <c r="K16" i="3"/>
  <c r="L8" i="3" s="1"/>
  <c r="L10" i="3" s="1"/>
  <c r="L12" i="3" s="1"/>
  <c r="L15" i="3" s="1"/>
  <c r="K10" i="5"/>
  <c r="K11" i="5" s="1"/>
  <c r="K13" i="5" s="1"/>
  <c r="K18" i="5" s="1"/>
  <c r="J20" i="5"/>
  <c r="J26" i="5"/>
  <c r="J28" i="5" s="1"/>
  <c r="K67" i="2"/>
  <c r="L127" i="2"/>
  <c r="G77" i="2"/>
  <c r="I72" i="2"/>
  <c r="K132" i="2"/>
  <c r="M62" i="2"/>
  <c r="C72" i="2"/>
  <c r="E67" i="2"/>
  <c r="M64" i="2"/>
  <c r="C74" i="2"/>
  <c r="E73" i="2"/>
  <c r="K73" i="2"/>
  <c r="K75" i="2"/>
  <c r="E75" i="2"/>
  <c r="L129" i="2"/>
  <c r="L134" i="2" s="1"/>
  <c r="C86" i="2"/>
  <c r="M76" i="2"/>
  <c r="K134" i="2"/>
  <c r="J128" i="2"/>
  <c r="T50" i="12" l="1"/>
  <c r="T51" i="12" s="1"/>
  <c r="T55" i="12" s="1"/>
  <c r="T57" i="12" s="1"/>
  <c r="T58" i="12" s="1"/>
  <c r="T31" i="12" s="1"/>
  <c r="T33" i="12" s="1"/>
  <c r="T36" i="12" s="1"/>
  <c r="T38" i="12" s="1"/>
  <c r="S50" i="12"/>
  <c r="S51" i="12" s="1"/>
  <c r="S55" i="12" s="1"/>
  <c r="S57" i="12" s="1"/>
  <c r="S58" i="12" s="1"/>
  <c r="S31" i="12" s="1"/>
  <c r="S33" i="12" s="1"/>
  <c r="I88" i="12"/>
  <c r="J80" i="12" s="1"/>
  <c r="J82" i="12" s="1"/>
  <c r="J64" i="12"/>
  <c r="I74" i="12"/>
  <c r="I75" i="12" s="1"/>
  <c r="K20" i="5"/>
  <c r="K26" i="5"/>
  <c r="K28" i="5" s="1"/>
  <c r="L16" i="3"/>
  <c r="M8" i="3" s="1"/>
  <c r="M10" i="3" s="1"/>
  <c r="M12" i="3" s="1"/>
  <c r="M15" i="3" s="1"/>
  <c r="M10" i="5" s="1"/>
  <c r="L10" i="5"/>
  <c r="L11" i="5" s="1"/>
  <c r="L13" i="5" s="1"/>
  <c r="L18" i="5" s="1"/>
  <c r="L132" i="2"/>
  <c r="K86" i="2"/>
  <c r="E86" i="2"/>
  <c r="J133" i="2"/>
  <c r="J135" i="2" s="1"/>
  <c r="G82" i="2"/>
  <c r="I77" i="2"/>
  <c r="M129" i="2"/>
  <c r="N129" i="2" s="1"/>
  <c r="C83" i="2"/>
  <c r="M73" i="2"/>
  <c r="C77" i="2"/>
  <c r="K72" i="2"/>
  <c r="E72" i="2"/>
  <c r="C85" i="2"/>
  <c r="M75" i="2"/>
  <c r="K74" i="2"/>
  <c r="E74" i="2"/>
  <c r="M67" i="2"/>
  <c r="M127" i="2"/>
  <c r="N127" i="2" s="1"/>
  <c r="J84" i="12" l="1"/>
  <c r="J87" i="12" s="1"/>
  <c r="J88" i="12"/>
  <c r="K80" i="12" s="1"/>
  <c r="K82" i="12" s="1"/>
  <c r="K84" i="12" s="1"/>
  <c r="K87" i="12" s="1"/>
  <c r="J66" i="12"/>
  <c r="J69" i="12"/>
  <c r="J71" i="12" s="1"/>
  <c r="K68" i="12" s="1"/>
  <c r="J73" i="12"/>
  <c r="O129" i="2"/>
  <c r="O134" i="2" s="1"/>
  <c r="O127" i="2"/>
  <c r="O132" i="2" s="1"/>
  <c r="M16" i="3"/>
  <c r="N8" i="3" s="1"/>
  <c r="N10" i="3" s="1"/>
  <c r="N12" i="3" s="1"/>
  <c r="N15" i="3" s="1"/>
  <c r="N10" i="5" s="1"/>
  <c r="L26" i="5"/>
  <c r="L28" i="5" s="1"/>
  <c r="L20" i="5"/>
  <c r="N132" i="2"/>
  <c r="M132" i="2"/>
  <c r="M134" i="2"/>
  <c r="N134" i="2"/>
  <c r="M86" i="2"/>
  <c r="C97" i="2"/>
  <c r="E85" i="2"/>
  <c r="K85" i="2"/>
  <c r="C84" i="2"/>
  <c r="M74" i="2"/>
  <c r="E77" i="2"/>
  <c r="C82" i="2"/>
  <c r="M72" i="2"/>
  <c r="E83" i="2"/>
  <c r="K83" i="2"/>
  <c r="K77" i="2"/>
  <c r="K128" i="2"/>
  <c r="G87" i="2"/>
  <c r="I82" i="2"/>
  <c r="K64" i="12" l="1"/>
  <c r="J74" i="12"/>
  <c r="J75" i="12" s="1"/>
  <c r="K88" i="12"/>
  <c r="L80" i="12" s="1"/>
  <c r="L82" i="12" s="1"/>
  <c r="Y50" i="12"/>
  <c r="Y51" i="12" s="1"/>
  <c r="Y55" i="12" s="1"/>
  <c r="Y57" i="12" s="1"/>
  <c r="Y58" i="12" s="1"/>
  <c r="Y31" i="12" s="1"/>
  <c r="Y33" i="12" s="1"/>
  <c r="Z50" i="12"/>
  <c r="Z51" i="12" s="1"/>
  <c r="Z55" i="12" s="1"/>
  <c r="Z57" i="12" s="1"/>
  <c r="Z58" i="12" s="1"/>
  <c r="Z31" i="12" s="1"/>
  <c r="Z33" i="12" s="1"/>
  <c r="Z36" i="12" s="1"/>
  <c r="Z38" i="12" s="1"/>
  <c r="W50" i="12"/>
  <c r="W51" i="12" s="1"/>
  <c r="W55" i="12" s="1"/>
  <c r="W57" i="12" s="1"/>
  <c r="W58" i="12" s="1"/>
  <c r="W31" i="12" s="1"/>
  <c r="W33" i="12" s="1"/>
  <c r="W36" i="12" s="1"/>
  <c r="W38" i="12" s="1"/>
  <c r="V50" i="12"/>
  <c r="V51" i="12" s="1"/>
  <c r="V55" i="12" s="1"/>
  <c r="V57" i="12" s="1"/>
  <c r="V58" i="12" s="1"/>
  <c r="V31" i="12" s="1"/>
  <c r="V33" i="12" s="1"/>
  <c r="N16" i="3"/>
  <c r="O8" i="3" s="1"/>
  <c r="M77" i="2"/>
  <c r="K133" i="2"/>
  <c r="K135" i="2" s="1"/>
  <c r="E84" i="2"/>
  <c r="L128" i="2" s="1"/>
  <c r="K84" i="2"/>
  <c r="C87" i="2"/>
  <c r="E82" i="2"/>
  <c r="K82" i="2"/>
  <c r="G93" i="2"/>
  <c r="I87" i="2"/>
  <c r="M85" i="2"/>
  <c r="C96" i="2"/>
  <c r="C94" i="2"/>
  <c r="M83" i="2"/>
  <c r="E97" i="2"/>
  <c r="C108" i="2" s="1"/>
  <c r="K97" i="2"/>
  <c r="L84" i="12" l="1"/>
  <c r="L87" i="12" s="1"/>
  <c r="L88" i="12" s="1"/>
  <c r="M80" i="12" s="1"/>
  <c r="M82" i="12" s="1"/>
  <c r="K66" i="12"/>
  <c r="K69" i="12"/>
  <c r="K71" i="12" s="1"/>
  <c r="L68" i="12" s="1"/>
  <c r="K73" i="12"/>
  <c r="K108" i="2"/>
  <c r="E108" i="2"/>
  <c r="M97" i="2"/>
  <c r="G98" i="2"/>
  <c r="I93" i="2"/>
  <c r="G104" i="2" s="1"/>
  <c r="K96" i="2"/>
  <c r="E96" i="2"/>
  <c r="C107" i="2" s="1"/>
  <c r="K87" i="2"/>
  <c r="M84" i="2"/>
  <c r="C95" i="2"/>
  <c r="C93" i="2"/>
  <c r="M82" i="2"/>
  <c r="E87" i="2"/>
  <c r="K94" i="2"/>
  <c r="E94" i="2"/>
  <c r="C105" i="2" s="1"/>
  <c r="L133" i="2"/>
  <c r="L135" i="2" s="1"/>
  <c r="L64" i="12" l="1"/>
  <c r="K74" i="12"/>
  <c r="K75" i="12" s="1"/>
  <c r="M84" i="12"/>
  <c r="M87" i="12" s="1"/>
  <c r="AB50" i="12"/>
  <c r="AB51" i="12" s="1"/>
  <c r="AB55" i="12" s="1"/>
  <c r="AB57" i="12" s="1"/>
  <c r="AB58" i="12" s="1"/>
  <c r="AB31" i="12" s="1"/>
  <c r="AB33" i="12" s="1"/>
  <c r="AC50" i="12"/>
  <c r="AC51" i="12" s="1"/>
  <c r="AC55" i="12" s="1"/>
  <c r="AC57" i="12" s="1"/>
  <c r="AC58" i="12" s="1"/>
  <c r="AC31" i="12" s="1"/>
  <c r="AC33" i="12" s="1"/>
  <c r="AC36" i="12" s="1"/>
  <c r="AC38" i="12" s="1"/>
  <c r="M108" i="2"/>
  <c r="C119" i="2"/>
  <c r="K107" i="2"/>
  <c r="E107" i="2"/>
  <c r="K105" i="2"/>
  <c r="E105" i="2"/>
  <c r="G109" i="2"/>
  <c r="I104" i="2"/>
  <c r="I98" i="2"/>
  <c r="M96" i="2"/>
  <c r="M87" i="2"/>
  <c r="M94" i="2"/>
  <c r="K93" i="2"/>
  <c r="E93" i="2"/>
  <c r="C104" i="2" s="1"/>
  <c r="C98" i="2"/>
  <c r="E95" i="2"/>
  <c r="C106" i="2" s="1"/>
  <c r="K95" i="2"/>
  <c r="AE50" i="12" l="1"/>
  <c r="AF50" i="12"/>
  <c r="L69" i="12"/>
  <c r="L71" i="12" s="1"/>
  <c r="M68" i="12" s="1"/>
  <c r="L66" i="12"/>
  <c r="L73" i="12"/>
  <c r="M88" i="12"/>
  <c r="N80" i="12" s="1"/>
  <c r="N82" i="12" s="1"/>
  <c r="C116" i="2"/>
  <c r="E116" i="2" s="1"/>
  <c r="E119" i="2"/>
  <c r="M119" i="2" s="1"/>
  <c r="K119" i="2"/>
  <c r="M107" i="2"/>
  <c r="C118" i="2"/>
  <c r="K116" i="2"/>
  <c r="I109" i="2"/>
  <c r="G115" i="2"/>
  <c r="M128" i="2"/>
  <c r="M105" i="2"/>
  <c r="E106" i="2"/>
  <c r="N128" i="2" s="1"/>
  <c r="K106" i="2"/>
  <c r="C109" i="2"/>
  <c r="K104" i="2"/>
  <c r="E104" i="2"/>
  <c r="C115" i="2" s="1"/>
  <c r="M95" i="2"/>
  <c r="E98" i="2"/>
  <c r="M93" i="2"/>
  <c r="K98" i="2"/>
  <c r="M64" i="12" l="1"/>
  <c r="L74" i="12"/>
  <c r="L75" i="12" s="1"/>
  <c r="N84" i="12"/>
  <c r="N87" i="12" s="1"/>
  <c r="M116" i="2"/>
  <c r="E118" i="2"/>
  <c r="M118" i="2" s="1"/>
  <c r="K118" i="2"/>
  <c r="M106" i="2"/>
  <c r="C117" i="2"/>
  <c r="I115" i="2"/>
  <c r="I120" i="2" s="1"/>
  <c r="G120" i="2"/>
  <c r="E115" i="2"/>
  <c r="K115" i="2"/>
  <c r="N133" i="2"/>
  <c r="N135" i="2" s="1"/>
  <c r="K109" i="2"/>
  <c r="M133" i="2"/>
  <c r="M135" i="2" s="1"/>
  <c r="E109" i="2"/>
  <c r="M104" i="2"/>
  <c r="M98" i="2"/>
  <c r="AH50" i="12" l="1"/>
  <c r="AI50" i="12"/>
  <c r="N88" i="12"/>
  <c r="O80" i="12" s="1"/>
  <c r="O82" i="12" s="1"/>
  <c r="M69" i="12"/>
  <c r="M71" i="12" s="1"/>
  <c r="N68" i="12" s="1"/>
  <c r="M66" i="12"/>
  <c r="M73" i="12"/>
  <c r="AF13" i="12"/>
  <c r="AF17" i="12" s="1"/>
  <c r="AE13" i="12"/>
  <c r="AE17" i="12" s="1"/>
  <c r="M109" i="2"/>
  <c r="E117" i="2"/>
  <c r="K117" i="2"/>
  <c r="K120" i="2" s="1"/>
  <c r="C120" i="2"/>
  <c r="M115" i="2"/>
  <c r="O11" i="3"/>
  <c r="O10" i="3"/>
  <c r="O84" i="12" l="1"/>
  <c r="O87" i="12" s="1"/>
  <c r="O88" i="12"/>
  <c r="N64" i="12"/>
  <c r="M74" i="12"/>
  <c r="M75" i="12" s="1"/>
  <c r="O12" i="3"/>
  <c r="O15" i="3" s="1"/>
  <c r="AI13" i="12"/>
  <c r="AI17" i="12" s="1"/>
  <c r="AH13" i="12"/>
  <c r="AH17" i="12" s="1"/>
  <c r="AE22" i="12"/>
  <c r="AE26" i="12" s="1"/>
  <c r="AE48" i="12" s="1"/>
  <c r="AE51" i="12" s="1"/>
  <c r="AE55" i="12" s="1"/>
  <c r="AE57" i="12" s="1"/>
  <c r="AE58" i="12" s="1"/>
  <c r="AE31" i="12" s="1"/>
  <c r="AE21" i="12"/>
  <c r="AE25" i="12" s="1"/>
  <c r="AE20" i="12"/>
  <c r="AE24" i="12" s="1"/>
  <c r="AF22" i="12"/>
  <c r="AF26" i="12" s="1"/>
  <c r="AF48" i="12" s="1"/>
  <c r="AF51" i="12" s="1"/>
  <c r="AF55" i="12" s="1"/>
  <c r="AF57" i="12" s="1"/>
  <c r="AF58" i="12" s="1"/>
  <c r="AF31" i="12" s="1"/>
  <c r="AF21" i="12"/>
  <c r="AF25" i="12" s="1"/>
  <c r="AF20" i="12"/>
  <c r="AF24" i="12" s="1"/>
  <c r="M117" i="2"/>
  <c r="M120" i="2" s="1"/>
  <c r="O128" i="2"/>
  <c r="O133" i="2" s="1"/>
  <c r="O135" i="2" s="1"/>
  <c r="E120" i="2"/>
  <c r="O16" i="3"/>
  <c r="O10" i="5"/>
  <c r="O11" i="5" s="1"/>
  <c r="O13" i="5" s="1"/>
  <c r="O18" i="5" s="1"/>
  <c r="N69" i="12" l="1"/>
  <c r="N71" i="12" s="1"/>
  <c r="O68" i="12" s="1"/>
  <c r="N66" i="12"/>
  <c r="N73" i="12"/>
  <c r="AK50" i="12"/>
  <c r="AL50" i="12"/>
  <c r="AF27" i="12"/>
  <c r="AF33" i="12" s="1"/>
  <c r="AF36" i="12" s="1"/>
  <c r="AF38" i="12" s="1"/>
  <c r="AH20" i="12"/>
  <c r="AH24" i="12" s="1"/>
  <c r="AH22" i="12"/>
  <c r="AH26" i="12" s="1"/>
  <c r="AH48" i="12" s="1"/>
  <c r="AH51" i="12" s="1"/>
  <c r="AH55" i="12" s="1"/>
  <c r="AH57" i="12" s="1"/>
  <c r="AH58" i="12" s="1"/>
  <c r="AH31" i="12" s="1"/>
  <c r="AH21" i="12"/>
  <c r="AH25" i="12" s="1"/>
  <c r="AE27" i="12"/>
  <c r="AE33" i="12" s="1"/>
  <c r="AI22" i="12"/>
  <c r="AI26" i="12" s="1"/>
  <c r="AI48" i="12" s="1"/>
  <c r="AI51" i="12" s="1"/>
  <c r="AI55" i="12" s="1"/>
  <c r="AI57" i="12" s="1"/>
  <c r="AI58" i="12" s="1"/>
  <c r="AI31" i="12" s="1"/>
  <c r="AI21" i="12"/>
  <c r="AI25" i="12" s="1"/>
  <c r="AI20" i="12"/>
  <c r="AI24" i="12" s="1"/>
  <c r="O26" i="5"/>
  <c r="O20" i="5"/>
  <c r="O64" i="12" l="1"/>
  <c r="N74" i="12"/>
  <c r="N75" i="12" s="1"/>
  <c r="AI27" i="12"/>
  <c r="AI33" i="12" s="1"/>
  <c r="AI36" i="12" s="1"/>
  <c r="AI38" i="12" s="1"/>
  <c r="AH27" i="12"/>
  <c r="AH33" i="12" s="1"/>
  <c r="O28" i="5"/>
  <c r="AL13" i="12"/>
  <c r="AL17" i="12" s="1"/>
  <c r="AK13" i="12"/>
  <c r="AK17" i="12" s="1"/>
  <c r="N11" i="5"/>
  <c r="N13" i="5" s="1"/>
  <c r="N18" i="5" s="1"/>
  <c r="O66" i="12" l="1"/>
  <c r="O69" i="12"/>
  <c r="O71" i="12" s="1"/>
  <c r="O74" i="12" s="1"/>
  <c r="O73" i="12"/>
  <c r="AL22" i="12"/>
  <c r="AL26" i="12" s="1"/>
  <c r="AL48" i="12" s="1"/>
  <c r="AL51" i="12" s="1"/>
  <c r="AL55" i="12" s="1"/>
  <c r="AL57" i="12" s="1"/>
  <c r="AL58" i="12" s="1"/>
  <c r="AL31" i="12" s="1"/>
  <c r="AL21" i="12"/>
  <c r="AL25" i="12" s="1"/>
  <c r="AL20" i="12"/>
  <c r="AL24" i="12" s="1"/>
  <c r="N20" i="5"/>
  <c r="N26" i="5"/>
  <c r="N28" i="5" s="1"/>
  <c r="AK22" i="12"/>
  <c r="AK26" i="12" s="1"/>
  <c r="AK48" i="12" s="1"/>
  <c r="AK51" i="12" s="1"/>
  <c r="AK55" i="12" s="1"/>
  <c r="AK57" i="12" s="1"/>
  <c r="AK58" i="12" s="1"/>
  <c r="AK31" i="12" s="1"/>
  <c r="AK21" i="12"/>
  <c r="AK25" i="12" s="1"/>
  <c r="AK20" i="12"/>
  <c r="AK24" i="12" s="1"/>
  <c r="M11" i="5"/>
  <c r="M13" i="5" s="1"/>
  <c r="M18" i="5" s="1"/>
  <c r="AL27" i="12" l="1"/>
  <c r="O75" i="12"/>
  <c r="AK27" i="12"/>
  <c r="AK33" i="12" s="1"/>
  <c r="AL33" i="12"/>
  <c r="AL36" i="12" s="1"/>
  <c r="AL38" i="12" s="1"/>
  <c r="M20" i="5"/>
  <c r="M26" i="5"/>
  <c r="M2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Natalie Yeates</author>
  </authors>
  <commentList>
    <comment ref="B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Natalie Yeates:</t>
        </r>
        <r>
          <rPr>
            <sz val="9"/>
            <color indexed="81"/>
            <rFont val="Tahoma"/>
            <family val="2"/>
          </rPr>
          <t xml:space="preserve">
Continuity Schedule reference account number</t>
        </r>
      </text>
    </comment>
  </commentList>
</comments>
</file>

<file path=xl/sharedStrings.xml><?xml version="1.0" encoding="utf-8"?>
<sst xmlns="http://schemas.openxmlformats.org/spreadsheetml/2006/main" count="430" uniqueCount="127">
  <si>
    <t>EB-2018-XXXX</t>
  </si>
  <si>
    <t>OM&amp;A</t>
  </si>
  <si>
    <t>WCA</t>
  </si>
  <si>
    <t>Rate Base</t>
  </si>
  <si>
    <t>Deemed ST Debt</t>
  </si>
  <si>
    <t>Deemed LT Debt</t>
  </si>
  <si>
    <t>Deemed Equity</t>
  </si>
  <si>
    <t>ST Interest</t>
  </si>
  <si>
    <t>LT Interest</t>
  </si>
  <si>
    <t>ROE</t>
  </si>
  <si>
    <t>Amortization</t>
  </si>
  <si>
    <t>Grossed-up PILs</t>
  </si>
  <si>
    <t>Revenue Requirement</t>
  </si>
  <si>
    <t>Provincial Rate Protection</t>
  </si>
  <si>
    <t>Green Energy Fixed Asset Continuity Schedule</t>
  </si>
  <si>
    <t>COST</t>
  </si>
  <si>
    <t>ACCUMULATED DEPRECIATION</t>
  </si>
  <si>
    <t>NBV</t>
  </si>
  <si>
    <t>Ref #</t>
  </si>
  <si>
    <t xml:space="preserve">Opening </t>
  </si>
  <si>
    <t xml:space="preserve">Additions </t>
  </si>
  <si>
    <t>Closing</t>
  </si>
  <si>
    <t>2010 (CGAAP)</t>
  </si>
  <si>
    <t>Green Energy - FIT/Micro</t>
  </si>
  <si>
    <t>CIP - Green Energy - FIT/Micro</t>
  </si>
  <si>
    <t>123800-123845.SMFIT</t>
  </si>
  <si>
    <t>CIP AFUDC Green Energy</t>
  </si>
  <si>
    <t>122248-122249</t>
  </si>
  <si>
    <t>TOTAL</t>
  </si>
  <si>
    <t>ACCUM DEPRECIATION</t>
  </si>
  <si>
    <t>2011 Actual</t>
  </si>
  <si>
    <t>IFRS adjustment</t>
  </si>
  <si>
    <t>2012 Actual</t>
  </si>
  <si>
    <t>Def Rev -FIT MicroFIT</t>
  </si>
  <si>
    <t>CIP Def Rev -FIT MicroFIT</t>
  </si>
  <si>
    <t>YTD Additions</t>
  </si>
  <si>
    <t>2013 Actual</t>
  </si>
  <si>
    <t>2014 Actual</t>
  </si>
  <si>
    <t>2015 Actual</t>
  </si>
  <si>
    <t>2016 Forecast</t>
  </si>
  <si>
    <t>2017 Actual</t>
  </si>
  <si>
    <t>Total</t>
  </si>
  <si>
    <t>Net Capital Expenditures</t>
  </si>
  <si>
    <t>Depreciation Expense</t>
  </si>
  <si>
    <t>2011 IFRS 
Adjustment</t>
  </si>
  <si>
    <t>Cummulative Cost including CIP</t>
  </si>
  <si>
    <t>Less Cummulative CIP</t>
  </si>
  <si>
    <t>Cummulative Accumulated Depreciation</t>
  </si>
  <si>
    <t>Average 
2010</t>
  </si>
  <si>
    <t>Average 
2011</t>
  </si>
  <si>
    <t>Average 
2012</t>
  </si>
  <si>
    <t>Average 
2013</t>
  </si>
  <si>
    <t>Average 
2014</t>
  </si>
  <si>
    <t>Average 
2015</t>
  </si>
  <si>
    <t>Average 
2016</t>
  </si>
  <si>
    <t>Average 
2017</t>
  </si>
  <si>
    <t>Average 
2018</t>
  </si>
  <si>
    <t>Average 
2019</t>
  </si>
  <si>
    <t>CCA Calculation</t>
  </si>
  <si>
    <t>Opening UCC</t>
  </si>
  <si>
    <t>Capital Additions</t>
  </si>
  <si>
    <t>UCC Before Half Year Rule</t>
  </si>
  <si>
    <t>Half Year Rule (1/2 Additions - Disposals)</t>
  </si>
  <si>
    <t>Reduced UCC</t>
  </si>
  <si>
    <t>CCA Rate Class</t>
  </si>
  <si>
    <t xml:space="preserve">CCA Rate </t>
  </si>
  <si>
    <t>CCA</t>
  </si>
  <si>
    <t>Closing UCC</t>
  </si>
  <si>
    <t>PILs Calculation</t>
  </si>
  <si>
    <t>INCOME TAX</t>
  </si>
  <si>
    <t>Net Income</t>
  </si>
  <si>
    <r>
      <t>Amortization</t>
    </r>
    <r>
      <rPr>
        <i/>
        <sz val="11"/>
        <rFont val="Calibri"/>
        <family val="2"/>
      </rPr>
      <t xml:space="preserve"> </t>
    </r>
  </si>
  <si>
    <t>Change in taxable income</t>
  </si>
  <si>
    <t>Tax Rate</t>
  </si>
  <si>
    <t>Income Taxes Payable</t>
  </si>
  <si>
    <t>Gross Up</t>
  </si>
  <si>
    <t>PILs Payable</t>
  </si>
  <si>
    <t>Change in Income Taxes Payable</t>
  </si>
  <si>
    <t>Change in OCT</t>
  </si>
  <si>
    <t>PIL's</t>
  </si>
  <si>
    <t>Grossed Up PILs</t>
  </si>
  <si>
    <t>2020 Forecast</t>
  </si>
  <si>
    <t>Average 
2020</t>
  </si>
  <si>
    <t>2018 Actual</t>
  </si>
  <si>
    <t>2021 Forecast</t>
  </si>
  <si>
    <t>2019 Actual</t>
  </si>
  <si>
    <t>Average 
2021</t>
  </si>
  <si>
    <t>Appendix 2-FB</t>
  </si>
  <si>
    <t>Calculation of Renewable Generation Connection Direct Benefits/Provincial Amount: Renewable Enabling Improvement Investments</t>
  </si>
  <si>
    <t>This table will calculate the distributor/provincial shares of the investments entered in Part A of Appendix 2-FA.</t>
  </si>
  <si>
    <t>Enter values in green shaded cells: WCA percentage, debt percentages, interest rates, kWh, tax rates, amortization period, CCA Class and percentage.</t>
  </si>
  <si>
    <t>For historical investments, enter these variables for your last cost of service test year.  For 2016 and beyond, enter variables as in the application.</t>
  </si>
  <si>
    <t>Rate Riders are not calculated for Test Year as these assets and costs are already in the distributor's rate base/revenue requirement.</t>
  </si>
  <si>
    <t>Direct Benefit</t>
  </si>
  <si>
    <t>Provincial</t>
  </si>
  <si>
    <t>Net Fixed Assets (average)</t>
  </si>
  <si>
    <t>Incremental OM&amp;A (on-going, N/A for Provincial Recovery)</t>
  </si>
  <si>
    <t>Incremental OM&amp;A (start-up, applicable for Provincial Recovery)</t>
  </si>
  <si>
    <t>2008 COS</t>
  </si>
  <si>
    <t>2013 COS</t>
  </si>
  <si>
    <t>Cost of Capital Total</t>
  </si>
  <si>
    <t>Monthly Amount Paid by IESO</t>
  </si>
  <si>
    <r>
      <rPr>
        <b/>
        <sz val="10"/>
        <color indexed="8"/>
        <rFont val="Arial"/>
        <family val="2"/>
      </rPr>
      <t>Note 1:</t>
    </r>
    <r>
      <rPr>
        <sz val="10"/>
        <color indexed="8"/>
        <rFont val="Arial"/>
        <family val="2"/>
      </rPr>
      <t xml:space="preserve"> The difference between the actual costs of approved eligible investments and revenue received from the IESO should be recorded in a variance account.  The Board may provide </t>
    </r>
  </si>
  <si>
    <t>regulatory accounting guidance regarding a variance account either in an individual proceeding or on a generic basis.</t>
  </si>
  <si>
    <r>
      <rPr>
        <b/>
        <sz val="10"/>
        <color indexed="8"/>
        <rFont val="Arial"/>
        <family val="2"/>
      </rPr>
      <t>Note 2:</t>
    </r>
    <r>
      <rPr>
        <sz val="10"/>
        <color indexed="8"/>
        <rFont val="Arial"/>
        <family val="2"/>
      </rPr>
      <t xml:space="preserve"> For the 2016 Test Year, Costs and Revenues of the Direct Benefit are to be included in the test year applicant Rate Base and Revenues.  </t>
    </r>
  </si>
  <si>
    <t>Income Tax</t>
  </si>
  <si>
    <t>Net Income - ROE on Rate Base</t>
  </si>
  <si>
    <r>
      <t>Amortization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(6% DB and 94% P)</t>
    </r>
  </si>
  <si>
    <t>CCA (6% DB and 94% P)</t>
  </si>
  <si>
    <t>Taxable income</t>
  </si>
  <si>
    <t>Tax Rate  (to be entered)</t>
  </si>
  <si>
    <t>Net Fixed Assets</t>
  </si>
  <si>
    <t>Enter applicable amortization in years:</t>
  </si>
  <si>
    <t>Opening Gross Fixed Assets</t>
  </si>
  <si>
    <t>Gross Capital Additions</t>
  </si>
  <si>
    <t>Closing Gross Fixed Assets</t>
  </si>
  <si>
    <t>Opening Accumulated Amortization</t>
  </si>
  <si>
    <t>Current Year Amortization (before additions)</t>
  </si>
  <si>
    <t>Additions (half year)</t>
  </si>
  <si>
    <t>Closing Accumulated Amortization</t>
  </si>
  <si>
    <t>Opening Net Fixed Assets</t>
  </si>
  <si>
    <t>Closing Net Fixed Assets</t>
  </si>
  <si>
    <t>Average Net Fixed Assets</t>
  </si>
  <si>
    <t>UCC for PILs Calculation</t>
  </si>
  <si>
    <t>Capital Additions (from Appendix 2-FA)</t>
  </si>
  <si>
    <t>CCA Rate Class (to be entered)</t>
  </si>
  <si>
    <t>CCA Rate  (to be entered)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</si>
</sst>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;[Red]\-&quot;$&quot;#,##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_-;\-&quot;$&quot;* #,##0_-;_-&quot;$&quot;* &quot;-&quot;??_-;_-@_-"/>
    <numFmt numFmtId="167" formatCode="0.0%"/>
    <numFmt numFmtId="168" formatCode="_-* #,##0_-;\-* #,##0_-;_-* &quot;-&quot;??_-;_-@_-"/>
    <numFmt numFmtId="169" formatCode="_-&quot;$&quot;* #,##0.0000_-;\-&quot;$&quot;* #,##0.0000_-;_-&quot;$&quot;* &quot;-&quot;??_-;_-@_-"/>
    <numFmt numFmtId="170" formatCode="&quot;$&quot;#,##0"/>
    <numFmt numFmtId="171" formatCode="&quot;$&quot;#,##0.0000_);[Red]\(&quot;$&quot;#,##0.0000\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name val="Calibri"/>
      <family val="2"/>
      <scheme val="minor"/>
    </font>
    <font>
      <b/>
      <sz val="20"/>
      <name val="Arial"/>
      <family val="2"/>
    </font>
    <font>
      <sz val="11"/>
      <color indexed="12"/>
      <name val="Calibri"/>
      <family val="2"/>
      <scheme val="minor"/>
    </font>
    <font>
      <i/>
      <sz val="11"/>
      <name val="Calibri"/>
      <family val="2"/>
    </font>
    <font>
      <b/>
      <sz val="11"/>
      <color indexed="10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/>
    <xf numFmtId="0" fontId="1" fillId="0" borderId="0"/>
  </cellStyleXfs>
  <cellXfs count="180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/>
    <xf numFmtId="165" fontId="9" fillId="0" borderId="5" xfId="0" applyNumberFormat="1" applyFont="1" applyBorder="1"/>
    <xf numFmtId="39" fontId="8" fillId="0" borderId="0" xfId="0" applyNumberFormat="1" applyFont="1"/>
    <xf numFmtId="39" fontId="3" fillId="0" borderId="5" xfId="0" applyNumberFormat="1" applyFont="1" applyBorder="1"/>
    <xf numFmtId="39" fontId="3" fillId="0" borderId="0" xfId="0" applyNumberFormat="1" applyFont="1"/>
    <xf numFmtId="43" fontId="8" fillId="0" borderId="0" xfId="0" applyNumberFormat="1" applyFont="1"/>
    <xf numFmtId="0" fontId="8" fillId="0" borderId="0" xfId="0" applyFont="1" applyAlignment="1"/>
    <xf numFmtId="0" fontId="10" fillId="0" borderId="0" xfId="0" applyFont="1"/>
    <xf numFmtId="165" fontId="8" fillId="0" borderId="0" xfId="0" applyNumberFormat="1" applyFont="1" applyFill="1"/>
    <xf numFmtId="165" fontId="2" fillId="0" borderId="0" xfId="0" applyNumberFormat="1" applyFont="1"/>
    <xf numFmtId="43" fontId="8" fillId="0" borderId="0" xfId="0" applyNumberFormat="1" applyFont="1" applyFill="1"/>
    <xf numFmtId="165" fontId="9" fillId="0" borderId="5" xfId="0" applyNumberFormat="1" applyFont="1" applyFill="1" applyBorder="1"/>
    <xf numFmtId="39" fontId="8" fillId="0" borderId="0" xfId="0" applyNumberFormat="1" applyFont="1" applyFill="1"/>
    <xf numFmtId="39" fontId="3" fillId="0" borderId="0" xfId="0" applyNumberFormat="1" applyFont="1" applyFill="1"/>
    <xf numFmtId="0" fontId="3" fillId="0" borderId="4" xfId="0" applyFont="1" applyFill="1" applyBorder="1" applyAlignment="1">
      <alignment horizontal="center"/>
    </xf>
    <xf numFmtId="42" fontId="8" fillId="0" borderId="0" xfId="0" applyNumberFormat="1" applyFont="1"/>
    <xf numFmtId="0" fontId="3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/>
    <xf numFmtId="39" fontId="8" fillId="0" borderId="7" xfId="0" applyNumberFormat="1" applyFont="1" applyBorder="1"/>
    <xf numFmtId="0" fontId="3" fillId="0" borderId="7" xfId="0" applyFont="1" applyBorder="1" applyAlignment="1">
      <alignment horizontal="center" wrapText="1"/>
    </xf>
    <xf numFmtId="37" fontId="8" fillId="0" borderId="7" xfId="0" applyNumberFormat="1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37" fontId="8" fillId="0" borderId="0" xfId="0" applyNumberFormat="1" applyFont="1" applyBorder="1"/>
    <xf numFmtId="39" fontId="8" fillId="0" borderId="0" xfId="0" applyNumberFormat="1" applyFont="1" applyAlignment="1">
      <alignment horizontal="center"/>
    </xf>
    <xf numFmtId="0" fontId="8" fillId="0" borderId="7" xfId="0" applyFont="1" applyBorder="1" applyAlignment="1">
      <alignment horizontal="center" wrapText="1"/>
    </xf>
    <xf numFmtId="37" fontId="8" fillId="3" borderId="7" xfId="0" applyNumberFormat="1" applyFont="1" applyFill="1" applyBorder="1"/>
    <xf numFmtId="37" fontId="3" fillId="3" borderId="7" xfId="0" applyNumberFormat="1" applyFont="1" applyFill="1" applyBorder="1"/>
    <xf numFmtId="166" fontId="0" fillId="0" borderId="0" xfId="2" applyNumberFormat="1" applyFont="1" applyFill="1"/>
    <xf numFmtId="0" fontId="4" fillId="0" borderId="0" xfId="5" applyFill="1" applyProtection="1"/>
    <xf numFmtId="166" fontId="4" fillId="0" borderId="0" xfId="2" applyNumberFormat="1" applyFont="1" applyFill="1" applyProtection="1"/>
    <xf numFmtId="0" fontId="13" fillId="0" borderId="0" xfId="5" applyFont="1" applyFill="1" applyProtection="1"/>
    <xf numFmtId="0" fontId="14" fillId="0" borderId="0" xfId="5" applyFont="1" applyFill="1" applyProtection="1"/>
    <xf numFmtId="0" fontId="9" fillId="0" borderId="0" xfId="5" applyFont="1" applyFill="1" applyProtection="1"/>
    <xf numFmtId="166" fontId="8" fillId="0" borderId="0" xfId="2" applyNumberFormat="1" applyFont="1" applyFill="1" applyProtection="1"/>
    <xf numFmtId="0" fontId="9" fillId="0" borderId="0" xfId="2" applyNumberFormat="1" applyFont="1" applyFill="1" applyAlignment="1" applyProtection="1">
      <alignment horizontal="center"/>
    </xf>
    <xf numFmtId="0" fontId="8" fillId="0" borderId="0" xfId="5" applyFont="1" applyFill="1" applyProtection="1"/>
    <xf numFmtId="166" fontId="8" fillId="0" borderId="5" xfId="2" applyNumberFormat="1" applyFont="1" applyFill="1" applyBorder="1" applyProtection="1"/>
    <xf numFmtId="0" fontId="9" fillId="4" borderId="0" xfId="2" applyNumberFormat="1" applyFont="1" applyFill="1" applyAlignment="1" applyProtection="1">
      <alignment horizontal="center"/>
    </xf>
    <xf numFmtId="9" fontId="9" fillId="4" borderId="0" xfId="3" applyFont="1" applyFill="1" applyAlignment="1" applyProtection="1">
      <alignment horizontal="center"/>
    </xf>
    <xf numFmtId="166" fontId="8" fillId="0" borderId="6" xfId="2" applyNumberFormat="1" applyFont="1" applyFill="1" applyBorder="1" applyProtection="1"/>
    <xf numFmtId="166" fontId="8" fillId="0" borderId="0" xfId="2" applyNumberFormat="1" applyFont="1" applyFill="1"/>
    <xf numFmtId="0" fontId="4" fillId="0" borderId="0" xfId="4" applyFill="1" applyProtection="1"/>
    <xf numFmtId="0" fontId="13" fillId="0" borderId="0" xfId="4" applyFont="1" applyFill="1" applyProtection="1"/>
    <xf numFmtId="0" fontId="4" fillId="0" borderId="0" xfId="4" applyFill="1"/>
    <xf numFmtId="0" fontId="8" fillId="0" borderId="0" xfId="4" applyFont="1" applyFill="1" applyProtection="1"/>
    <xf numFmtId="0" fontId="8" fillId="0" borderId="0" xfId="4" applyFont="1" applyFill="1" applyAlignment="1" applyProtection="1">
      <alignment horizontal="center"/>
    </xf>
    <xf numFmtId="0" fontId="9" fillId="0" borderId="4" xfId="4" applyFont="1" applyFill="1" applyBorder="1" applyAlignment="1" applyProtection="1">
      <alignment horizontal="center"/>
    </xf>
    <xf numFmtId="0" fontId="9" fillId="0" borderId="0" xfId="4" applyFont="1" applyFill="1" applyProtection="1"/>
    <xf numFmtId="166" fontId="15" fillId="0" borderId="0" xfId="2" applyNumberFormat="1" applyFont="1" applyFill="1" applyProtection="1"/>
    <xf numFmtId="10" fontId="15" fillId="0" borderId="0" xfId="4" applyNumberFormat="1" applyFont="1" applyFill="1" applyAlignment="1" applyProtection="1">
      <alignment horizontal="center"/>
    </xf>
    <xf numFmtId="10" fontId="8" fillId="0" borderId="0" xfId="4" applyNumberFormat="1" applyFont="1" applyFill="1" applyAlignment="1" applyProtection="1">
      <alignment horizontal="right"/>
    </xf>
    <xf numFmtId="0" fontId="8" fillId="0" borderId="0" xfId="4" applyFont="1" applyFill="1"/>
    <xf numFmtId="166" fontId="8" fillId="0" borderId="0" xfId="4" applyNumberFormat="1" applyFont="1" applyFill="1"/>
    <xf numFmtId="0" fontId="9" fillId="0" borderId="0" xfId="4" applyFont="1" applyFill="1" applyAlignment="1" applyProtection="1">
      <alignment horizontal="left"/>
    </xf>
    <xf numFmtId="10" fontId="8" fillId="0" borderId="0" xfId="4" applyNumberFormat="1" applyFont="1" applyFill="1" applyAlignment="1" applyProtection="1">
      <alignment horizontal="center"/>
    </xf>
    <xf numFmtId="0" fontId="8" fillId="0" borderId="0" xfId="4" applyFont="1" applyFill="1" applyAlignment="1" applyProtection="1">
      <alignment horizontal="center" wrapText="1"/>
    </xf>
    <xf numFmtId="164" fontId="8" fillId="0" borderId="0" xfId="2" applyFont="1" applyFill="1" applyProtection="1"/>
    <xf numFmtId="166" fontId="17" fillId="0" borderId="5" xfId="2" applyNumberFormat="1" applyFont="1" applyFill="1" applyBorder="1" applyProtection="1"/>
    <xf numFmtId="166" fontId="9" fillId="0" borderId="5" xfId="2" applyNumberFormat="1" applyFont="1" applyFill="1" applyBorder="1" applyProtection="1"/>
    <xf numFmtId="166" fontId="8" fillId="0" borderId="0" xfId="0" applyNumberFormat="1" applyFont="1" applyFill="1"/>
    <xf numFmtId="0" fontId="3" fillId="0" borderId="0" xfId="0" applyFont="1" applyAlignment="1">
      <alignment horizontal="center"/>
    </xf>
    <xf numFmtId="37" fontId="8" fillId="0" borderId="0" xfId="0" applyNumberFormat="1" applyFont="1"/>
    <xf numFmtId="165" fontId="8" fillId="0" borderId="0" xfId="1" applyFont="1" applyFill="1"/>
    <xf numFmtId="0" fontId="3" fillId="0" borderId="0" xfId="0" applyFont="1" applyAlignment="1">
      <alignment horizontal="center"/>
    </xf>
    <xf numFmtId="0" fontId="4" fillId="0" borderId="0" xfId="7" applyProtection="1">
      <protection locked="0"/>
    </xf>
    <xf numFmtId="0" fontId="5" fillId="0" borderId="0" xfId="0" applyFont="1" applyProtection="1">
      <protection locked="0"/>
    </xf>
    <xf numFmtId="0" fontId="19" fillId="0" borderId="0" xfId="11" applyProtection="1">
      <protection locked="0"/>
    </xf>
    <xf numFmtId="0" fontId="20" fillId="0" borderId="0" xfId="11" applyFont="1" applyProtection="1">
      <protection locked="0"/>
    </xf>
    <xf numFmtId="0" fontId="21" fillId="0" borderId="0" xfId="7" applyFont="1" applyProtection="1">
      <protection locked="0"/>
    </xf>
    <xf numFmtId="0" fontId="1" fillId="0" borderId="0" xfId="12" applyProtection="1">
      <protection locked="0"/>
    </xf>
    <xf numFmtId="0" fontId="22" fillId="0" borderId="0" xfId="12" applyFont="1" applyProtection="1">
      <protection locked="0"/>
    </xf>
    <xf numFmtId="0" fontId="3" fillId="0" borderId="0" xfId="12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0" xfId="4" applyFont="1" applyAlignment="1" applyProtection="1">
      <alignment horizontal="center"/>
      <protection locked="0"/>
    </xf>
    <xf numFmtId="9" fontId="5" fillId="0" borderId="0" xfId="4" applyNumberFormat="1" applyFont="1" applyAlignment="1" applyProtection="1">
      <alignment horizontal="center"/>
      <protection locked="0"/>
    </xf>
    <xf numFmtId="9" fontId="4" fillId="0" borderId="0" xfId="0" applyNumberFormat="1" applyFont="1" applyAlignment="1" applyProtection="1">
      <alignment horizontal="center"/>
      <protection locked="0"/>
    </xf>
    <xf numFmtId="166" fontId="4" fillId="5" borderId="0" xfId="2" applyNumberFormat="1" applyFont="1" applyFill="1" applyProtection="1">
      <protection locked="0"/>
    </xf>
    <xf numFmtId="166" fontId="4" fillId="0" borderId="0" xfId="2" applyNumberFormat="1" applyFont="1" applyProtection="1">
      <protection locked="0"/>
    </xf>
    <xf numFmtId="166" fontId="4" fillId="0" borderId="0" xfId="2" applyNumberFormat="1" applyFont="1" applyAlignment="1" applyProtection="1">
      <alignment horizontal="center"/>
      <protection locked="0"/>
    </xf>
    <xf numFmtId="42" fontId="4" fillId="0" borderId="0" xfId="0" applyNumberFormat="1" applyFont="1" applyAlignment="1" applyProtection="1">
      <alignment horizontal="center"/>
      <protection locked="0"/>
    </xf>
    <xf numFmtId="170" fontId="4" fillId="0" borderId="0" xfId="10" applyNumberFormat="1" applyAlignment="1" applyProtection="1">
      <alignment horizontal="center"/>
      <protection locked="0"/>
    </xf>
    <xf numFmtId="166" fontId="4" fillId="0" borderId="0" xfId="0" applyNumberFormat="1" applyFont="1" applyProtection="1">
      <protection locked="0"/>
    </xf>
    <xf numFmtId="9" fontId="4" fillId="3" borderId="0" xfId="10" applyNumberFormat="1" applyFill="1" applyAlignment="1" applyProtection="1">
      <alignment horizontal="center"/>
      <protection locked="0"/>
    </xf>
    <xf numFmtId="167" fontId="4" fillId="0" borderId="0" xfId="0" applyNumberFormat="1" applyFont="1" applyAlignment="1" applyProtection="1">
      <alignment horizontal="center"/>
      <protection locked="0"/>
    </xf>
    <xf numFmtId="166" fontId="4" fillId="0" borderId="4" xfId="0" applyNumberFormat="1" applyFont="1" applyBorder="1" applyProtection="1">
      <protection locked="0"/>
    </xf>
    <xf numFmtId="166" fontId="4" fillId="0" borderId="4" xfId="2" applyNumberFormat="1" applyFont="1" applyBorder="1" applyAlignment="1" applyProtection="1">
      <alignment horizontal="center"/>
      <protection locked="0"/>
    </xf>
    <xf numFmtId="0" fontId="5" fillId="6" borderId="4" xfId="0" applyFont="1" applyFill="1" applyBorder="1" applyAlignment="1" applyProtection="1">
      <alignment horizontal="center"/>
      <protection locked="0"/>
    </xf>
    <xf numFmtId="9" fontId="4" fillId="0" borderId="0" xfId="9" applyAlignment="1" applyProtection="1">
      <alignment horizontal="center"/>
      <protection locked="0"/>
    </xf>
    <xf numFmtId="164" fontId="4" fillId="0" borderId="0" xfId="2" applyFont="1" applyProtection="1">
      <protection locked="0"/>
    </xf>
    <xf numFmtId="10" fontId="4" fillId="3" borderId="0" xfId="10" applyNumberFormat="1" applyFill="1" applyAlignment="1" applyProtection="1">
      <alignment horizontal="center"/>
      <protection locked="0"/>
    </xf>
    <xf numFmtId="10" fontId="4" fillId="0" borderId="0" xfId="9" applyNumberForma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166" fontId="4" fillId="0" borderId="5" xfId="0" applyNumberFormat="1" applyFont="1" applyBorder="1" applyProtection="1">
      <protection locked="0"/>
    </xf>
    <xf numFmtId="166" fontId="4" fillId="5" borderId="0" xfId="0" applyNumberFormat="1" applyFont="1" applyFill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166" fontId="4" fillId="0" borderId="6" xfId="0" applyNumberFormat="1" applyFont="1" applyBorder="1" applyProtection="1">
      <protection locked="0"/>
    </xf>
    <xf numFmtId="0" fontId="4" fillId="5" borderId="0" xfId="0" applyFont="1" applyFill="1" applyProtection="1">
      <protection locked="0"/>
    </xf>
    <xf numFmtId="0" fontId="5" fillId="5" borderId="0" xfId="0" applyFont="1" applyFill="1" applyAlignment="1" applyProtection="1">
      <alignment horizontal="center"/>
      <protection locked="0"/>
    </xf>
    <xf numFmtId="168" fontId="4" fillId="5" borderId="0" xfId="10" applyNumberForma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9" fontId="4" fillId="0" borderId="0" xfId="0" applyNumberFormat="1" applyFont="1" applyProtection="1">
      <protection locked="0"/>
    </xf>
    <xf numFmtId="44" fontId="4" fillId="0" borderId="5" xfId="0" applyNumberFormat="1" applyFont="1" applyBorder="1" applyProtection="1">
      <protection locked="0"/>
    </xf>
    <xf numFmtId="44" fontId="4" fillId="0" borderId="0" xfId="0" applyNumberFormat="1" applyFont="1" applyProtection="1">
      <protection locked="0"/>
    </xf>
    <xf numFmtId="0" fontId="26" fillId="0" borderId="0" xfId="0" applyFont="1" applyProtection="1">
      <protection locked="0"/>
    </xf>
    <xf numFmtId="0" fontId="24" fillId="0" borderId="0" xfId="0" applyFont="1" applyAlignment="1" applyProtection="1">
      <alignment horizontal="left"/>
      <protection locked="0"/>
    </xf>
    <xf numFmtId="0" fontId="7" fillId="0" borderId="0" xfId="4" applyFont="1" applyProtection="1">
      <protection locked="0"/>
    </xf>
    <xf numFmtId="0" fontId="4" fillId="0" borderId="0" xfId="4" applyProtection="1">
      <protection locked="0"/>
    </xf>
    <xf numFmtId="0" fontId="27" fillId="0" borderId="0" xfId="4" applyFont="1" applyProtection="1">
      <protection locked="0"/>
    </xf>
    <xf numFmtId="0" fontId="5" fillId="0" borderId="0" xfId="4" applyFont="1" applyProtection="1">
      <protection locked="0"/>
    </xf>
    <xf numFmtId="166" fontId="4" fillId="0" borderId="0" xfId="4" applyNumberFormat="1" applyAlignment="1" applyProtection="1">
      <alignment horizontal="center"/>
      <protection locked="0"/>
    </xf>
    <xf numFmtId="166" fontId="4" fillId="0" borderId="5" xfId="2" applyNumberFormat="1" applyFont="1" applyBorder="1" applyProtection="1">
      <protection locked="0"/>
    </xf>
    <xf numFmtId="10" fontId="4" fillId="3" borderId="0" xfId="9" applyNumberFormat="1" applyFill="1" applyAlignment="1" applyProtection="1">
      <alignment horizontal="center"/>
      <protection locked="0"/>
    </xf>
    <xf numFmtId="10" fontId="28" fillId="0" borderId="0" xfId="4" applyNumberFormat="1" applyFont="1" applyAlignment="1" applyProtection="1">
      <alignment horizontal="center"/>
      <protection locked="0"/>
    </xf>
    <xf numFmtId="44" fontId="4" fillId="0" borderId="5" xfId="2" applyNumberFormat="1" applyFont="1" applyBorder="1" applyProtection="1">
      <protection locked="0"/>
    </xf>
    <xf numFmtId="0" fontId="5" fillId="0" borderId="0" xfId="4" applyFont="1" applyAlignment="1" applyProtection="1">
      <alignment horizontal="left"/>
      <protection locked="0"/>
    </xf>
    <xf numFmtId="171" fontId="24" fillId="0" borderId="0" xfId="0" applyNumberFormat="1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5" applyProtection="1">
      <protection locked="0"/>
    </xf>
    <xf numFmtId="0" fontId="5" fillId="0" borderId="1" xfId="2" applyNumberFormat="1" applyFont="1" applyBorder="1" applyAlignment="1" applyProtection="1">
      <alignment horizontal="center"/>
      <protection locked="0"/>
    </xf>
    <xf numFmtId="0" fontId="5" fillId="0" borderId="8" xfId="2" applyNumberFormat="1" applyFont="1" applyBorder="1" applyAlignment="1" applyProtection="1">
      <alignment horizontal="center"/>
      <protection locked="0"/>
    </xf>
    <xf numFmtId="0" fontId="27" fillId="0" borderId="0" xfId="5" applyFont="1" applyProtection="1">
      <protection locked="0"/>
    </xf>
    <xf numFmtId="0" fontId="5" fillId="0" borderId="0" xfId="5" applyFont="1" applyProtection="1">
      <protection locked="0"/>
    </xf>
    <xf numFmtId="9" fontId="4" fillId="5" borderId="0" xfId="9" applyFill="1" applyAlignment="1" applyProtection="1">
      <alignment horizontal="right"/>
      <protection locked="0"/>
    </xf>
    <xf numFmtId="0" fontId="4" fillId="3" borderId="0" xfId="9" applyNumberFormat="1" applyFill="1" applyAlignment="1" applyProtection="1">
      <alignment horizontal="center"/>
      <protection locked="0"/>
    </xf>
    <xf numFmtId="6" fontId="4" fillId="0" borderId="0" xfId="0" applyNumberFormat="1" applyFont="1" applyProtection="1">
      <protection locked="0"/>
    </xf>
    <xf numFmtId="44" fontId="4" fillId="0" borderId="0" xfId="2" applyNumberFormat="1" applyFont="1" applyProtection="1">
      <protection locked="0"/>
    </xf>
    <xf numFmtId="166" fontId="4" fillId="0" borderId="6" xfId="2" applyNumberFormat="1" applyFont="1" applyBorder="1" applyProtection="1">
      <protection locked="0"/>
    </xf>
    <xf numFmtId="0" fontId="4" fillId="3" borderId="0" xfId="2" applyNumberFormat="1" applyFont="1" applyFill="1" applyAlignment="1" applyProtection="1">
      <alignment horizontal="center"/>
      <protection locked="0"/>
    </xf>
    <xf numFmtId="9" fontId="4" fillId="3" borderId="0" xfId="9" applyFill="1" applyAlignment="1" applyProtection="1">
      <alignment horizontal="center"/>
      <protection locked="0"/>
    </xf>
    <xf numFmtId="0" fontId="3" fillId="0" borderId="0" xfId="12" applyFont="1" applyFill="1" applyProtection="1">
      <protection locked="0"/>
    </xf>
    <xf numFmtId="0" fontId="1" fillId="0" borderId="0" xfId="12" applyFill="1" applyProtection="1">
      <protection locked="0"/>
    </xf>
    <xf numFmtId="166" fontId="1" fillId="0" borderId="0" xfId="12" applyNumberFormat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0" xfId="4" applyFont="1" applyFill="1" applyAlignment="1" applyProtection="1">
      <alignment horizontal="center"/>
      <protection locked="0"/>
    </xf>
    <xf numFmtId="9" fontId="5" fillId="0" borderId="0" xfId="4" applyNumberFormat="1" applyFont="1" applyFill="1" applyAlignment="1" applyProtection="1">
      <alignment horizontal="center"/>
      <protection locked="0"/>
    </xf>
    <xf numFmtId="166" fontId="4" fillId="0" borderId="0" xfId="2" applyNumberFormat="1" applyFont="1" applyFill="1" applyProtection="1">
      <protection locked="0"/>
    </xf>
    <xf numFmtId="166" fontId="4" fillId="0" borderId="0" xfId="2" applyNumberFormat="1" applyFont="1" applyFill="1" applyAlignment="1" applyProtection="1">
      <alignment horizontal="center"/>
      <protection locked="0"/>
    </xf>
    <xf numFmtId="170" fontId="4" fillId="0" borderId="0" xfId="10" applyNumberFormat="1" applyFill="1" applyAlignment="1" applyProtection="1">
      <alignment horizontal="center"/>
      <protection locked="0"/>
    </xf>
    <xf numFmtId="166" fontId="4" fillId="0" borderId="0" xfId="0" applyNumberFormat="1" applyFont="1" applyFill="1" applyProtection="1">
      <protection locked="0"/>
    </xf>
    <xf numFmtId="42" fontId="4" fillId="0" borderId="0" xfId="0" applyNumberFormat="1" applyFont="1" applyFill="1" applyAlignment="1" applyProtection="1">
      <alignment horizontal="center"/>
      <protection locked="0"/>
    </xf>
    <xf numFmtId="166" fontId="4" fillId="0" borderId="0" xfId="0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21" fillId="0" borderId="0" xfId="7" applyFont="1" applyAlignment="1" applyProtection="1">
      <alignment horizontal="center"/>
      <protection locked="0"/>
    </xf>
    <xf numFmtId="0" fontId="21" fillId="0" borderId="0" xfId="7" applyFont="1" applyAlignment="1" applyProtection="1">
      <alignment horizontal="center" vertical="center" wrapText="1"/>
      <protection locked="0"/>
    </xf>
    <xf numFmtId="9" fontId="18" fillId="0" borderId="0" xfId="10" applyNumberFormat="1" applyFont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24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166" fontId="5" fillId="0" borderId="5" xfId="2" applyNumberFormat="1" applyFont="1" applyBorder="1" applyProtection="1">
      <protection locked="0"/>
    </xf>
    <xf numFmtId="164" fontId="5" fillId="0" borderId="0" xfId="2" applyFont="1" applyProtection="1">
      <protection locked="0"/>
    </xf>
    <xf numFmtId="0" fontId="8" fillId="0" borderId="0" xfId="12" applyFont="1" applyProtection="1">
      <protection locked="0"/>
    </xf>
  </cellXfs>
  <cellStyles count="13">
    <cellStyle name="Comma" xfId="1" builtinId="3"/>
    <cellStyle name="Comma 10" xfId="10" xr:uid="{FE136FBA-B6CD-4A3E-81E7-F02ED072A111}"/>
    <cellStyle name="Comma 2" xfId="8" xr:uid="{9C0263B8-480D-459C-899C-38B4C106A635}"/>
    <cellStyle name="Currency" xfId="2" builtinId="4"/>
    <cellStyle name="Normal" xfId="0" builtinId="0"/>
    <cellStyle name="Normal 2" xfId="6" xr:uid="{B8AD6B43-3023-4F4B-B962-56CE0F690AA4}"/>
    <cellStyle name="Normal 2 2" xfId="7" xr:uid="{F9A3EAA9-2595-45F0-9B47-DC69C07DC640}"/>
    <cellStyle name="Normal 4" xfId="12" xr:uid="{4C0C0767-4C15-405A-8454-FCEA0CB0381D}"/>
    <cellStyle name="Normal_PPE Deferral Account Schedule for 2013 MIFRS CoS applications (2)" xfId="11" xr:uid="{6A7344B9-3F3C-4BA1-AC89-EB1B315CF5E6}"/>
    <cellStyle name="Normal_Sheet2" xfId="4" xr:uid="{00000000-0005-0000-0000-000003000000}"/>
    <cellStyle name="Normal_Sheet3" xfId="5" xr:uid="{00000000-0005-0000-0000-000004000000}"/>
    <cellStyle name="Percent" xfId="3" builtinId="5"/>
    <cellStyle name="Percent 2" xfId="9" xr:uid="{D1886A0C-A087-4160-AFFF-A7DC91F66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common\Finance\Rates\_Alectra\Rate%20Applications\EDR%20Rate%20Applications\2021%20EDR%20Application\4.%20Enersource%20Rate%20Zone\GEA%20Reconciliation\Renewable%20Generation%20RR%20Calculation_OEB%20Model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3">
          <cell r="C63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CD22E-87D6-42E1-A6FF-44EAECF1E5AB}">
  <sheetPr>
    <pageSetUpPr fitToPage="1"/>
  </sheetPr>
  <dimension ref="A1:AN88"/>
  <sheetViews>
    <sheetView tabSelected="1" workbookViewId="0">
      <selection activeCell="F22" sqref="F22"/>
    </sheetView>
  </sheetViews>
  <sheetFormatPr defaultColWidth="8.85546875" defaultRowHeight="15" x14ac:dyDescent="0.25"/>
  <cols>
    <col min="1" max="1" width="34.7109375" style="84" customWidth="1"/>
    <col min="2" max="2" width="18" style="84" customWidth="1"/>
    <col min="3" max="13" width="14.7109375" style="84" customWidth="1"/>
    <col min="14" max="14" width="12.7109375" style="84" customWidth="1"/>
    <col min="15" max="23" width="14.7109375" style="84" customWidth="1"/>
    <col min="24" max="24" width="9.7109375" style="84" bestFit="1" customWidth="1"/>
    <col min="25" max="25" width="13.42578125" style="84" bestFit="1" customWidth="1"/>
    <col min="26" max="26" width="11.28515625" style="84" bestFit="1" customWidth="1"/>
    <col min="27" max="27" width="9.7109375" style="84" bestFit="1" customWidth="1"/>
    <col min="28" max="28" width="13.42578125" style="84" bestFit="1" customWidth="1"/>
    <col min="29" max="29" width="11.28515625" style="84" bestFit="1" customWidth="1"/>
    <col min="30" max="30" width="9.7109375" style="84" bestFit="1" customWidth="1"/>
    <col min="31" max="31" width="13.42578125" style="84" bestFit="1" customWidth="1"/>
    <col min="32" max="33" width="11.28515625" style="84" bestFit="1" customWidth="1"/>
    <col min="34" max="34" width="13.42578125" style="84" bestFit="1" customWidth="1"/>
    <col min="35" max="35" width="11.28515625" style="84" bestFit="1" customWidth="1"/>
    <col min="36" max="36" width="15.140625" style="84" customWidth="1"/>
    <col min="37" max="37" width="13.42578125" style="84" bestFit="1" customWidth="1"/>
    <col min="38" max="38" width="11.28515625" style="84" bestFit="1" customWidth="1"/>
    <col min="39" max="16384" width="8.85546875" style="84"/>
  </cols>
  <sheetData>
    <row r="1" spans="1:40" s="81" customFormat="1" x14ac:dyDescent="0.2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82"/>
      <c r="V1" s="82"/>
      <c r="W1" s="82"/>
    </row>
    <row r="2" spans="1:40" s="81" customFormat="1" ht="18" x14ac:dyDescent="0.25">
      <c r="A2" s="164" t="s">
        <v>87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83"/>
      <c r="T2" s="83"/>
      <c r="U2" s="83"/>
      <c r="V2" s="82"/>
      <c r="W2" s="82"/>
    </row>
    <row r="3" spans="1:40" s="81" customFormat="1" ht="39.75" customHeight="1" x14ac:dyDescent="0.25">
      <c r="A3" s="165" t="s">
        <v>88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83"/>
      <c r="T3" s="83"/>
      <c r="U3" s="83"/>
      <c r="V3" s="82"/>
      <c r="W3" s="82"/>
    </row>
    <row r="4" spans="1:40" s="81" customFormat="1" ht="18" x14ac:dyDescent="0.2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2"/>
      <c r="W4" s="82"/>
    </row>
    <row r="5" spans="1:40" x14ac:dyDescent="0.25">
      <c r="A5" s="166" t="s">
        <v>89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40" x14ac:dyDescent="0.25">
      <c r="A6" s="166" t="s">
        <v>90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</row>
    <row r="7" spans="1:40" x14ac:dyDescent="0.25">
      <c r="A7" s="85" t="s">
        <v>91</v>
      </c>
    </row>
    <row r="8" spans="1:40" x14ac:dyDescent="0.25">
      <c r="A8" s="166" t="s">
        <v>92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AJ8" s="147"/>
      <c r="AK8" s="147"/>
      <c r="AL8" s="147"/>
      <c r="AM8" s="147"/>
      <c r="AN8" s="147"/>
    </row>
    <row r="9" spans="1:40" ht="15.75" thickBot="1" x14ac:dyDescent="0.3">
      <c r="AG9" s="86"/>
      <c r="AH9" s="86"/>
      <c r="AI9" s="86"/>
      <c r="AJ9" s="146"/>
      <c r="AK9" s="146"/>
      <c r="AL9" s="146"/>
      <c r="AM9" s="147"/>
      <c r="AN9" s="147"/>
    </row>
    <row r="10" spans="1:40" ht="15.75" thickBot="1" x14ac:dyDescent="0.3">
      <c r="A10" s="80"/>
      <c r="B10" s="80"/>
      <c r="C10" s="167">
        <v>2010</v>
      </c>
      <c r="D10" s="168"/>
      <c r="E10" s="169"/>
      <c r="F10" s="167">
        <v>2011</v>
      </c>
      <c r="G10" s="168"/>
      <c r="H10" s="169"/>
      <c r="I10" s="167">
        <v>2012</v>
      </c>
      <c r="J10" s="168"/>
      <c r="K10" s="169"/>
      <c r="L10" s="167">
        <v>2013</v>
      </c>
      <c r="M10" s="168"/>
      <c r="N10" s="169"/>
      <c r="O10" s="167">
        <v>2014</v>
      </c>
      <c r="P10" s="168"/>
      <c r="Q10" s="169"/>
      <c r="R10" s="161">
        <v>2015</v>
      </c>
      <c r="S10" s="162"/>
      <c r="T10" s="163"/>
      <c r="U10" s="161">
        <v>2016</v>
      </c>
      <c r="V10" s="162">
        <v>2016</v>
      </c>
      <c r="W10" s="163"/>
      <c r="X10" s="161">
        <v>2017</v>
      </c>
      <c r="Y10" s="162">
        <v>2016</v>
      </c>
      <c r="Z10" s="163"/>
      <c r="AA10" s="161">
        <v>2018</v>
      </c>
      <c r="AB10" s="162">
        <v>2016</v>
      </c>
      <c r="AC10" s="163"/>
      <c r="AD10" s="161">
        <v>2019</v>
      </c>
      <c r="AE10" s="162">
        <v>2016</v>
      </c>
      <c r="AF10" s="163"/>
      <c r="AG10" s="161">
        <v>2020</v>
      </c>
      <c r="AH10" s="162">
        <v>2016</v>
      </c>
      <c r="AI10" s="163"/>
      <c r="AJ10" s="161">
        <v>2021</v>
      </c>
      <c r="AK10" s="162">
        <v>2016</v>
      </c>
      <c r="AL10" s="163"/>
    </row>
    <row r="11" spans="1:40" x14ac:dyDescent="0.25">
      <c r="A11" s="87"/>
      <c r="B11" s="87"/>
      <c r="C11" s="87"/>
      <c r="D11" s="80" t="s">
        <v>93</v>
      </c>
      <c r="E11" s="88" t="s">
        <v>94</v>
      </c>
      <c r="F11" s="87"/>
      <c r="G11" s="80" t="s">
        <v>93</v>
      </c>
      <c r="H11" s="88" t="s">
        <v>94</v>
      </c>
      <c r="I11" s="87"/>
      <c r="J11" s="80" t="s">
        <v>93</v>
      </c>
      <c r="K11" s="88" t="s">
        <v>94</v>
      </c>
      <c r="L11" s="87"/>
      <c r="M11" s="80" t="s">
        <v>93</v>
      </c>
      <c r="N11" s="88" t="s">
        <v>94</v>
      </c>
      <c r="O11" s="87"/>
      <c r="P11" s="80" t="s">
        <v>93</v>
      </c>
      <c r="Q11" s="88" t="s">
        <v>94</v>
      </c>
      <c r="R11" s="149"/>
      <c r="S11" s="150" t="s">
        <v>93</v>
      </c>
      <c r="T11" s="151" t="s">
        <v>94</v>
      </c>
      <c r="U11" s="149"/>
      <c r="V11" s="150" t="s">
        <v>93</v>
      </c>
      <c r="W11" s="151" t="s">
        <v>94</v>
      </c>
      <c r="X11" s="149"/>
      <c r="Y11" s="150" t="s">
        <v>93</v>
      </c>
      <c r="Z11" s="151" t="s">
        <v>94</v>
      </c>
      <c r="AA11" s="149"/>
      <c r="AB11" s="150" t="s">
        <v>93</v>
      </c>
      <c r="AC11" s="151" t="s">
        <v>94</v>
      </c>
      <c r="AD11" s="149"/>
      <c r="AE11" s="150" t="s">
        <v>93</v>
      </c>
      <c r="AF11" s="151" t="s">
        <v>94</v>
      </c>
      <c r="AG11" s="149"/>
      <c r="AH11" s="150" t="s">
        <v>93</v>
      </c>
      <c r="AI11" s="151" t="s">
        <v>94</v>
      </c>
      <c r="AJ11" s="149"/>
      <c r="AK11" s="150" t="s">
        <v>93</v>
      </c>
      <c r="AL11" s="151" t="s">
        <v>94</v>
      </c>
    </row>
    <row r="12" spans="1:40" x14ac:dyDescent="0.25">
      <c r="A12" s="89"/>
      <c r="B12" s="90"/>
      <c r="C12" s="90" t="s">
        <v>41</v>
      </c>
      <c r="D12" s="91">
        <v>0.06</v>
      </c>
      <c r="E12" s="91">
        <v>0.94</v>
      </c>
      <c r="F12" s="90" t="s">
        <v>41</v>
      </c>
      <c r="G12" s="91">
        <v>0.06</v>
      </c>
      <c r="H12" s="91">
        <v>0.94</v>
      </c>
      <c r="I12" s="90" t="s">
        <v>41</v>
      </c>
      <c r="J12" s="91">
        <v>0.06</v>
      </c>
      <c r="K12" s="91">
        <v>0.94</v>
      </c>
      <c r="L12" s="90" t="s">
        <v>41</v>
      </c>
      <c r="M12" s="91">
        <v>0.06</v>
      </c>
      <c r="N12" s="91">
        <v>0.94</v>
      </c>
      <c r="O12" s="90" t="s">
        <v>41</v>
      </c>
      <c r="P12" s="91">
        <v>0.06</v>
      </c>
      <c r="Q12" s="91">
        <v>0.94</v>
      </c>
      <c r="R12" s="152" t="s">
        <v>41</v>
      </c>
      <c r="S12" s="153">
        <v>0.06</v>
      </c>
      <c r="T12" s="153">
        <v>0.94</v>
      </c>
      <c r="U12" s="152" t="s">
        <v>41</v>
      </c>
      <c r="V12" s="153">
        <v>0.06</v>
      </c>
      <c r="W12" s="153">
        <v>0.94</v>
      </c>
      <c r="X12" s="152" t="s">
        <v>41</v>
      </c>
      <c r="Y12" s="153">
        <v>0.06</v>
      </c>
      <c r="Z12" s="153">
        <v>0.94</v>
      </c>
      <c r="AA12" s="152" t="s">
        <v>41</v>
      </c>
      <c r="AB12" s="153">
        <v>0.06</v>
      </c>
      <c r="AC12" s="153">
        <v>0.94</v>
      </c>
      <c r="AD12" s="152" t="s">
        <v>41</v>
      </c>
      <c r="AE12" s="153">
        <v>0.06</v>
      </c>
      <c r="AF12" s="153">
        <v>0.94</v>
      </c>
      <c r="AG12" s="152" t="s">
        <v>41</v>
      </c>
      <c r="AH12" s="153">
        <v>0.06</v>
      </c>
      <c r="AI12" s="153">
        <v>0.94</v>
      </c>
      <c r="AJ12" s="152" t="s">
        <v>41</v>
      </c>
      <c r="AK12" s="153">
        <v>0.06</v>
      </c>
      <c r="AL12" s="153">
        <v>0.94</v>
      </c>
    </row>
    <row r="13" spans="1:40" x14ac:dyDescent="0.25">
      <c r="A13" s="80" t="s">
        <v>95</v>
      </c>
      <c r="B13" s="92"/>
      <c r="C13" s="93">
        <v>11110</v>
      </c>
      <c r="D13" s="94">
        <f>C13*D12</f>
        <v>666.6</v>
      </c>
      <c r="E13" s="95">
        <f>C13*E12</f>
        <v>10443.4</v>
      </c>
      <c r="F13" s="93">
        <v>64140</v>
      </c>
      <c r="G13" s="94">
        <f>F13*G12</f>
        <v>3848.3999999999996</v>
      </c>
      <c r="H13" s="95">
        <f>F13*H12</f>
        <v>60291.6</v>
      </c>
      <c r="I13" s="93">
        <v>183723</v>
      </c>
      <c r="J13" s="94">
        <f>I13*J12</f>
        <v>11023.38</v>
      </c>
      <c r="K13" s="95">
        <f>I13*K12</f>
        <v>172699.62</v>
      </c>
      <c r="L13" s="93">
        <v>332417</v>
      </c>
      <c r="M13" s="94">
        <f>L13*M12</f>
        <v>19945.02</v>
      </c>
      <c r="N13" s="95">
        <f>L13*N12</f>
        <v>312471.98</v>
      </c>
      <c r="O13" s="93">
        <v>456550</v>
      </c>
      <c r="P13" s="94">
        <f>O13*P12</f>
        <v>27393</v>
      </c>
      <c r="Q13" s="95">
        <f>O13*Q12</f>
        <v>429157</v>
      </c>
      <c r="R13" s="154">
        <v>575885.30500000028</v>
      </c>
      <c r="S13" s="154">
        <f>R13*S12</f>
        <v>34553.118300000016</v>
      </c>
      <c r="T13" s="155">
        <f>R13*T12</f>
        <v>541332.18670000019</v>
      </c>
      <c r="U13" s="154">
        <v>701277.33500000031</v>
      </c>
      <c r="V13" s="154">
        <f>U13*V12</f>
        <v>42076.640100000019</v>
      </c>
      <c r="W13" s="155">
        <f>U13*W12</f>
        <v>659200.69490000024</v>
      </c>
      <c r="X13" s="154">
        <v>819275.8450000002</v>
      </c>
      <c r="Y13" s="154">
        <f>X13*Y12</f>
        <v>49156.550700000007</v>
      </c>
      <c r="Z13" s="155">
        <f>X13*Z12</f>
        <v>770119.29430000018</v>
      </c>
      <c r="AA13" s="154">
        <v>948074.77500000014</v>
      </c>
      <c r="AB13" s="154">
        <f>AA13*AB12</f>
        <v>56884.486500000006</v>
      </c>
      <c r="AC13" s="155">
        <f>AA13*AC12</f>
        <v>891190.28850000002</v>
      </c>
      <c r="AD13" s="154">
        <v>975818.15500000026</v>
      </c>
      <c r="AE13" s="154">
        <f>AD13*AE12</f>
        <v>58549.089300000014</v>
      </c>
      <c r="AF13" s="155">
        <f>AD13*AF12</f>
        <v>917269.06570000015</v>
      </c>
      <c r="AG13" s="154">
        <v>888240.0700000003</v>
      </c>
      <c r="AH13" s="154">
        <f>AG13*AH12</f>
        <v>53294.404200000019</v>
      </c>
      <c r="AI13" s="155">
        <f>AG13*AI12</f>
        <v>834945.66580000019</v>
      </c>
      <c r="AJ13" s="154">
        <v>797520.35000000021</v>
      </c>
      <c r="AK13" s="154">
        <f>AJ13*AK12</f>
        <v>47851.221000000012</v>
      </c>
      <c r="AL13" s="155">
        <f>AJ13*AL12</f>
        <v>749669.12900000019</v>
      </c>
    </row>
    <row r="14" spans="1:40" x14ac:dyDescent="0.25">
      <c r="A14" s="87" t="s">
        <v>96</v>
      </c>
      <c r="B14" s="96"/>
      <c r="C14" s="97">
        <v>0</v>
      </c>
      <c r="D14" s="98">
        <f>C14</f>
        <v>0</v>
      </c>
      <c r="E14" s="96"/>
      <c r="F14" s="97">
        <v>0</v>
      </c>
      <c r="G14" s="98">
        <f>F14</f>
        <v>0</v>
      </c>
      <c r="H14" s="96"/>
      <c r="I14" s="97">
        <v>0</v>
      </c>
      <c r="J14" s="98">
        <f>I14</f>
        <v>0</v>
      </c>
      <c r="K14" s="96"/>
      <c r="L14" s="97">
        <v>23800</v>
      </c>
      <c r="M14" s="98">
        <f>L14</f>
        <v>23800</v>
      </c>
      <c r="N14" s="96"/>
      <c r="O14" s="97">
        <v>23439</v>
      </c>
      <c r="P14" s="98">
        <f>O14</f>
        <v>23439</v>
      </c>
      <c r="Q14" s="96"/>
      <c r="R14" s="156">
        <v>43614.930000000008</v>
      </c>
      <c r="S14" s="157">
        <f>R14</f>
        <v>43614.930000000008</v>
      </c>
      <c r="T14" s="158"/>
      <c r="U14" s="156">
        <v>58049.83</v>
      </c>
      <c r="V14" s="157">
        <f>U14</f>
        <v>58049.83</v>
      </c>
      <c r="W14" s="158"/>
      <c r="X14" s="156">
        <v>51195.53</v>
      </c>
      <c r="Y14" s="157">
        <f>X14</f>
        <v>51195.53</v>
      </c>
      <c r="Z14" s="158"/>
      <c r="AA14" s="156">
        <v>63046.889999999992</v>
      </c>
      <c r="AB14" s="157">
        <f>AA14</f>
        <v>63046.889999999992</v>
      </c>
      <c r="AC14" s="158"/>
      <c r="AD14" s="156">
        <v>-3.9999999999054126E-2</v>
      </c>
      <c r="AE14" s="157">
        <f>AD14</f>
        <v>-3.9999999999054126E-2</v>
      </c>
      <c r="AF14" s="158"/>
      <c r="AG14" s="154">
        <v>0</v>
      </c>
      <c r="AH14" s="157">
        <f>AG14</f>
        <v>0</v>
      </c>
      <c r="AI14" s="158"/>
      <c r="AJ14" s="156">
        <v>0</v>
      </c>
      <c r="AK14" s="157">
        <f>AJ14</f>
        <v>0</v>
      </c>
      <c r="AL14" s="158"/>
    </row>
    <row r="15" spans="1:40" x14ac:dyDescent="0.25">
      <c r="A15" s="87" t="s">
        <v>97</v>
      </c>
      <c r="B15" s="96"/>
      <c r="C15" s="97">
        <v>0</v>
      </c>
      <c r="D15" s="98">
        <f>C15*D12</f>
        <v>0</v>
      </c>
      <c r="E15" s="98">
        <f>C15*E12</f>
        <v>0</v>
      </c>
      <c r="F15" s="97">
        <v>0</v>
      </c>
      <c r="G15" s="98">
        <f>F15*G12</f>
        <v>0</v>
      </c>
      <c r="H15" s="98">
        <f>F15*H12</f>
        <v>0</v>
      </c>
      <c r="I15" s="97">
        <v>0</v>
      </c>
      <c r="J15" s="98">
        <f>I15*J12</f>
        <v>0</v>
      </c>
      <c r="K15" s="98">
        <f>I15*K12</f>
        <v>0</v>
      </c>
      <c r="L15" s="97">
        <v>0</v>
      </c>
      <c r="M15" s="98">
        <f>L15*M12</f>
        <v>0</v>
      </c>
      <c r="N15" s="98">
        <f>L15*N12</f>
        <v>0</v>
      </c>
      <c r="O15" s="97">
        <v>0</v>
      </c>
      <c r="P15" s="98">
        <f>O15*P12</f>
        <v>0</v>
      </c>
      <c r="Q15" s="98">
        <f>O15*Q12</f>
        <v>0</v>
      </c>
      <c r="R15" s="156">
        <v>0</v>
      </c>
      <c r="S15" s="157">
        <f>R15*S12</f>
        <v>0</v>
      </c>
      <c r="T15" s="157">
        <f>R15*T12</f>
        <v>0</v>
      </c>
      <c r="U15" s="156">
        <v>0</v>
      </c>
      <c r="V15" s="157">
        <f>U15*V12</f>
        <v>0</v>
      </c>
      <c r="W15" s="157">
        <f>U15*W12</f>
        <v>0</v>
      </c>
      <c r="X15" s="156">
        <v>0</v>
      </c>
      <c r="Y15" s="157">
        <f>X15*Y12</f>
        <v>0</v>
      </c>
      <c r="Z15" s="157">
        <f>X15*Z12</f>
        <v>0</v>
      </c>
      <c r="AA15" s="156">
        <v>0</v>
      </c>
      <c r="AB15" s="157">
        <f>AA15*AB12</f>
        <v>0</v>
      </c>
      <c r="AC15" s="157">
        <f>AA15*AC12</f>
        <v>0</v>
      </c>
      <c r="AD15" s="156">
        <v>0</v>
      </c>
      <c r="AE15" s="157">
        <f>AD15*AE12</f>
        <v>0</v>
      </c>
      <c r="AF15" s="157">
        <f>AD15*AF12</f>
        <v>0</v>
      </c>
      <c r="AG15" s="156">
        <v>0</v>
      </c>
      <c r="AH15" s="157">
        <f>AG15*AH12</f>
        <v>0</v>
      </c>
      <c r="AI15" s="157">
        <f>AG15*AI12</f>
        <v>0</v>
      </c>
      <c r="AJ15" s="156">
        <v>0</v>
      </c>
      <c r="AK15" s="157">
        <f>AJ15*AK12</f>
        <v>0</v>
      </c>
      <c r="AL15" s="157">
        <f>AJ15*AL12</f>
        <v>0</v>
      </c>
    </row>
    <row r="16" spans="1:40" x14ac:dyDescent="0.25">
      <c r="A16" s="87" t="s">
        <v>2</v>
      </c>
      <c r="B16" s="99">
        <v>0.13500000000000001</v>
      </c>
      <c r="C16" s="100"/>
      <c r="D16" s="101">
        <f>(D14+D15)*$B$16</f>
        <v>0</v>
      </c>
      <c r="E16" s="102">
        <f>E15*$B$16</f>
        <v>0</v>
      </c>
      <c r="F16" s="100"/>
      <c r="G16" s="101">
        <f>(G14+G15)*$B$16</f>
        <v>0</v>
      </c>
      <c r="H16" s="102">
        <f>H15*$B$16</f>
        <v>0</v>
      </c>
      <c r="I16" s="100"/>
      <c r="J16" s="101">
        <f>(J14+J15)*$B$16</f>
        <v>0</v>
      </c>
      <c r="K16" s="102">
        <f>K15*$B$16</f>
        <v>0</v>
      </c>
      <c r="L16" s="100"/>
      <c r="M16" s="101">
        <f>(M14+M15)*$B$16</f>
        <v>3213</v>
      </c>
      <c r="N16" s="102">
        <f>N15*$B$16</f>
        <v>0</v>
      </c>
      <c r="O16" s="100"/>
      <c r="P16" s="101">
        <f>(P14+P15)*$B$16</f>
        <v>3164.2650000000003</v>
      </c>
      <c r="Q16" s="102">
        <f>Q15*$B$16</f>
        <v>0</v>
      </c>
      <c r="R16" s="100"/>
      <c r="S16" s="101">
        <f>(S14+S15)*$B$16</f>
        <v>5888.015550000001</v>
      </c>
      <c r="T16" s="102">
        <f>T15*$B$16</f>
        <v>0</v>
      </c>
      <c r="U16" s="100"/>
      <c r="V16" s="101">
        <f>(V14+V15)*$B$16</f>
        <v>7836.7270500000004</v>
      </c>
      <c r="W16" s="102">
        <f>W15*$B$16</f>
        <v>0</v>
      </c>
      <c r="X16" s="100"/>
      <c r="Y16" s="101">
        <f>(Y14+Y15)*$B$16</f>
        <v>6911.3965500000004</v>
      </c>
      <c r="Z16" s="102">
        <f>Z15*$B$16</f>
        <v>0</v>
      </c>
      <c r="AA16" s="100"/>
      <c r="AB16" s="101">
        <f>(AB14+AB15)*$B$16</f>
        <v>8511.3301499999998</v>
      </c>
      <c r="AC16" s="102">
        <f>AC15*$B$16</f>
        <v>0</v>
      </c>
      <c r="AD16" s="100"/>
      <c r="AE16" s="101">
        <f>(AE14+AE15)*$B$16</f>
        <v>-5.3999999998723073E-3</v>
      </c>
      <c r="AF16" s="102">
        <f>AF15*$B$16</f>
        <v>0</v>
      </c>
      <c r="AG16" s="100"/>
      <c r="AH16" s="101">
        <f>(AH14+AH15)*$B$16</f>
        <v>0</v>
      </c>
      <c r="AI16" s="102">
        <f>AI15*$B$16</f>
        <v>0</v>
      </c>
      <c r="AJ16" s="100"/>
      <c r="AK16" s="101">
        <f>(AK14+AK15)*$B$16</f>
        <v>0</v>
      </c>
      <c r="AL16" s="102">
        <f>AL15*$B$16</f>
        <v>0</v>
      </c>
    </row>
    <row r="17" spans="1:38" x14ac:dyDescent="0.25">
      <c r="A17" s="80" t="s">
        <v>3</v>
      </c>
      <c r="B17" s="87"/>
      <c r="C17" s="87"/>
      <c r="D17" s="98">
        <f>SUM(D13+D16)</f>
        <v>666.6</v>
      </c>
      <c r="E17" s="98">
        <f>SUM(E13+E16)</f>
        <v>10443.4</v>
      </c>
      <c r="F17" s="87"/>
      <c r="G17" s="98">
        <f>SUM(G13+G16)</f>
        <v>3848.3999999999996</v>
      </c>
      <c r="H17" s="98">
        <f>SUM(H13+H16)</f>
        <v>60291.6</v>
      </c>
      <c r="I17" s="87"/>
      <c r="J17" s="98">
        <f>SUM(J13+J16)</f>
        <v>11023.38</v>
      </c>
      <c r="K17" s="98">
        <f>SUM(K13+K16)</f>
        <v>172699.62</v>
      </c>
      <c r="L17" s="87"/>
      <c r="M17" s="98">
        <f>SUM(M13+M16)</f>
        <v>23158.02</v>
      </c>
      <c r="N17" s="98">
        <f>SUM(N13+N16)</f>
        <v>312471.98</v>
      </c>
      <c r="O17" s="87"/>
      <c r="P17" s="98">
        <f>SUM(P13+P16)</f>
        <v>30557.264999999999</v>
      </c>
      <c r="Q17" s="98">
        <f>SUM(Q13+Q16)</f>
        <v>429157</v>
      </c>
      <c r="R17" s="87"/>
      <c r="S17" s="98">
        <f>SUM(S13+S16)</f>
        <v>40441.13385000002</v>
      </c>
      <c r="T17" s="98">
        <f>SUM(T13+T16)</f>
        <v>541332.18670000019</v>
      </c>
      <c r="U17" s="87"/>
      <c r="V17" s="98">
        <f>SUM(V13+V16)</f>
        <v>49913.36715000002</v>
      </c>
      <c r="W17" s="98">
        <f>SUM(W13+W16)</f>
        <v>659200.69490000024</v>
      </c>
      <c r="X17" s="87"/>
      <c r="Y17" s="98">
        <f>SUM(Y13+Y16)</f>
        <v>56067.947250000005</v>
      </c>
      <c r="Z17" s="98">
        <f>SUM(Z13+Z16)</f>
        <v>770119.29430000018</v>
      </c>
      <c r="AA17" s="87"/>
      <c r="AB17" s="98">
        <f>SUM(AB13+AB16)</f>
        <v>65395.816650000008</v>
      </c>
      <c r="AC17" s="98">
        <f>SUM(AC13+AC16)</f>
        <v>891190.28850000002</v>
      </c>
      <c r="AD17" s="87"/>
      <c r="AE17" s="98">
        <f>SUM(AE13+AE16)</f>
        <v>58549.083900000012</v>
      </c>
      <c r="AF17" s="98">
        <f>SUM(AF13+AF16)</f>
        <v>917269.06570000015</v>
      </c>
      <c r="AG17" s="87"/>
      <c r="AH17" s="98">
        <f>SUM(AH13+AH16)</f>
        <v>53294.404200000019</v>
      </c>
      <c r="AI17" s="98">
        <f>SUM(AI13+AI16)</f>
        <v>834945.66580000019</v>
      </c>
      <c r="AJ17" s="87"/>
      <c r="AK17" s="98">
        <f>SUM(AK13+AK16)</f>
        <v>47851.221000000012</v>
      </c>
      <c r="AL17" s="98">
        <f>SUM(AL13+AL16)</f>
        <v>749669.12900000019</v>
      </c>
    </row>
    <row r="18" spans="1:38" x14ac:dyDescent="0.25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</row>
    <row r="19" spans="1:38" x14ac:dyDescent="0.25">
      <c r="A19" s="87"/>
      <c r="B19" s="103" t="s">
        <v>98</v>
      </c>
      <c r="C19" s="103" t="s">
        <v>99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</row>
    <row r="20" spans="1:38" x14ac:dyDescent="0.25">
      <c r="A20" s="87" t="s">
        <v>4</v>
      </c>
      <c r="B20" s="99">
        <v>0.04</v>
      </c>
      <c r="C20" s="99">
        <v>0.04</v>
      </c>
      <c r="D20" s="98">
        <f>D17*$B$20</f>
        <v>26.664000000000001</v>
      </c>
      <c r="E20" s="98">
        <f>E17*$B$20</f>
        <v>417.73599999999999</v>
      </c>
      <c r="F20" s="92"/>
      <c r="G20" s="98">
        <f>G17*$B$20</f>
        <v>153.93599999999998</v>
      </c>
      <c r="H20" s="98">
        <f>H17*$B$20</f>
        <v>2411.6640000000002</v>
      </c>
      <c r="I20" s="92"/>
      <c r="J20" s="98">
        <f>J17*$B$20</f>
        <v>440.93519999999995</v>
      </c>
      <c r="K20" s="98">
        <f>K17*$B$20</f>
        <v>6907.9848000000002</v>
      </c>
      <c r="L20" s="92"/>
      <c r="M20" s="98">
        <f>M17*$B$20</f>
        <v>926.32080000000008</v>
      </c>
      <c r="N20" s="98">
        <f>N17*$B$20</f>
        <v>12498.879199999999</v>
      </c>
      <c r="O20" s="92"/>
      <c r="P20" s="98">
        <f>P17*$B$20</f>
        <v>1222.2906</v>
      </c>
      <c r="Q20" s="98">
        <f>Q17*$B$20</f>
        <v>17166.28</v>
      </c>
      <c r="R20" s="92"/>
      <c r="S20" s="98">
        <f>S17*$B$20</f>
        <v>1617.6453540000009</v>
      </c>
      <c r="T20" s="98">
        <f>T17*$B$20</f>
        <v>21653.28746800001</v>
      </c>
      <c r="U20" s="92"/>
      <c r="V20" s="98">
        <f>V17*$B$20</f>
        <v>1996.5346860000009</v>
      </c>
      <c r="W20" s="98">
        <f>W17*$B$20</f>
        <v>26368.027796000009</v>
      </c>
      <c r="X20" s="92"/>
      <c r="Y20" s="98">
        <f>Y17*$B$20</f>
        <v>2242.7178900000004</v>
      </c>
      <c r="Z20" s="98">
        <f>Z17*$B$20</f>
        <v>30804.771772000007</v>
      </c>
      <c r="AA20" s="92"/>
      <c r="AB20" s="98">
        <f>AB17*$B$20</f>
        <v>2615.8326660000002</v>
      </c>
      <c r="AC20" s="98">
        <f>AC17*$B$20</f>
        <v>35647.611540000005</v>
      </c>
      <c r="AD20" s="92"/>
      <c r="AE20" s="98">
        <f>AE17*$B$20</f>
        <v>2341.9633560000007</v>
      </c>
      <c r="AF20" s="98">
        <f>AF17*$B$20</f>
        <v>36690.762628000004</v>
      </c>
      <c r="AG20" s="92"/>
      <c r="AH20" s="98">
        <f>AH17*$B$20</f>
        <v>2131.7761680000008</v>
      </c>
      <c r="AI20" s="98">
        <f>AI17*$B$20</f>
        <v>33397.826632000011</v>
      </c>
      <c r="AJ20" s="92"/>
      <c r="AK20" s="98">
        <f>AK17*$B$20</f>
        <v>1914.0488400000006</v>
      </c>
      <c r="AL20" s="98">
        <f>AL17*$B$20</f>
        <v>29986.76516000001</v>
      </c>
    </row>
    <row r="21" spans="1:38" x14ac:dyDescent="0.25">
      <c r="A21" s="87" t="s">
        <v>5</v>
      </c>
      <c r="B21" s="99">
        <v>0.56000000000000005</v>
      </c>
      <c r="C21" s="99">
        <v>0.56000000000000005</v>
      </c>
      <c r="D21" s="98">
        <f>D17*$B$21</f>
        <v>373.29600000000005</v>
      </c>
      <c r="E21" s="98">
        <f>E17*$B$21</f>
        <v>5848.3040000000001</v>
      </c>
      <c r="F21" s="104"/>
      <c r="G21" s="98">
        <f>G17*$B$21</f>
        <v>2155.1039999999998</v>
      </c>
      <c r="H21" s="98">
        <f>H17*$B$21</f>
        <v>33763.296000000002</v>
      </c>
      <c r="I21" s="104"/>
      <c r="J21" s="98">
        <f>J17*$B$21</f>
        <v>6173.0928000000004</v>
      </c>
      <c r="K21" s="98">
        <f>K17*$B$21</f>
        <v>96711.787200000006</v>
      </c>
      <c r="L21" s="104"/>
      <c r="M21" s="98">
        <f>M17*$B$21</f>
        <v>12968.491200000002</v>
      </c>
      <c r="N21" s="98">
        <f>N17*$B$21</f>
        <v>174984.3088</v>
      </c>
      <c r="O21" s="104"/>
      <c r="P21" s="98">
        <f>P17*$B$21</f>
        <v>17112.0684</v>
      </c>
      <c r="Q21" s="98">
        <f>Q17*$B$21</f>
        <v>240327.92</v>
      </c>
      <c r="R21" s="104"/>
      <c r="S21" s="98">
        <f>S17*$B$21</f>
        <v>22647.034956000014</v>
      </c>
      <c r="T21" s="98">
        <f>T17*$B$21</f>
        <v>303146.02455200016</v>
      </c>
      <c r="U21" s="104"/>
      <c r="V21" s="98">
        <f>V17*$B$21</f>
        <v>27951.485604000012</v>
      </c>
      <c r="W21" s="98">
        <f>W17*$B$21</f>
        <v>369152.38914400019</v>
      </c>
      <c r="X21" s="104"/>
      <c r="Y21" s="98">
        <f>Y17*$B$21</f>
        <v>31398.050460000006</v>
      </c>
      <c r="Z21" s="98">
        <f>Z17*$B$21</f>
        <v>431266.80480800016</v>
      </c>
      <c r="AA21" s="104"/>
      <c r="AB21" s="98">
        <f>AB17*$B$21</f>
        <v>36621.657324000007</v>
      </c>
      <c r="AC21" s="98">
        <f>AC17*$B$21</f>
        <v>499066.56156000006</v>
      </c>
      <c r="AD21" s="104"/>
      <c r="AE21" s="98">
        <f>AE17*$B$21</f>
        <v>32787.48698400001</v>
      </c>
      <c r="AF21" s="98">
        <f>AF17*$B$21</f>
        <v>513670.67679200013</v>
      </c>
      <c r="AG21" s="104"/>
      <c r="AH21" s="98">
        <f>AH17*$B$21</f>
        <v>29844.866352000012</v>
      </c>
      <c r="AI21" s="98">
        <f>AI17*$B$21</f>
        <v>467569.57284800016</v>
      </c>
      <c r="AJ21" s="104"/>
      <c r="AK21" s="98">
        <f>AK17*$B$21</f>
        <v>26796.683760000011</v>
      </c>
      <c r="AL21" s="98">
        <f>AL17*$B$21</f>
        <v>419814.71224000014</v>
      </c>
    </row>
    <row r="22" spans="1:38" x14ac:dyDescent="0.25">
      <c r="A22" s="87" t="s">
        <v>6</v>
      </c>
      <c r="B22" s="99">
        <v>0.4</v>
      </c>
      <c r="C22" s="99">
        <v>0.4</v>
      </c>
      <c r="D22" s="98">
        <f>D17*$B$22</f>
        <v>266.64000000000004</v>
      </c>
      <c r="E22" s="98">
        <f>E17*$B$22</f>
        <v>4177.3599999999997</v>
      </c>
      <c r="F22" s="104"/>
      <c r="G22" s="98">
        <f>G17*$B$22</f>
        <v>1539.36</v>
      </c>
      <c r="H22" s="98">
        <f>H17*$B$22</f>
        <v>24116.639999999999</v>
      </c>
      <c r="I22" s="104"/>
      <c r="J22" s="98">
        <f>J17*$B$22</f>
        <v>4409.3519999999999</v>
      </c>
      <c r="K22" s="98">
        <f>K17*$B$22</f>
        <v>69079.847999999998</v>
      </c>
      <c r="L22" s="104"/>
      <c r="M22" s="98">
        <f>M17*$B$22</f>
        <v>9263.2080000000005</v>
      </c>
      <c r="N22" s="98">
        <f>N17*$B$22</f>
        <v>124988.792</v>
      </c>
      <c r="O22" s="104"/>
      <c r="P22" s="98">
        <f>P17*$B$22</f>
        <v>12222.906000000001</v>
      </c>
      <c r="Q22" s="98">
        <f>Q17*$B$22</f>
        <v>171662.80000000002</v>
      </c>
      <c r="R22" s="104"/>
      <c r="S22" s="98">
        <f>S17*$B$22</f>
        <v>16176.45354000001</v>
      </c>
      <c r="T22" s="98">
        <f>T17*$B$22</f>
        <v>216532.8746800001</v>
      </c>
      <c r="U22" s="104"/>
      <c r="V22" s="98">
        <f>V17*$B$22</f>
        <v>19965.346860000009</v>
      </c>
      <c r="W22" s="98">
        <f>W17*$B$22</f>
        <v>263680.27796000009</v>
      </c>
      <c r="X22" s="104"/>
      <c r="Y22" s="98">
        <f>Y17*$B$22</f>
        <v>22427.178900000003</v>
      </c>
      <c r="Z22" s="98">
        <f>Z17*$B$22</f>
        <v>308047.71772000007</v>
      </c>
      <c r="AA22" s="104"/>
      <c r="AB22" s="98">
        <f>AB17*$B$22</f>
        <v>26158.326660000006</v>
      </c>
      <c r="AC22" s="98">
        <f>AC17*$B$22</f>
        <v>356476.11540000001</v>
      </c>
      <c r="AD22" s="104"/>
      <c r="AE22" s="98">
        <f>AE17*$B$22</f>
        <v>23419.633560000006</v>
      </c>
      <c r="AF22" s="98">
        <f>AF17*$B$22</f>
        <v>366907.62628000008</v>
      </c>
      <c r="AG22" s="104"/>
      <c r="AH22" s="98">
        <f>AH17*$B$22</f>
        <v>21317.761680000011</v>
      </c>
      <c r="AI22" s="98">
        <f>AI17*$B$22</f>
        <v>333978.26632000011</v>
      </c>
      <c r="AJ22" s="104"/>
      <c r="AK22" s="98">
        <f>AK17*$B$22</f>
        <v>19140.488400000006</v>
      </c>
      <c r="AL22" s="98">
        <f>AL17*$B$22</f>
        <v>299867.6516000001</v>
      </c>
    </row>
    <row r="23" spans="1:38" x14ac:dyDescent="0.25">
      <c r="A23" s="87"/>
      <c r="B23" s="87"/>
      <c r="C23" s="87"/>
      <c r="D23" s="105"/>
      <c r="E23" s="87"/>
      <c r="F23" s="87"/>
      <c r="G23" s="105"/>
      <c r="H23" s="87"/>
      <c r="I23" s="87"/>
      <c r="J23" s="105"/>
      <c r="K23" s="87"/>
      <c r="L23" s="87"/>
      <c r="M23" s="105"/>
      <c r="N23" s="87"/>
      <c r="O23" s="87"/>
      <c r="P23" s="105"/>
      <c r="Q23" s="87"/>
      <c r="R23" s="87"/>
      <c r="S23" s="105"/>
      <c r="T23" s="87"/>
      <c r="U23" s="87"/>
      <c r="V23" s="105"/>
      <c r="W23" s="87"/>
      <c r="X23" s="87"/>
      <c r="Y23" s="105"/>
      <c r="Z23" s="87"/>
      <c r="AA23" s="87"/>
      <c r="AB23" s="105"/>
      <c r="AC23" s="87"/>
      <c r="AD23" s="87"/>
      <c r="AE23" s="105"/>
      <c r="AF23" s="87"/>
      <c r="AG23" s="87"/>
      <c r="AH23" s="105"/>
      <c r="AI23" s="87"/>
      <c r="AJ23" s="87"/>
      <c r="AK23" s="105"/>
      <c r="AL23" s="87"/>
    </row>
    <row r="24" spans="1:38" x14ac:dyDescent="0.25">
      <c r="A24" s="87" t="s">
        <v>7</v>
      </c>
      <c r="B24" s="106">
        <v>4.4699999999999997E-2</v>
      </c>
      <c r="C24" s="106">
        <v>2.0799999999999999E-2</v>
      </c>
      <c r="D24" s="98">
        <f>D20*$B24</f>
        <v>1.1918808000000001</v>
      </c>
      <c r="E24" s="98">
        <f>E20*$B24</f>
        <v>18.672799199999996</v>
      </c>
      <c r="F24" s="107"/>
      <c r="G24" s="98">
        <f>G20*$B24</f>
        <v>6.8809391999999985</v>
      </c>
      <c r="H24" s="98">
        <f>H20*$B24</f>
        <v>107.8013808</v>
      </c>
      <c r="I24" s="107"/>
      <c r="J24" s="98">
        <f>J20*$B24</f>
        <v>19.709803439999995</v>
      </c>
      <c r="K24" s="98">
        <f>K20*$B24</f>
        <v>308.78692056</v>
      </c>
      <c r="L24" s="107"/>
      <c r="M24" s="98">
        <f t="shared" ref="M24:N26" si="0">M20*$C24</f>
        <v>19.267472640000001</v>
      </c>
      <c r="N24" s="98">
        <f t="shared" si="0"/>
        <v>259.97668735999997</v>
      </c>
      <c r="O24" s="107"/>
      <c r="P24" s="98">
        <f t="shared" ref="P24:Q26" si="1">P20*$C24</f>
        <v>25.42364448</v>
      </c>
      <c r="Q24" s="98">
        <f t="shared" si="1"/>
        <v>357.05862399999995</v>
      </c>
      <c r="R24" s="107"/>
      <c r="S24" s="98">
        <f t="shared" ref="S24:T26" si="2">S20*$C24</f>
        <v>33.64702336320002</v>
      </c>
      <c r="T24" s="98">
        <f t="shared" si="2"/>
        <v>450.38837933440016</v>
      </c>
      <c r="U24" s="107"/>
      <c r="V24" s="98">
        <f t="shared" ref="V24:W26" si="3">V20*$C24</f>
        <v>41.527921468800017</v>
      </c>
      <c r="W24" s="98">
        <f t="shared" si="3"/>
        <v>548.45497815680017</v>
      </c>
      <c r="X24" s="107"/>
      <c r="Y24" s="98">
        <f t="shared" ref="Y24:Z26" si="4">Y20*$C24</f>
        <v>46.648532112000005</v>
      </c>
      <c r="Z24" s="98">
        <f t="shared" si="4"/>
        <v>640.73925285760015</v>
      </c>
      <c r="AA24" s="107"/>
      <c r="AB24" s="98">
        <f t="shared" ref="AB24:AC26" si="5">AB20*$C24</f>
        <v>54.409319452800005</v>
      </c>
      <c r="AC24" s="98">
        <f t="shared" si="5"/>
        <v>741.47032003200013</v>
      </c>
      <c r="AD24" s="107"/>
      <c r="AE24" s="98">
        <f t="shared" ref="AE24:AF26" si="6">AE20*$C24</f>
        <v>48.71283780480001</v>
      </c>
      <c r="AF24" s="98">
        <f t="shared" si="6"/>
        <v>763.16786266240001</v>
      </c>
      <c r="AG24" s="107"/>
      <c r="AH24" s="98">
        <f t="shared" ref="AH24:AI26" si="7">AH20*$C24</f>
        <v>44.340944294400018</v>
      </c>
      <c r="AI24" s="98">
        <f t="shared" si="7"/>
        <v>694.67479394560019</v>
      </c>
      <c r="AJ24" s="107"/>
      <c r="AK24" s="98">
        <f>AK20*$C24</f>
        <v>39.81221587200001</v>
      </c>
      <c r="AL24" s="98">
        <f t="shared" ref="AL24" si="8">AL20*$C24</f>
        <v>623.72471532800023</v>
      </c>
    </row>
    <row r="25" spans="1:38" x14ac:dyDescent="0.25">
      <c r="A25" s="87" t="s">
        <v>8</v>
      </c>
      <c r="B25" s="106">
        <v>6.4399999999999999E-2</v>
      </c>
      <c r="C25" s="106">
        <v>5.0900000000000001E-2</v>
      </c>
      <c r="D25" s="98">
        <f t="shared" ref="D25:E26" si="9">D21*$B25</f>
        <v>24.040262400000003</v>
      </c>
      <c r="E25" s="98">
        <f t="shared" si="9"/>
        <v>376.63077759999999</v>
      </c>
      <c r="F25" s="107"/>
      <c r="G25" s="98">
        <f t="shared" ref="G25:H26" si="10">G21*$B25</f>
        <v>138.78869759999998</v>
      </c>
      <c r="H25" s="98">
        <f t="shared" si="10"/>
        <v>2174.3562624000001</v>
      </c>
      <c r="I25" s="107"/>
      <c r="J25" s="98">
        <f t="shared" ref="J25:K26" si="11">J21*$B25</f>
        <v>397.54717632000001</v>
      </c>
      <c r="K25" s="98">
        <f t="shared" si="11"/>
        <v>6228.23909568</v>
      </c>
      <c r="L25" s="107"/>
      <c r="M25" s="98">
        <f t="shared" si="0"/>
        <v>660.09620208000013</v>
      </c>
      <c r="N25" s="98">
        <f t="shared" si="0"/>
        <v>8906.7013179200003</v>
      </c>
      <c r="O25" s="107"/>
      <c r="P25" s="98">
        <f t="shared" si="1"/>
        <v>871.00428155999998</v>
      </c>
      <c r="Q25" s="98">
        <f t="shared" si="1"/>
        <v>12232.691128</v>
      </c>
      <c r="R25" s="107"/>
      <c r="S25" s="98">
        <f t="shared" si="2"/>
        <v>1152.7340792604007</v>
      </c>
      <c r="T25" s="98">
        <f t="shared" si="2"/>
        <v>15430.132649696809</v>
      </c>
      <c r="U25" s="107"/>
      <c r="V25" s="98">
        <f t="shared" si="3"/>
        <v>1422.7306172436006</v>
      </c>
      <c r="W25" s="98">
        <f t="shared" si="3"/>
        <v>18789.85660742961</v>
      </c>
      <c r="X25" s="107"/>
      <c r="Y25" s="98">
        <f t="shared" si="4"/>
        <v>1598.1607684140004</v>
      </c>
      <c r="Z25" s="98">
        <f t="shared" si="4"/>
        <v>21951.480364727209</v>
      </c>
      <c r="AA25" s="107"/>
      <c r="AB25" s="98">
        <f t="shared" si="5"/>
        <v>1864.0423577916004</v>
      </c>
      <c r="AC25" s="98">
        <f t="shared" si="5"/>
        <v>25402.487983404004</v>
      </c>
      <c r="AD25" s="107"/>
      <c r="AE25" s="98">
        <f t="shared" si="6"/>
        <v>1668.8830874856005</v>
      </c>
      <c r="AF25" s="98">
        <f t="shared" si="6"/>
        <v>26145.837448712806</v>
      </c>
      <c r="AG25" s="107"/>
      <c r="AH25" s="98">
        <f t="shared" si="7"/>
        <v>1519.1036973168007</v>
      </c>
      <c r="AI25" s="98">
        <f t="shared" si="7"/>
        <v>23799.291257963207</v>
      </c>
      <c r="AJ25" s="107"/>
      <c r="AK25" s="98">
        <f t="shared" ref="AK25:AL26" si="12">AK21*$C25</f>
        <v>1363.9512033840006</v>
      </c>
      <c r="AL25" s="98">
        <f t="shared" si="12"/>
        <v>21368.568853016008</v>
      </c>
    </row>
    <row r="26" spans="1:38" x14ac:dyDescent="0.25">
      <c r="A26" s="87" t="s">
        <v>9</v>
      </c>
      <c r="B26" s="106">
        <v>8.5699999999999998E-2</v>
      </c>
      <c r="C26" s="106">
        <v>8.9300000000000004E-2</v>
      </c>
      <c r="D26" s="98">
        <f t="shared" si="9"/>
        <v>22.851048000000002</v>
      </c>
      <c r="E26" s="98">
        <f t="shared" si="9"/>
        <v>357.99975199999994</v>
      </c>
      <c r="F26" s="107"/>
      <c r="G26" s="98">
        <f t="shared" si="10"/>
        <v>131.92315199999999</v>
      </c>
      <c r="H26" s="98">
        <f t="shared" si="10"/>
        <v>2066.7960479999997</v>
      </c>
      <c r="I26" s="107"/>
      <c r="J26" s="98">
        <f t="shared" si="11"/>
        <v>377.88146639999997</v>
      </c>
      <c r="K26" s="98">
        <f t="shared" si="11"/>
        <v>5920.1429736</v>
      </c>
      <c r="L26" s="107"/>
      <c r="M26" s="98">
        <f t="shared" si="0"/>
        <v>827.20447440000009</v>
      </c>
      <c r="N26" s="98">
        <f t="shared" si="0"/>
        <v>11161.499125600001</v>
      </c>
      <c r="O26" s="107"/>
      <c r="P26" s="98">
        <f t="shared" si="1"/>
        <v>1091.5055058</v>
      </c>
      <c r="Q26" s="98">
        <f t="shared" si="1"/>
        <v>15329.488040000002</v>
      </c>
      <c r="R26" s="107"/>
      <c r="S26" s="98">
        <f t="shared" si="2"/>
        <v>1444.5573011220008</v>
      </c>
      <c r="T26" s="98">
        <f t="shared" si="2"/>
        <v>19336.385708924008</v>
      </c>
      <c r="U26" s="107"/>
      <c r="V26" s="98">
        <f t="shared" si="3"/>
        <v>1782.9054745980009</v>
      </c>
      <c r="W26" s="98">
        <f t="shared" si="3"/>
        <v>23546.64882182801</v>
      </c>
      <c r="X26" s="107"/>
      <c r="Y26" s="98">
        <f t="shared" si="4"/>
        <v>2002.7470757700003</v>
      </c>
      <c r="Z26" s="98">
        <f t="shared" si="4"/>
        <v>27508.661192396008</v>
      </c>
      <c r="AA26" s="107"/>
      <c r="AB26" s="98">
        <f t="shared" si="5"/>
        <v>2335.9385707380006</v>
      </c>
      <c r="AC26" s="98">
        <f t="shared" si="5"/>
        <v>31833.317105220001</v>
      </c>
      <c r="AD26" s="107"/>
      <c r="AE26" s="98">
        <f t="shared" si="6"/>
        <v>2091.3732769080007</v>
      </c>
      <c r="AF26" s="98">
        <f t="shared" si="6"/>
        <v>32764.851026804008</v>
      </c>
      <c r="AG26" s="107"/>
      <c r="AH26" s="98">
        <f t="shared" si="7"/>
        <v>1903.676118024001</v>
      </c>
      <c r="AI26" s="98">
        <f t="shared" si="7"/>
        <v>29824.259182376012</v>
      </c>
      <c r="AJ26" s="107"/>
      <c r="AK26" s="98">
        <f t="shared" si="12"/>
        <v>1709.2456141200005</v>
      </c>
      <c r="AL26" s="98">
        <f t="shared" si="12"/>
        <v>26778.181287880012</v>
      </c>
    </row>
    <row r="27" spans="1:38" x14ac:dyDescent="0.25">
      <c r="A27" s="108" t="s">
        <v>100</v>
      </c>
      <c r="B27" s="87"/>
      <c r="C27" s="87"/>
      <c r="D27" s="109">
        <f>SUM(D24:D26)</f>
        <v>48.083191200000002</v>
      </c>
      <c r="E27" s="109">
        <f>SUM(E24:E26)</f>
        <v>753.30332879999992</v>
      </c>
      <c r="F27" s="87"/>
      <c r="G27" s="109">
        <f>SUM(G24:G26)</f>
        <v>277.59278879999999</v>
      </c>
      <c r="H27" s="109">
        <f>SUM(H24:H26)</f>
        <v>4348.9536912000003</v>
      </c>
      <c r="I27" s="87"/>
      <c r="J27" s="109">
        <f>SUM(J24:J26)</f>
        <v>795.13844615999994</v>
      </c>
      <c r="K27" s="109">
        <f>SUM(K24:K26)</f>
        <v>12457.16898984</v>
      </c>
      <c r="L27" s="87"/>
      <c r="M27" s="109">
        <f>SUM(M24:M26)</f>
        <v>1506.5681491200003</v>
      </c>
      <c r="N27" s="109">
        <f>SUM(N24:N26)</f>
        <v>20328.177130880002</v>
      </c>
      <c r="O27" s="87"/>
      <c r="P27" s="109">
        <f>SUM(P24:P26)</f>
        <v>1987.9334318400001</v>
      </c>
      <c r="Q27" s="109">
        <f>SUM(Q24:Q26)</f>
        <v>27919.237792</v>
      </c>
      <c r="R27" s="87"/>
      <c r="S27" s="109">
        <f>SUM(S24:S26)</f>
        <v>2630.9384037456016</v>
      </c>
      <c r="T27" s="109">
        <f>SUM(T24:T26)</f>
        <v>35216.906737955214</v>
      </c>
      <c r="U27" s="87"/>
      <c r="V27" s="109">
        <f>SUM(V24:V26)</f>
        <v>3247.1640133104015</v>
      </c>
      <c r="W27" s="109">
        <f>SUM(W24:W26)</f>
        <v>42884.960407414415</v>
      </c>
      <c r="X27" s="87"/>
      <c r="Y27" s="109">
        <f>SUM(Y24:Y26)</f>
        <v>3647.556376296001</v>
      </c>
      <c r="Z27" s="109">
        <f>SUM(Z24:Z26)</f>
        <v>50100.880809980816</v>
      </c>
      <c r="AA27" s="87"/>
      <c r="AB27" s="109">
        <f>SUM(AB24:AB26)</f>
        <v>4254.390247982401</v>
      </c>
      <c r="AC27" s="109">
        <f>SUM(AC24:AC26)</f>
        <v>57977.275408656002</v>
      </c>
      <c r="AD27" s="87"/>
      <c r="AE27" s="109">
        <f>SUM(AE24:AE26)</f>
        <v>3808.969202198401</v>
      </c>
      <c r="AF27" s="109">
        <f>SUM(AF24:AF26)</f>
        <v>59673.856338179219</v>
      </c>
      <c r="AG27" s="87"/>
      <c r="AH27" s="109">
        <f>SUM(AH24:AH26)</f>
        <v>3467.1207596352015</v>
      </c>
      <c r="AI27" s="109">
        <f>SUM(AI24:AI26)</f>
        <v>54318.225234284822</v>
      </c>
      <c r="AJ27" s="87"/>
      <c r="AK27" s="109">
        <f>SUM(AK24:AK26)</f>
        <v>3113.0090333760008</v>
      </c>
      <c r="AL27" s="109">
        <f>SUM(AL24:AL26)</f>
        <v>48770.47485622402</v>
      </c>
    </row>
    <row r="28" spans="1:38" x14ac:dyDescent="0.25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</row>
    <row r="29" spans="1:38" x14ac:dyDescent="0.25">
      <c r="A29" s="87" t="s">
        <v>1</v>
      </c>
      <c r="B29" s="87"/>
      <c r="C29" s="87"/>
      <c r="D29" s="110">
        <f>D14+D15</f>
        <v>0</v>
      </c>
      <c r="E29" s="98">
        <f>E15</f>
        <v>0</v>
      </c>
      <c r="F29" s="87"/>
      <c r="G29" s="110">
        <f>G14+G15</f>
        <v>0</v>
      </c>
      <c r="H29" s="98">
        <f>H15</f>
        <v>0</v>
      </c>
      <c r="I29" s="87"/>
      <c r="J29" s="110">
        <f>J14+J15</f>
        <v>0</v>
      </c>
      <c r="K29" s="98">
        <f>K15</f>
        <v>0</v>
      </c>
      <c r="L29" s="87"/>
      <c r="M29" s="110">
        <f>M14+M15</f>
        <v>23800</v>
      </c>
      <c r="N29" s="98">
        <f>N15</f>
        <v>0</v>
      </c>
      <c r="O29" s="87"/>
      <c r="P29" s="110">
        <f>P14+P15</f>
        <v>23439</v>
      </c>
      <c r="Q29" s="98">
        <f>Q15</f>
        <v>0</v>
      </c>
      <c r="R29" s="87"/>
      <c r="S29" s="110">
        <f>S14+S15</f>
        <v>43614.930000000008</v>
      </c>
      <c r="T29" s="98">
        <f>T15</f>
        <v>0</v>
      </c>
      <c r="U29" s="87"/>
      <c r="V29" s="110">
        <f>V14+V15</f>
        <v>58049.83</v>
      </c>
      <c r="W29" s="98">
        <f>W15</f>
        <v>0</v>
      </c>
      <c r="X29" s="87"/>
      <c r="Y29" s="110">
        <f>Y14+Y15</f>
        <v>51195.53</v>
      </c>
      <c r="Z29" s="98">
        <f>Z15</f>
        <v>0</v>
      </c>
      <c r="AA29" s="87"/>
      <c r="AB29" s="110">
        <f>AB14+AB15</f>
        <v>63046.889999999992</v>
      </c>
      <c r="AC29" s="98">
        <f>AC15</f>
        <v>0</v>
      </c>
      <c r="AD29" s="87"/>
      <c r="AE29" s="110">
        <f>AE14+AE15</f>
        <v>-3.9999999999054126E-2</v>
      </c>
      <c r="AF29" s="98">
        <f>AF15</f>
        <v>0</v>
      </c>
      <c r="AG29" s="87"/>
      <c r="AH29" s="110">
        <f>AH14+AH15</f>
        <v>0</v>
      </c>
      <c r="AI29" s="98">
        <f>AI15</f>
        <v>0</v>
      </c>
      <c r="AJ29" s="87"/>
      <c r="AK29" s="110">
        <f>AK14+AK15</f>
        <v>0</v>
      </c>
      <c r="AL29" s="98">
        <f>AL15</f>
        <v>0</v>
      </c>
    </row>
    <row r="30" spans="1:38" x14ac:dyDescent="0.25">
      <c r="A30" s="87" t="s">
        <v>10</v>
      </c>
      <c r="B30" s="111"/>
      <c r="C30" s="94">
        <v>766</v>
      </c>
      <c r="D30" s="98">
        <f>C30*D$12</f>
        <v>45.96</v>
      </c>
      <c r="E30" s="98">
        <f>C30*E$12</f>
        <v>720.04</v>
      </c>
      <c r="F30" s="94">
        <v>4476</v>
      </c>
      <c r="G30" s="98">
        <f>F30*G$12</f>
        <v>268.56</v>
      </c>
      <c r="H30" s="98">
        <f>F30*H$12</f>
        <v>4207.4399999999996</v>
      </c>
      <c r="I30" s="94">
        <v>13032</v>
      </c>
      <c r="J30" s="98">
        <f>I30*J$12</f>
        <v>781.92</v>
      </c>
      <c r="K30" s="98">
        <f>I30*K$12</f>
        <v>12250.08</v>
      </c>
      <c r="L30" s="94">
        <v>24186</v>
      </c>
      <c r="M30" s="98">
        <f>L30*M$12</f>
        <v>1451.1599999999999</v>
      </c>
      <c r="N30" s="98">
        <f>L30*N$12</f>
        <v>22734.84</v>
      </c>
      <c r="O30" s="94">
        <v>34414</v>
      </c>
      <c r="P30" s="98">
        <f>O30*P$12</f>
        <v>2064.84</v>
      </c>
      <c r="Q30" s="98">
        <f>O30*Q$12</f>
        <v>32349.16</v>
      </c>
      <c r="R30" s="159">
        <v>45017.909999999996</v>
      </c>
      <c r="S30" s="98">
        <f>R30*S$12</f>
        <v>2701.0745999999995</v>
      </c>
      <c r="T30" s="98">
        <f>R30*T$12</f>
        <v>42316.835399999996</v>
      </c>
      <c r="U30" s="159">
        <v>56770.31</v>
      </c>
      <c r="V30" s="98">
        <f>U30*V$12</f>
        <v>3406.2185999999997</v>
      </c>
      <c r="W30" s="98">
        <f>U30*W$12</f>
        <v>53364.091399999998</v>
      </c>
      <c r="X30" s="159">
        <v>68823.34</v>
      </c>
      <c r="Y30" s="98">
        <f>X30*Y$12</f>
        <v>4129.4003999999995</v>
      </c>
      <c r="Z30" s="98">
        <f>X30*Z$12</f>
        <v>64693.939599999991</v>
      </c>
      <c r="AA30" s="159">
        <v>82452.469999999972</v>
      </c>
      <c r="AB30" s="98">
        <f>AA30*AB$12</f>
        <v>4947.1481999999978</v>
      </c>
      <c r="AC30" s="98">
        <f>AA30*AC$12</f>
        <v>77505.321799999976</v>
      </c>
      <c r="AD30" s="159">
        <v>90616.989999999991</v>
      </c>
      <c r="AE30" s="98">
        <f>AD30*AE$12</f>
        <v>5437.0193999999992</v>
      </c>
      <c r="AF30" s="98">
        <f>AD30*AF$12</f>
        <v>85179.970599999986</v>
      </c>
      <c r="AG30" s="159">
        <v>90719.719999999987</v>
      </c>
      <c r="AH30" s="98">
        <f>AG30*AH$12</f>
        <v>5443.1831999999986</v>
      </c>
      <c r="AI30" s="98">
        <f>AG30*AI$12</f>
        <v>85276.536799999987</v>
      </c>
      <c r="AJ30" s="159">
        <v>90719.719999999987</v>
      </c>
      <c r="AK30" s="98">
        <f>AJ30*AK$12</f>
        <v>5443.1831999999986</v>
      </c>
      <c r="AL30" s="98">
        <f>AJ30*AL$12</f>
        <v>85276.536799999987</v>
      </c>
    </row>
    <row r="31" spans="1:38" x14ac:dyDescent="0.25">
      <c r="A31" s="87" t="s">
        <v>11</v>
      </c>
      <c r="B31" s="111"/>
      <c r="C31" s="87"/>
      <c r="D31" s="94">
        <f>D58</f>
        <v>-35.178584347826082</v>
      </c>
      <c r="E31" s="94">
        <f>E58</f>
        <v>-551.13115478260863</v>
      </c>
      <c r="F31" s="87"/>
      <c r="G31" s="94">
        <f>G58</f>
        <v>-140.07382141212534</v>
      </c>
      <c r="H31" s="94">
        <f>H58</f>
        <v>-2194.4898687899645</v>
      </c>
      <c r="I31" s="87"/>
      <c r="J31" s="94">
        <f>J58</f>
        <v>-124.85121119908572</v>
      </c>
      <c r="K31" s="94">
        <f>K58</f>
        <v>-1956.002308785676</v>
      </c>
      <c r="L31" s="87"/>
      <c r="M31" s="94">
        <f>M58</f>
        <v>105.98113533994319</v>
      </c>
      <c r="N31" s="94">
        <f>N58</f>
        <v>1012.0990460400642</v>
      </c>
      <c r="O31" s="87"/>
      <c r="P31" s="94">
        <f>P58</f>
        <v>309.90745395258455</v>
      </c>
      <c r="Q31" s="94">
        <f>Q58</f>
        <v>4216.7777387088581</v>
      </c>
      <c r="R31" s="111"/>
      <c r="S31" s="94">
        <f>S58</f>
        <v>451.96070210343908</v>
      </c>
      <c r="T31" s="94">
        <f>T58</f>
        <v>5892.7201393575369</v>
      </c>
      <c r="U31" s="111"/>
      <c r="V31" s="94">
        <f>V58</f>
        <v>565.8979644588735</v>
      </c>
      <c r="W31" s="94">
        <f>W58</f>
        <v>7284.5547888739011</v>
      </c>
      <c r="X31" s="111"/>
      <c r="Y31" s="94">
        <f>Y58</f>
        <v>653.28506642060938</v>
      </c>
      <c r="Z31" s="94">
        <f>Z58</f>
        <v>8840.3190198364737</v>
      </c>
      <c r="AA31" s="111"/>
      <c r="AB31" s="94">
        <f>AB58</f>
        <v>884.130224172054</v>
      </c>
      <c r="AC31" s="94">
        <f>AC58</f>
        <v>12134.081992803503</v>
      </c>
      <c r="AD31" s="111"/>
      <c r="AE31" s="94">
        <f>AE58</f>
        <v>971.66921379569953</v>
      </c>
      <c r="AF31" s="94">
        <f>AF58</f>
        <v>15222.818772332193</v>
      </c>
      <c r="AG31" s="111"/>
      <c r="AH31" s="94">
        <f>AH58</f>
        <v>964.96793204740425</v>
      </c>
      <c r="AI31" s="94">
        <f>AI58</f>
        <v>15117.830935409336</v>
      </c>
      <c r="AJ31" s="111"/>
      <c r="AK31" s="94">
        <f>AK58</f>
        <v>997.31383142585526</v>
      </c>
      <c r="AL31" s="94">
        <f>AL58</f>
        <v>15624.58335900507</v>
      </c>
    </row>
    <row r="32" spans="1:38" x14ac:dyDescent="0.25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</row>
    <row r="33" spans="1:39" ht="15.75" thickBot="1" x14ac:dyDescent="0.3">
      <c r="A33" s="80" t="s">
        <v>12</v>
      </c>
      <c r="B33" s="87"/>
      <c r="C33" s="87"/>
      <c r="D33" s="112">
        <f>SUM(D27:D31)</f>
        <v>58.864606852173914</v>
      </c>
      <c r="E33" s="112">
        <f>SUM(E27:E31)</f>
        <v>922.21217401739125</v>
      </c>
      <c r="F33" s="87"/>
      <c r="G33" s="112">
        <f>SUM(G27:G31)</f>
        <v>406.07896738787474</v>
      </c>
      <c r="H33" s="112">
        <f>SUM(H27:H31)</f>
        <v>6361.903822410035</v>
      </c>
      <c r="I33" s="87"/>
      <c r="J33" s="112">
        <f>SUM(J27:J31)</f>
        <v>1452.2072349609141</v>
      </c>
      <c r="K33" s="112">
        <f>SUM(K27:K31)</f>
        <v>22751.246681054326</v>
      </c>
      <c r="L33" s="87"/>
      <c r="M33" s="112">
        <f>SUM(M27:M31)</f>
        <v>26863.709284459943</v>
      </c>
      <c r="N33" s="112">
        <f>SUM(N27:N31)</f>
        <v>44075.11617692007</v>
      </c>
      <c r="O33" s="87"/>
      <c r="P33" s="112">
        <f>SUM(P27:P31)</f>
        <v>27801.680885792586</v>
      </c>
      <c r="Q33" s="112">
        <f>SUM(Q27:Q31)</f>
        <v>64485.175530708861</v>
      </c>
      <c r="R33" s="87"/>
      <c r="S33" s="112">
        <f>SUM(S27:S31)</f>
        <v>49398.90370584905</v>
      </c>
      <c r="T33" s="112">
        <f>SUM(T27:T31)</f>
        <v>83426.462277312748</v>
      </c>
      <c r="U33" s="87"/>
      <c r="V33" s="112">
        <f>SUM(V27:V31)</f>
        <v>65269.110577769279</v>
      </c>
      <c r="W33" s="112">
        <f>SUM(W27:W31)</f>
        <v>103533.60659628831</v>
      </c>
      <c r="X33" s="87"/>
      <c r="Y33" s="112">
        <f>SUM(Y27:Y31)</f>
        <v>59625.771842716611</v>
      </c>
      <c r="Z33" s="112">
        <f>SUM(Z27:Z31)</f>
        <v>123635.13942981728</v>
      </c>
      <c r="AA33" s="87"/>
      <c r="AB33" s="112">
        <f>SUM(AB27:AB31)</f>
        <v>73132.558672154439</v>
      </c>
      <c r="AC33" s="112">
        <f>SUM(AC27:AC31)</f>
        <v>147616.67920145945</v>
      </c>
      <c r="AD33" s="87"/>
      <c r="AE33" s="112">
        <f>SUM(AE27:AE31)</f>
        <v>10217.617815994101</v>
      </c>
      <c r="AF33" s="112">
        <f>SUM(AF27:AF31)</f>
        <v>160076.6457105114</v>
      </c>
      <c r="AG33" s="87"/>
      <c r="AH33" s="112">
        <f>SUM(AH27:AH31)</f>
        <v>9875.2718916826034</v>
      </c>
      <c r="AI33" s="112">
        <f>SUM(AI27:AI31)</f>
        <v>154712.59296969417</v>
      </c>
      <c r="AJ33" s="87"/>
      <c r="AK33" s="112">
        <f>SUM(AK27:AK31)</f>
        <v>9553.5060648018552</v>
      </c>
      <c r="AL33" s="112">
        <f>SUM(AL27:AL31)</f>
        <v>149671.59501522908</v>
      </c>
    </row>
    <row r="34" spans="1:39" x14ac:dyDescent="0.25">
      <c r="A34" s="87"/>
      <c r="B34" s="113"/>
      <c r="C34" s="87"/>
      <c r="D34" s="98"/>
      <c r="E34" s="98"/>
      <c r="F34" s="87"/>
      <c r="G34" s="98"/>
      <c r="H34" s="98"/>
      <c r="I34" s="87"/>
      <c r="J34" s="98"/>
      <c r="K34" s="98"/>
      <c r="L34" s="87"/>
      <c r="M34" s="98"/>
      <c r="N34" s="98"/>
      <c r="O34" s="87"/>
      <c r="P34" s="98"/>
      <c r="Q34" s="98"/>
      <c r="R34" s="87"/>
      <c r="S34" s="98"/>
      <c r="T34" s="98"/>
      <c r="U34" s="87"/>
      <c r="V34" s="98"/>
      <c r="W34" s="98"/>
      <c r="X34" s="87"/>
      <c r="Y34" s="98"/>
      <c r="Z34" s="98"/>
      <c r="AA34" s="87"/>
      <c r="AB34" s="98"/>
      <c r="AC34" s="98"/>
      <c r="AD34" s="87"/>
      <c r="AE34" s="98"/>
      <c r="AF34" s="98"/>
      <c r="AG34" s="87"/>
      <c r="AH34" s="98"/>
      <c r="AI34" s="98"/>
      <c r="AJ34" s="87"/>
      <c r="AK34" s="98"/>
      <c r="AL34" s="98"/>
    </row>
    <row r="35" spans="1:39" x14ac:dyDescent="0.25">
      <c r="A35" s="87"/>
      <c r="B35" s="114"/>
      <c r="C35" s="87"/>
      <c r="D35" s="98"/>
      <c r="E35" s="87"/>
      <c r="F35" s="87"/>
      <c r="G35" s="98"/>
      <c r="H35" s="87"/>
      <c r="I35" s="87"/>
      <c r="J35" s="98"/>
      <c r="K35" s="87"/>
      <c r="L35" s="87"/>
      <c r="M35" s="98"/>
      <c r="N35" s="87"/>
      <c r="O35" s="87"/>
      <c r="P35" s="98"/>
      <c r="Q35" s="87"/>
      <c r="R35" s="98"/>
      <c r="S35" s="87"/>
      <c r="T35" s="98"/>
      <c r="U35" s="98"/>
      <c r="V35" s="87"/>
      <c r="W35" s="98"/>
      <c r="X35" s="98"/>
      <c r="Y35" s="87"/>
      <c r="Z35" s="98"/>
      <c r="AA35" s="98"/>
      <c r="AB35" s="87"/>
      <c r="AC35" s="98"/>
      <c r="AD35" s="98"/>
      <c r="AE35" s="87"/>
      <c r="AF35" s="98"/>
      <c r="AG35" s="98"/>
      <c r="AH35" s="87"/>
      <c r="AI35" s="98"/>
      <c r="AJ35" s="98"/>
      <c r="AK35" s="87"/>
      <c r="AL35" s="98"/>
    </row>
    <row r="36" spans="1:39" x14ac:dyDescent="0.25">
      <c r="A36" s="87" t="s">
        <v>13</v>
      </c>
      <c r="B36" s="114"/>
      <c r="C36" s="87"/>
      <c r="D36" s="98"/>
      <c r="E36" s="109">
        <f>E33</f>
        <v>922.21217401739125</v>
      </c>
      <c r="F36" s="87"/>
      <c r="G36" s="98"/>
      <c r="H36" s="109">
        <f>H33</f>
        <v>6361.903822410035</v>
      </c>
      <c r="I36" s="87"/>
      <c r="J36" s="98"/>
      <c r="K36" s="109">
        <f>K33</f>
        <v>22751.246681054326</v>
      </c>
      <c r="L36" s="87"/>
      <c r="M36" s="98"/>
      <c r="N36" s="109">
        <f>N33</f>
        <v>44075.11617692007</v>
      </c>
      <c r="O36" s="87"/>
      <c r="P36" s="98"/>
      <c r="Q36" s="109">
        <f>Q33</f>
        <v>64485.175530708861</v>
      </c>
      <c r="R36" s="98"/>
      <c r="S36" s="87"/>
      <c r="T36" s="109">
        <f>T33</f>
        <v>83426.462277312748</v>
      </c>
      <c r="U36" s="98"/>
      <c r="V36" s="87"/>
      <c r="W36" s="109">
        <f>W33</f>
        <v>103533.60659628831</v>
      </c>
      <c r="X36" s="98"/>
      <c r="Y36" s="87"/>
      <c r="Z36" s="109">
        <f>Z33</f>
        <v>123635.13942981728</v>
      </c>
      <c r="AA36" s="98"/>
      <c r="AB36" s="87"/>
      <c r="AC36" s="109">
        <f>AC33</f>
        <v>147616.67920145945</v>
      </c>
      <c r="AD36" s="98"/>
      <c r="AE36" s="87"/>
      <c r="AF36" s="109">
        <f>AF33</f>
        <v>160076.6457105114</v>
      </c>
      <c r="AG36" s="98"/>
      <c r="AH36" s="87"/>
      <c r="AI36" s="109">
        <f>AI33</f>
        <v>154712.59296969417</v>
      </c>
      <c r="AJ36" s="98"/>
      <c r="AK36" s="87"/>
      <c r="AL36" s="109">
        <f>AL33</f>
        <v>149671.59501522908</v>
      </c>
      <c r="AM36" s="148"/>
    </row>
    <row r="37" spans="1:39" x14ac:dyDescent="0.25">
      <c r="A37" s="87"/>
      <c r="B37" s="115"/>
      <c r="C37" s="87"/>
      <c r="D37" s="116"/>
      <c r="E37" s="87"/>
      <c r="F37" s="87"/>
      <c r="G37" s="116"/>
      <c r="H37" s="87"/>
      <c r="I37" s="87"/>
      <c r="J37" s="116"/>
      <c r="K37" s="87"/>
      <c r="L37" s="87"/>
      <c r="M37" s="116"/>
      <c r="N37" s="87"/>
      <c r="O37" s="87"/>
      <c r="P37" s="116"/>
      <c r="Q37" s="87"/>
      <c r="R37" s="87"/>
      <c r="S37" s="117"/>
      <c r="T37" s="87"/>
      <c r="U37" s="87"/>
      <c r="V37" s="117"/>
      <c r="W37" s="87"/>
      <c r="X37" s="87"/>
      <c r="Y37" s="117"/>
      <c r="Z37" s="87"/>
      <c r="AA37" s="87"/>
      <c r="AB37" s="117"/>
      <c r="AC37" s="87"/>
      <c r="AD37" s="87"/>
      <c r="AE37" s="117"/>
      <c r="AF37" s="87"/>
      <c r="AG37" s="87"/>
      <c r="AH37" s="117"/>
      <c r="AI37" s="87"/>
      <c r="AJ37" s="87"/>
      <c r="AK37" s="117"/>
      <c r="AL37" s="87"/>
    </row>
    <row r="38" spans="1:39" x14ac:dyDescent="0.25">
      <c r="A38" s="87" t="s">
        <v>101</v>
      </c>
      <c r="B38" s="87"/>
      <c r="C38" s="94"/>
      <c r="D38" s="94"/>
      <c r="E38" s="109">
        <f>E36/12</f>
        <v>76.851014501449271</v>
      </c>
      <c r="F38" s="94"/>
      <c r="G38" s="94"/>
      <c r="H38" s="109">
        <f>H36/12</f>
        <v>530.15865186750295</v>
      </c>
      <c r="I38" s="94"/>
      <c r="J38" s="94"/>
      <c r="K38" s="109">
        <f>K36/12</f>
        <v>1895.9372234211939</v>
      </c>
      <c r="L38" s="94"/>
      <c r="M38" s="94"/>
      <c r="N38" s="109">
        <f>N36/12</f>
        <v>3672.9263480766726</v>
      </c>
      <c r="O38" s="94"/>
      <c r="P38" s="94"/>
      <c r="Q38" s="109">
        <f>Q36/12</f>
        <v>5373.7646275590714</v>
      </c>
      <c r="R38" s="94"/>
      <c r="S38" s="87"/>
      <c r="T38" s="109">
        <f>T36/12</f>
        <v>6952.2051897760621</v>
      </c>
      <c r="U38" s="94"/>
      <c r="V38" s="87"/>
      <c r="W38" s="109">
        <f>W36/12</f>
        <v>8627.8005496906935</v>
      </c>
      <c r="X38" s="94"/>
      <c r="Y38" s="87"/>
      <c r="Z38" s="118">
        <f>Z36/12</f>
        <v>10302.928285818107</v>
      </c>
      <c r="AA38" s="94"/>
      <c r="AB38" s="87"/>
      <c r="AC38" s="109">
        <f>AC36/12</f>
        <v>12301.389933454955</v>
      </c>
      <c r="AD38" s="94"/>
      <c r="AE38" s="87"/>
      <c r="AF38" s="109">
        <f>AF36/12</f>
        <v>13339.720475875949</v>
      </c>
      <c r="AG38" s="94"/>
      <c r="AH38" s="87"/>
      <c r="AI38" s="109">
        <f>AI36/12</f>
        <v>12892.716080807848</v>
      </c>
      <c r="AJ38" s="94"/>
      <c r="AK38" s="87"/>
      <c r="AL38" s="109">
        <f>AL36/12</f>
        <v>12472.632917935756</v>
      </c>
      <c r="AM38" s="148"/>
    </row>
    <row r="39" spans="1:39" x14ac:dyDescent="0.25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94"/>
      <c r="O39" s="94"/>
      <c r="P39" s="94"/>
      <c r="Q39" s="119"/>
      <c r="R39" s="94"/>
      <c r="S39" s="87"/>
      <c r="T39" s="94"/>
      <c r="U39" s="94"/>
      <c r="V39" s="87"/>
      <c r="W39" s="87"/>
    </row>
    <row r="40" spans="1:39" ht="12.75" customHeight="1" x14ac:dyDescent="0.25">
      <c r="A40" s="172" t="s">
        <v>102</v>
      </c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Z40" s="148"/>
      <c r="AC40" s="148"/>
    </row>
    <row r="41" spans="1:39" ht="12.75" customHeight="1" x14ac:dyDescent="0.25">
      <c r="A41" s="120" t="s">
        <v>103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</row>
    <row r="42" spans="1:39" x14ac:dyDescent="0.25">
      <c r="A42" s="172" t="s">
        <v>104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</row>
    <row r="43" spans="1:39" x14ac:dyDescent="0.25">
      <c r="A43" s="173"/>
      <c r="B43" s="173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9"/>
      <c r="O43" s="89"/>
      <c r="P43" s="89"/>
      <c r="Q43" s="89"/>
      <c r="R43" s="87"/>
      <c r="S43" s="87"/>
      <c r="T43" s="87"/>
      <c r="U43" s="87"/>
      <c r="V43" s="87"/>
      <c r="W43" s="87"/>
    </row>
    <row r="44" spans="1:39" ht="16.5" thickBot="1" x14ac:dyDescent="0.3">
      <c r="A44" s="122" t="s">
        <v>68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9"/>
      <c r="O44" s="89"/>
      <c r="P44" s="89"/>
      <c r="Q44" s="89"/>
      <c r="R44" s="87"/>
      <c r="S44" s="87"/>
      <c r="T44" s="87"/>
      <c r="U44" s="87"/>
      <c r="V44" s="87"/>
      <c r="W44" s="87"/>
    </row>
    <row r="45" spans="1:39" ht="15.75" thickBot="1" x14ac:dyDescent="0.3">
      <c r="A45" s="123"/>
      <c r="B45" s="87"/>
      <c r="C45" s="87"/>
      <c r="D45" s="170">
        <v>2010</v>
      </c>
      <c r="E45" s="171"/>
      <c r="F45" s="87"/>
      <c r="G45" s="170">
        <v>2011</v>
      </c>
      <c r="H45" s="171"/>
      <c r="I45" s="87"/>
      <c r="J45" s="170">
        <v>2012</v>
      </c>
      <c r="K45" s="171"/>
      <c r="L45" s="87"/>
      <c r="M45" s="170">
        <v>2013</v>
      </c>
      <c r="N45" s="171"/>
      <c r="O45" s="87"/>
      <c r="P45" s="170">
        <v>2014</v>
      </c>
      <c r="Q45" s="171"/>
      <c r="R45" s="87"/>
      <c r="S45" s="170">
        <v>2015</v>
      </c>
      <c r="T45" s="171"/>
      <c r="U45" s="87"/>
      <c r="V45" s="170">
        <f>S45+1</f>
        <v>2016</v>
      </c>
      <c r="W45" s="171"/>
      <c r="Y45" s="170">
        <f>V45+1</f>
        <v>2017</v>
      </c>
      <c r="Z45" s="171"/>
      <c r="AB45" s="170">
        <f>Y45+1</f>
        <v>2018</v>
      </c>
      <c r="AC45" s="171"/>
      <c r="AE45" s="170">
        <f>AB45+1</f>
        <v>2019</v>
      </c>
      <c r="AF45" s="171"/>
      <c r="AH45" s="170">
        <f>AE45+1</f>
        <v>2020</v>
      </c>
      <c r="AI45" s="171"/>
      <c r="AK45" s="170">
        <f>AH45+1</f>
        <v>2021</v>
      </c>
      <c r="AL45" s="171"/>
    </row>
    <row r="46" spans="1:39" x14ac:dyDescent="0.25">
      <c r="A46" s="124" t="s">
        <v>105</v>
      </c>
      <c r="B46" s="87"/>
      <c r="C46" s="87"/>
      <c r="D46" s="80" t="s">
        <v>93</v>
      </c>
      <c r="E46" s="88" t="s">
        <v>94</v>
      </c>
      <c r="F46" s="87"/>
      <c r="G46" s="80" t="s">
        <v>93</v>
      </c>
      <c r="H46" s="88" t="s">
        <v>94</v>
      </c>
      <c r="I46" s="87"/>
      <c r="J46" s="80" t="s">
        <v>93</v>
      </c>
      <c r="K46" s="88" t="s">
        <v>94</v>
      </c>
      <c r="L46" s="87"/>
      <c r="M46" s="80" t="s">
        <v>93</v>
      </c>
      <c r="N46" s="88" t="s">
        <v>94</v>
      </c>
      <c r="O46" s="87"/>
      <c r="P46" s="80" t="s">
        <v>93</v>
      </c>
      <c r="Q46" s="88" t="s">
        <v>94</v>
      </c>
      <c r="R46" s="87"/>
      <c r="S46" s="80" t="s">
        <v>93</v>
      </c>
      <c r="T46" s="88" t="s">
        <v>94</v>
      </c>
      <c r="U46" s="87"/>
      <c r="V46" s="80" t="s">
        <v>93</v>
      </c>
      <c r="W46" s="88" t="s">
        <v>94</v>
      </c>
      <c r="Y46" s="80" t="s">
        <v>93</v>
      </c>
      <c r="Z46" s="88" t="s">
        <v>94</v>
      </c>
      <c r="AB46" s="80" t="s">
        <v>93</v>
      </c>
      <c r="AC46" s="88" t="s">
        <v>94</v>
      </c>
      <c r="AE46" s="80" t="s">
        <v>93</v>
      </c>
      <c r="AF46" s="88" t="s">
        <v>94</v>
      </c>
      <c r="AH46" s="80" t="s">
        <v>93</v>
      </c>
      <c r="AI46" s="88" t="s">
        <v>94</v>
      </c>
      <c r="AK46" s="80" t="s">
        <v>93</v>
      </c>
      <c r="AL46" s="88" t="s">
        <v>94</v>
      </c>
    </row>
    <row r="47" spans="1:39" x14ac:dyDescent="0.25">
      <c r="A47" s="125"/>
      <c r="B47" s="87"/>
      <c r="C47" s="87"/>
      <c r="D47" s="80"/>
      <c r="E47" s="88"/>
      <c r="F47" s="90"/>
      <c r="G47" s="80"/>
      <c r="H47" s="88"/>
      <c r="I47" s="90"/>
      <c r="J47" s="80"/>
      <c r="K47" s="88"/>
      <c r="L47" s="90"/>
      <c r="M47" s="80"/>
      <c r="N47" s="88"/>
      <c r="O47" s="90"/>
      <c r="P47" s="80"/>
      <c r="Q47" s="88"/>
      <c r="R47" s="90"/>
      <c r="S47" s="80"/>
      <c r="T47" s="88"/>
      <c r="U47" s="90"/>
      <c r="V47" s="80"/>
      <c r="W47" s="88"/>
      <c r="Y47" s="80"/>
      <c r="Z47" s="88"/>
      <c r="AB47" s="80"/>
      <c r="AC47" s="88"/>
      <c r="AE47" s="80"/>
      <c r="AF47" s="88"/>
      <c r="AH47" s="80"/>
      <c r="AI47" s="88"/>
      <c r="AK47" s="80"/>
      <c r="AL47" s="88"/>
    </row>
    <row r="48" spans="1:39" x14ac:dyDescent="0.25">
      <c r="A48" s="123" t="s">
        <v>106</v>
      </c>
      <c r="B48" s="87"/>
      <c r="C48" s="87"/>
      <c r="D48" s="95">
        <f>D26</f>
        <v>22.851048000000002</v>
      </c>
      <c r="E48" s="126">
        <f>E26</f>
        <v>357.99975199999994</v>
      </c>
      <c r="F48" s="95"/>
      <c r="G48" s="95">
        <f>G26</f>
        <v>131.92315199999999</v>
      </c>
      <c r="H48" s="126">
        <f>H26</f>
        <v>2066.7960479999997</v>
      </c>
      <c r="I48" s="95"/>
      <c r="J48" s="95">
        <f>J26</f>
        <v>377.88146639999997</v>
      </c>
      <c r="K48" s="126">
        <f>K26</f>
        <v>5920.1429736</v>
      </c>
      <c r="L48" s="95"/>
      <c r="M48" s="95">
        <f>M26</f>
        <v>827.20447440000009</v>
      </c>
      <c r="N48" s="126">
        <f>N26</f>
        <v>11161.499125600001</v>
      </c>
      <c r="O48" s="95"/>
      <c r="P48" s="95">
        <f>P26</f>
        <v>1091.5055058</v>
      </c>
      <c r="Q48" s="126">
        <f>Q26</f>
        <v>15329.488040000002</v>
      </c>
      <c r="R48" s="95"/>
      <c r="S48" s="95">
        <f>S26</f>
        <v>1444.5573011220008</v>
      </c>
      <c r="T48" s="126">
        <f>T26</f>
        <v>19336.385708924008</v>
      </c>
      <c r="U48" s="95"/>
      <c r="V48" s="95">
        <f>V26</f>
        <v>1782.9054745980009</v>
      </c>
      <c r="W48" s="126">
        <f>W26</f>
        <v>23546.64882182801</v>
      </c>
      <c r="Y48" s="95">
        <f>Y26</f>
        <v>2002.7470757700003</v>
      </c>
      <c r="Z48" s="126">
        <f>Z26</f>
        <v>27508.661192396008</v>
      </c>
      <c r="AB48" s="95">
        <f>AB26</f>
        <v>2335.9385707380006</v>
      </c>
      <c r="AC48" s="126">
        <f>AC26</f>
        <v>31833.317105220001</v>
      </c>
      <c r="AE48" s="95">
        <f>AE26</f>
        <v>2091.3732769080007</v>
      </c>
      <c r="AF48" s="126">
        <f>AF26</f>
        <v>32764.851026804008</v>
      </c>
      <c r="AH48" s="95">
        <f>AH26</f>
        <v>1903.676118024001</v>
      </c>
      <c r="AI48" s="126">
        <f>AI26</f>
        <v>29824.259182376012</v>
      </c>
      <c r="AK48" s="95">
        <f>AK26</f>
        <v>1709.2456141200005</v>
      </c>
      <c r="AL48" s="126">
        <f>AL26</f>
        <v>26778.181287880012</v>
      </c>
    </row>
    <row r="49" spans="1:38" x14ac:dyDescent="0.25">
      <c r="A49" s="123" t="s">
        <v>107</v>
      </c>
      <c r="B49" s="87"/>
      <c r="C49" s="87"/>
      <c r="D49" s="94">
        <f>D30</f>
        <v>45.96</v>
      </c>
      <c r="E49" s="94">
        <f>E30</f>
        <v>720.04</v>
      </c>
      <c r="F49" s="94"/>
      <c r="G49" s="94">
        <f>G30</f>
        <v>268.56</v>
      </c>
      <c r="H49" s="94">
        <f>H30</f>
        <v>4207.4399999999996</v>
      </c>
      <c r="I49" s="94"/>
      <c r="J49" s="94">
        <f>J30</f>
        <v>781.92</v>
      </c>
      <c r="K49" s="94">
        <f>K30</f>
        <v>12250.08</v>
      </c>
      <c r="L49" s="94"/>
      <c r="M49" s="94">
        <f>M30</f>
        <v>1451.1599999999999</v>
      </c>
      <c r="N49" s="94">
        <f>N30</f>
        <v>22734.84</v>
      </c>
      <c r="O49" s="94"/>
      <c r="P49" s="94">
        <f>P30</f>
        <v>2064.84</v>
      </c>
      <c r="Q49" s="94">
        <f>Q30</f>
        <v>32349.16</v>
      </c>
      <c r="R49" s="94"/>
      <c r="S49" s="94">
        <f>S30</f>
        <v>2701.0745999999995</v>
      </c>
      <c r="T49" s="94">
        <f>T30</f>
        <v>42316.835399999996</v>
      </c>
      <c r="U49" s="94"/>
      <c r="V49" s="94">
        <f>V30</f>
        <v>3406.2185999999997</v>
      </c>
      <c r="W49" s="94">
        <f>W30</f>
        <v>53364.091399999998</v>
      </c>
      <c r="Y49" s="94">
        <f>Y30</f>
        <v>4129.4003999999995</v>
      </c>
      <c r="Z49" s="94">
        <f>Z30</f>
        <v>64693.939599999991</v>
      </c>
      <c r="AB49" s="94">
        <f>AB30</f>
        <v>4947.1481999999978</v>
      </c>
      <c r="AC49" s="94">
        <f>AC30</f>
        <v>77505.321799999976</v>
      </c>
      <c r="AE49" s="94">
        <f>AE30</f>
        <v>5437.0193999999992</v>
      </c>
      <c r="AF49" s="94">
        <f>AF30</f>
        <v>85179.970599999986</v>
      </c>
      <c r="AH49" s="94">
        <f>AH30</f>
        <v>5443.1831999999986</v>
      </c>
      <c r="AI49" s="94">
        <f>AI30</f>
        <v>85276.536799999987</v>
      </c>
      <c r="AK49" s="94">
        <f>AK30</f>
        <v>5443.1831999999986</v>
      </c>
      <c r="AL49" s="94">
        <f>AL30</f>
        <v>85276.536799999987</v>
      </c>
    </row>
    <row r="50" spans="1:38" x14ac:dyDescent="0.25">
      <c r="A50" s="123" t="s">
        <v>108</v>
      </c>
      <c r="B50" s="87"/>
      <c r="C50" s="87"/>
      <c r="D50" s="94">
        <f>-D87*D$12</f>
        <v>-147.11176799999998</v>
      </c>
      <c r="E50" s="94">
        <f>-D87*E$12</f>
        <v>-2304.7510319999997</v>
      </c>
      <c r="F50" s="94"/>
      <c r="G50" s="94">
        <f>-E87*G12</f>
        <v>-756.24586655999985</v>
      </c>
      <c r="H50" s="94">
        <f>-E87*H$12</f>
        <v>-11847.851909439998</v>
      </c>
      <c r="I50" s="94"/>
      <c r="J50" s="94">
        <f>-F87*J$12</f>
        <v>-1506.0869012352</v>
      </c>
      <c r="K50" s="94">
        <f>-F87*K$12</f>
        <v>-23595.3614526848</v>
      </c>
      <c r="L50" s="94"/>
      <c r="M50" s="94">
        <f>-G87*M$12</f>
        <v>-1984.4167971363838</v>
      </c>
      <c r="N50" s="94">
        <f>-G87*N$12</f>
        <v>-31089.196488470014</v>
      </c>
      <c r="O50" s="94"/>
      <c r="P50" s="94">
        <f>-H87*P$12</f>
        <v>-2296.7908693654731</v>
      </c>
      <c r="Q50" s="94">
        <f>-H87*Q$12</f>
        <v>-35983.056953392414</v>
      </c>
      <c r="R50" s="94"/>
      <c r="S50" s="94">
        <f>-I87*S$12</f>
        <v>-2892.0805198162352</v>
      </c>
      <c r="T50" s="94">
        <f>-I87*T$12</f>
        <v>-45309.261477121021</v>
      </c>
      <c r="U50" s="94"/>
      <c r="V50" s="94">
        <f>-J87*V$12</f>
        <v>-3619.5580222309363</v>
      </c>
      <c r="W50" s="94">
        <f>-J87*W$12</f>
        <v>-56706.409014951336</v>
      </c>
      <c r="Y50" s="94">
        <f>-K87*Y$12</f>
        <v>-4320.2058764524609</v>
      </c>
      <c r="Z50" s="94">
        <f>-K87*Z$12</f>
        <v>-67683.225397755217</v>
      </c>
      <c r="AB50" s="94">
        <f>-L87*AB$12</f>
        <v>-4830.8765263362639</v>
      </c>
      <c r="AC50" s="94">
        <f>-L87*AC$12</f>
        <v>-75683.732245934792</v>
      </c>
      <c r="AE50" s="94">
        <f>-M87*AE$12</f>
        <v>-4833.3856122293619</v>
      </c>
      <c r="AF50" s="94">
        <f>-M87*AF$12</f>
        <v>-75723.041258259997</v>
      </c>
      <c r="AH50" s="94">
        <f>-N87*AH$12</f>
        <v>-4670.4388272510105</v>
      </c>
      <c r="AI50" s="94">
        <f>-N87*AI$12</f>
        <v>-73170.208293599164</v>
      </c>
      <c r="AK50" s="94">
        <f>-O87*AK$12</f>
        <v>-4386.2942250709293</v>
      </c>
      <c r="AL50" s="94">
        <f>-O87*AL$12</f>
        <v>-68718.60952611122</v>
      </c>
    </row>
    <row r="51" spans="1:38" x14ac:dyDescent="0.25">
      <c r="A51" s="125" t="s">
        <v>109</v>
      </c>
      <c r="B51" s="87"/>
      <c r="C51" s="87"/>
      <c r="D51" s="127">
        <f>SUM(D48:D50)</f>
        <v>-78.300719999999984</v>
      </c>
      <c r="E51" s="127">
        <f>SUM(E48:E50)</f>
        <v>-1226.7112799999998</v>
      </c>
      <c r="F51" s="94"/>
      <c r="G51" s="127">
        <f>SUM(G48:G50)</f>
        <v>-355.76271455999984</v>
      </c>
      <c r="H51" s="127">
        <f>SUM(H48:H50)</f>
        <v>-5573.6158614399992</v>
      </c>
      <c r="I51" s="94"/>
      <c r="J51" s="127">
        <f>SUM(J48:J50)</f>
        <v>-346.28543483520002</v>
      </c>
      <c r="K51" s="127">
        <f>SUM(K48:K50)</f>
        <v>-5425.1384790847987</v>
      </c>
      <c r="L51" s="94"/>
      <c r="M51" s="127">
        <f>SUM(M48:M50)</f>
        <v>293.94767726361601</v>
      </c>
      <c r="N51" s="127">
        <f>SUM(N48:N50)</f>
        <v>2807.1426371299895</v>
      </c>
      <c r="O51" s="94"/>
      <c r="P51" s="127">
        <f>SUM(P48:P50)</f>
        <v>859.55463643452686</v>
      </c>
      <c r="Q51" s="127">
        <f>SUM(Q48:Q50)</f>
        <v>11695.591086607586</v>
      </c>
      <c r="R51" s="94"/>
      <c r="S51" s="127">
        <f>SUM(S48:S50)</f>
        <v>1253.5513813057651</v>
      </c>
      <c r="T51" s="127">
        <f>SUM(T48:T50)</f>
        <v>16343.95963180298</v>
      </c>
      <c r="U51" s="94"/>
      <c r="V51" s="127">
        <f>SUM(V48:V50)</f>
        <v>1569.566052367064</v>
      </c>
      <c r="W51" s="127">
        <f>SUM(W48:W50)</f>
        <v>20204.331206876668</v>
      </c>
      <c r="Y51" s="127">
        <f>SUM(Y48:Y50)</f>
        <v>1811.9415993175389</v>
      </c>
      <c r="Z51" s="127">
        <f>SUM(Z48:Z50)</f>
        <v>24519.375394640781</v>
      </c>
      <c r="AB51" s="127">
        <f>SUM(AB48:AB50)</f>
        <v>2452.2102444017346</v>
      </c>
      <c r="AC51" s="127">
        <f>SUM(AC48:AC50)</f>
        <v>33654.906659285189</v>
      </c>
      <c r="AE51" s="127">
        <f>SUM(AE48:AE50)</f>
        <v>2695.007064678638</v>
      </c>
      <c r="AF51" s="127">
        <f>SUM(AF48:AF50)</f>
        <v>42221.780368544001</v>
      </c>
      <c r="AH51" s="127">
        <f>SUM(AH48:AH50)</f>
        <v>2676.4204907729891</v>
      </c>
      <c r="AI51" s="127">
        <f>SUM(AI48:AI50)</f>
        <v>41930.587688776839</v>
      </c>
      <c r="AK51" s="127">
        <f>SUM(AK48:AK50)</f>
        <v>2766.1345890490702</v>
      </c>
      <c r="AL51" s="127">
        <f>SUM(AL48:AL50)</f>
        <v>43336.108561768779</v>
      </c>
    </row>
    <row r="52" spans="1:38" x14ac:dyDescent="0.25">
      <c r="A52" s="123"/>
      <c r="B52" s="87"/>
      <c r="C52" s="87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Y52" s="94"/>
      <c r="Z52" s="94"/>
      <c r="AB52" s="94"/>
      <c r="AC52" s="94"/>
      <c r="AE52" s="94"/>
      <c r="AF52" s="94"/>
      <c r="AH52" s="94"/>
      <c r="AI52" s="94"/>
      <c r="AK52" s="94"/>
      <c r="AL52" s="94"/>
    </row>
    <row r="53" spans="1:38" x14ac:dyDescent="0.25">
      <c r="A53" s="123" t="s">
        <v>110</v>
      </c>
      <c r="B53" s="89"/>
      <c r="C53" s="89"/>
      <c r="D53" s="128">
        <v>0.31</v>
      </c>
      <c r="E53" s="128">
        <v>0.31</v>
      </c>
      <c r="F53" s="129"/>
      <c r="G53" s="128">
        <v>0.28249999999999997</v>
      </c>
      <c r="H53" s="128">
        <v>0.28249999999999997</v>
      </c>
      <c r="I53" s="129"/>
      <c r="J53" s="128">
        <v>0.26500000000000001</v>
      </c>
      <c r="K53" s="128">
        <v>0.26500000000000001</v>
      </c>
      <c r="L53" s="129"/>
      <c r="M53" s="128">
        <v>0.26500000000000001</v>
      </c>
      <c r="N53" s="128">
        <v>0.26500000000000001</v>
      </c>
      <c r="O53" s="129"/>
      <c r="P53" s="128">
        <v>0.26500000000000001</v>
      </c>
      <c r="Q53" s="128">
        <v>0.26500000000000001</v>
      </c>
      <c r="R53" s="129"/>
      <c r="S53" s="128">
        <v>0.26500000000000001</v>
      </c>
      <c r="T53" s="128">
        <v>0.26500000000000001</v>
      </c>
      <c r="U53" s="129"/>
      <c r="V53" s="128">
        <v>0.26500000000000001</v>
      </c>
      <c r="W53" s="128">
        <v>0.26500000000000001</v>
      </c>
      <c r="Y53" s="128">
        <v>0.26500000000000001</v>
      </c>
      <c r="Z53" s="128">
        <v>0.26500000000000001</v>
      </c>
      <c r="AB53" s="128">
        <v>0.26500000000000001</v>
      </c>
      <c r="AC53" s="128">
        <v>0.26500000000000001</v>
      </c>
      <c r="AE53" s="128">
        <v>0.26500000000000001</v>
      </c>
      <c r="AF53" s="128">
        <v>0.26500000000000001</v>
      </c>
      <c r="AH53" s="128">
        <v>0.26500000000000001</v>
      </c>
      <c r="AI53" s="128">
        <v>0.26500000000000001</v>
      </c>
      <c r="AK53" s="128">
        <v>0.26500000000000001</v>
      </c>
      <c r="AL53" s="128">
        <v>0.26500000000000001</v>
      </c>
    </row>
    <row r="54" spans="1:38" x14ac:dyDescent="0.25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Y54" s="87"/>
      <c r="Z54" s="87"/>
      <c r="AB54" s="87"/>
      <c r="AC54" s="87"/>
      <c r="AE54" s="87"/>
      <c r="AF54" s="87"/>
      <c r="AH54" s="87"/>
      <c r="AI54" s="87"/>
      <c r="AK54" s="87"/>
      <c r="AL54" s="87"/>
    </row>
    <row r="55" spans="1:38" x14ac:dyDescent="0.25">
      <c r="A55" s="123" t="s">
        <v>74</v>
      </c>
      <c r="B55" s="87"/>
      <c r="C55" s="87"/>
      <c r="D55" s="130">
        <f>D51*D53</f>
        <v>-24.273223199999993</v>
      </c>
      <c r="E55" s="130">
        <f>E51*E53</f>
        <v>-380.28049679999992</v>
      </c>
      <c r="F55" s="94"/>
      <c r="G55" s="130">
        <f>G51*G53</f>
        <v>-100.50296686319994</v>
      </c>
      <c r="H55" s="130">
        <f>H51*H53</f>
        <v>-1574.5464808567997</v>
      </c>
      <c r="I55" s="94"/>
      <c r="J55" s="130">
        <f>J51*J53</f>
        <v>-91.765640231328007</v>
      </c>
      <c r="K55" s="130">
        <f>K51*K53</f>
        <v>-1437.6616969574718</v>
      </c>
      <c r="L55" s="94"/>
      <c r="M55" s="130">
        <f>M51*M53</f>
        <v>77.896134474858243</v>
      </c>
      <c r="N55" s="130">
        <f>N51*N53</f>
        <v>743.89279883944721</v>
      </c>
      <c r="O55" s="94"/>
      <c r="P55" s="130">
        <f>P51*P53</f>
        <v>227.78197865514963</v>
      </c>
      <c r="Q55" s="130">
        <f>Q51*Q53</f>
        <v>3099.3316379510106</v>
      </c>
      <c r="R55" s="94"/>
      <c r="S55" s="130">
        <f>S51*S53</f>
        <v>332.19111604602773</v>
      </c>
      <c r="T55" s="130">
        <f>T51*T53</f>
        <v>4331.1493024277897</v>
      </c>
      <c r="U55" s="94"/>
      <c r="V55" s="130">
        <f>V51*V53</f>
        <v>415.93500387727198</v>
      </c>
      <c r="W55" s="130">
        <f>W51*W53</f>
        <v>5354.1477698223171</v>
      </c>
      <c r="Y55" s="130">
        <f>Y51*Y53</f>
        <v>480.16452381914786</v>
      </c>
      <c r="Z55" s="130">
        <f>Z51*Z53</f>
        <v>6497.6344795798077</v>
      </c>
      <c r="AB55" s="130">
        <f>AB51*AB53</f>
        <v>649.83571476645966</v>
      </c>
      <c r="AC55" s="130">
        <f>AC51*AC53</f>
        <v>8918.550264710575</v>
      </c>
      <c r="AE55" s="130">
        <f>AE51*AE53</f>
        <v>714.17687213983913</v>
      </c>
      <c r="AF55" s="130">
        <f>AF51*AF53</f>
        <v>11188.771797664162</v>
      </c>
      <c r="AH55" s="130">
        <f>AH51*AH53</f>
        <v>709.2514300548421</v>
      </c>
      <c r="AI55" s="130">
        <f>AI51*AI53</f>
        <v>11111.605737525862</v>
      </c>
      <c r="AK55" s="130">
        <f>AK51*AK53</f>
        <v>733.02566609800363</v>
      </c>
      <c r="AL55" s="130">
        <f>AL51*AL53</f>
        <v>11484.068768868727</v>
      </c>
    </row>
    <row r="56" spans="1:38" x14ac:dyDescent="0.25">
      <c r="A56" s="131" t="s">
        <v>75</v>
      </c>
      <c r="B56" s="87"/>
      <c r="C56" s="87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Y56" s="123"/>
      <c r="Z56" s="123"/>
      <c r="AB56" s="123"/>
      <c r="AC56" s="123"/>
      <c r="AE56" s="123"/>
      <c r="AF56" s="123"/>
      <c r="AH56" s="123"/>
      <c r="AI56" s="123"/>
      <c r="AK56" s="123"/>
      <c r="AL56" s="123"/>
    </row>
    <row r="57" spans="1:38" x14ac:dyDescent="0.25">
      <c r="A57" s="123" t="s">
        <v>74</v>
      </c>
      <c r="B57" s="87"/>
      <c r="C57" s="87"/>
      <c r="D57" s="105">
        <f>D55/(1-D53)</f>
        <v>-35.178584347826082</v>
      </c>
      <c r="E57" s="105">
        <f>E55/(1-E53)</f>
        <v>-551.13115478260863</v>
      </c>
      <c r="F57" s="105"/>
      <c r="G57" s="105">
        <f>G55/(1-G53)</f>
        <v>-140.07382141212534</v>
      </c>
      <c r="H57" s="105">
        <f>H55/(1-H53)</f>
        <v>-2194.4898687899645</v>
      </c>
      <c r="I57" s="105"/>
      <c r="J57" s="105">
        <f>J55/(1-J53)</f>
        <v>-124.85121119908572</v>
      </c>
      <c r="K57" s="105">
        <f>K55/(1-K53)</f>
        <v>-1956.002308785676</v>
      </c>
      <c r="L57" s="105"/>
      <c r="M57" s="105">
        <f>M55/(1-M53)</f>
        <v>105.98113533994319</v>
      </c>
      <c r="N57" s="105">
        <f>N55/(1-N53)</f>
        <v>1012.0990460400642</v>
      </c>
      <c r="O57" s="105"/>
      <c r="P57" s="105">
        <f>P55/(1-P53)</f>
        <v>309.90745395258455</v>
      </c>
      <c r="Q57" s="105">
        <f>Q55/(1-Q53)</f>
        <v>4216.7777387088581</v>
      </c>
      <c r="R57" s="105"/>
      <c r="S57" s="105">
        <f>S55/(1-S53)</f>
        <v>451.96070210343908</v>
      </c>
      <c r="T57" s="105">
        <f>T55/(1-T53)</f>
        <v>5892.7201393575369</v>
      </c>
      <c r="U57" s="105"/>
      <c r="V57" s="105">
        <f>V55/(1-V53)</f>
        <v>565.8979644588735</v>
      </c>
      <c r="W57" s="105">
        <f>W55/(1-W53)</f>
        <v>7284.5547888739011</v>
      </c>
      <c r="Y57" s="105">
        <f>Y55/(1-Y53)</f>
        <v>653.28506642060938</v>
      </c>
      <c r="Z57" s="105">
        <f>Z55/(1-Z53)</f>
        <v>8840.3190198364737</v>
      </c>
      <c r="AB57" s="105">
        <f>AB55/(1-AB53)</f>
        <v>884.130224172054</v>
      </c>
      <c r="AC57" s="105">
        <f>AC55/(1-AC53)</f>
        <v>12134.081992803503</v>
      </c>
      <c r="AE57" s="105">
        <f>AE55/(1-AE53)</f>
        <v>971.66921379569953</v>
      </c>
      <c r="AF57" s="105">
        <f>AF55/(1-AF53)</f>
        <v>15222.818772332193</v>
      </c>
      <c r="AH57" s="105">
        <f>AH55/(1-AH53)</f>
        <v>964.96793204740425</v>
      </c>
      <c r="AI57" s="105">
        <f>AI55/(1-AI53)</f>
        <v>15117.830935409336</v>
      </c>
      <c r="AK57" s="105">
        <f>AK55/(1-AK53)</f>
        <v>997.31383142585526</v>
      </c>
      <c r="AL57" s="105">
        <f>AL55/(1-AL53)</f>
        <v>15624.58335900507</v>
      </c>
    </row>
    <row r="58" spans="1:38" s="179" customFormat="1" x14ac:dyDescent="0.25">
      <c r="A58" s="125" t="s">
        <v>80</v>
      </c>
      <c r="B58" s="160"/>
      <c r="C58" s="160"/>
      <c r="D58" s="177">
        <f>SUM(D57:D57)</f>
        <v>-35.178584347826082</v>
      </c>
      <c r="E58" s="177">
        <f>SUM(E57:E57)</f>
        <v>-551.13115478260863</v>
      </c>
      <c r="F58" s="178"/>
      <c r="G58" s="177">
        <f>SUM(G57:G57)</f>
        <v>-140.07382141212534</v>
      </c>
      <c r="H58" s="177">
        <f>SUM(H57:H57)</f>
        <v>-2194.4898687899645</v>
      </c>
      <c r="I58" s="178"/>
      <c r="J58" s="177">
        <f>SUM(J57:J57)</f>
        <v>-124.85121119908572</v>
      </c>
      <c r="K58" s="177">
        <f>SUM(K57:K57)</f>
        <v>-1956.002308785676</v>
      </c>
      <c r="L58" s="178"/>
      <c r="M58" s="177">
        <f>SUM(M57:M57)</f>
        <v>105.98113533994319</v>
      </c>
      <c r="N58" s="177">
        <f>SUM(N57:N57)</f>
        <v>1012.0990460400642</v>
      </c>
      <c r="O58" s="178"/>
      <c r="P58" s="177">
        <f>SUM(P57:P57)</f>
        <v>309.90745395258455</v>
      </c>
      <c r="Q58" s="177">
        <f>SUM(Q57:Q57)</f>
        <v>4216.7777387088581</v>
      </c>
      <c r="R58" s="178"/>
      <c r="S58" s="177">
        <f>SUM(S57:S57)</f>
        <v>451.96070210343908</v>
      </c>
      <c r="T58" s="177">
        <f>SUM(T57:T57)</f>
        <v>5892.7201393575369</v>
      </c>
      <c r="U58" s="178"/>
      <c r="V58" s="177">
        <f>SUM(V57:V57)</f>
        <v>565.8979644588735</v>
      </c>
      <c r="W58" s="177">
        <f>SUM(W57:W57)</f>
        <v>7284.5547888739011</v>
      </c>
      <c r="Y58" s="177">
        <f>SUM(Y57:Y57)</f>
        <v>653.28506642060938</v>
      </c>
      <c r="Z58" s="177">
        <f>SUM(Z57:Z57)</f>
        <v>8840.3190198364737</v>
      </c>
      <c r="AB58" s="177">
        <f>SUM(AB57:AB57)</f>
        <v>884.130224172054</v>
      </c>
      <c r="AC58" s="177">
        <f>SUM(AC57:AC57)</f>
        <v>12134.081992803503</v>
      </c>
      <c r="AE58" s="177">
        <f>SUM(AE57:AE57)</f>
        <v>971.66921379569953</v>
      </c>
      <c r="AF58" s="177">
        <f>SUM(AF57:AF57)</f>
        <v>15222.818772332193</v>
      </c>
      <c r="AH58" s="177">
        <f>SUM(AH57:AH57)</f>
        <v>964.96793204740425</v>
      </c>
      <c r="AI58" s="177">
        <f>SUM(AI57:AI57)</f>
        <v>15117.830935409336</v>
      </c>
      <c r="AK58" s="177">
        <f>SUM(AK57:AK57)</f>
        <v>997.31383142585526</v>
      </c>
      <c r="AL58" s="177">
        <f>SUM(AL57:AL57)</f>
        <v>15624.58335900507</v>
      </c>
    </row>
    <row r="59" spans="1:38" x14ac:dyDescent="0.25">
      <c r="A59" s="87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32"/>
      <c r="O59" s="132"/>
      <c r="P59" s="132"/>
      <c r="Q59" s="132"/>
      <c r="R59" s="87"/>
      <c r="S59" s="87"/>
      <c r="T59" s="87"/>
      <c r="U59" s="87"/>
      <c r="V59" s="87"/>
      <c r="W59" s="87"/>
    </row>
    <row r="60" spans="1:38" ht="15.75" thickBot="1" x14ac:dyDescent="0.3">
      <c r="A60" s="87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32"/>
      <c r="O60" s="132"/>
      <c r="P60" s="132"/>
      <c r="Q60" s="132"/>
      <c r="R60" s="87"/>
      <c r="S60" s="87"/>
      <c r="T60" s="87"/>
      <c r="U60" s="133"/>
      <c r="V60" s="133"/>
      <c r="W60" s="133"/>
    </row>
    <row r="61" spans="1:38" ht="15.75" thickBot="1" x14ac:dyDescent="0.3">
      <c r="A61" s="134"/>
      <c r="B61" s="134"/>
      <c r="C61" s="134"/>
      <c r="D61" s="135">
        <v>2010</v>
      </c>
      <c r="E61" s="135">
        <v>2011</v>
      </c>
      <c r="F61" s="135">
        <v>2012</v>
      </c>
      <c r="G61" s="135">
        <v>2013</v>
      </c>
      <c r="H61" s="135">
        <v>2014</v>
      </c>
      <c r="I61" s="136">
        <v>2015</v>
      </c>
      <c r="J61" s="136">
        <v>2016</v>
      </c>
      <c r="K61" s="136">
        <v>2017</v>
      </c>
      <c r="L61" s="136">
        <v>2018</v>
      </c>
      <c r="M61" s="136">
        <v>2019</v>
      </c>
      <c r="N61" s="136">
        <v>2020</v>
      </c>
      <c r="O61" s="136">
        <v>2021</v>
      </c>
      <c r="P61" s="133"/>
      <c r="Q61" s="133"/>
      <c r="R61" s="133"/>
      <c r="S61" s="133"/>
      <c r="T61" s="133"/>
      <c r="U61" s="133"/>
      <c r="V61" s="133"/>
      <c r="W61" s="133"/>
    </row>
    <row r="62" spans="1:38" x14ac:dyDescent="0.25">
      <c r="A62" s="137" t="s">
        <v>111</v>
      </c>
      <c r="B62" s="138"/>
      <c r="C62" s="138"/>
      <c r="D62" s="138"/>
      <c r="E62" s="138"/>
      <c r="F62" s="138"/>
      <c r="G62" s="95"/>
      <c r="H62" s="95"/>
      <c r="I62" s="95"/>
      <c r="J62" s="87"/>
      <c r="K62" s="87"/>
      <c r="L62" s="87"/>
      <c r="M62" s="87"/>
      <c r="N62" s="87"/>
      <c r="O62" s="87"/>
      <c r="P62" s="87"/>
      <c r="Q62" s="87"/>
      <c r="R62" s="133"/>
      <c r="S62" s="133"/>
      <c r="T62" s="133"/>
      <c r="U62" s="133"/>
      <c r="V62" s="133"/>
      <c r="W62" s="133"/>
    </row>
    <row r="63" spans="1:38" x14ac:dyDescent="0.25">
      <c r="A63" s="134"/>
      <c r="B63" s="139" t="s">
        <v>112</v>
      </c>
      <c r="C63" s="140">
        <v>15</v>
      </c>
      <c r="D63" s="139"/>
      <c r="E63" s="139"/>
      <c r="F63" s="139"/>
      <c r="H63" s="94"/>
      <c r="I63" s="94"/>
      <c r="J63" s="87"/>
      <c r="K63" s="87"/>
      <c r="L63" s="87"/>
      <c r="M63" s="87"/>
      <c r="N63" s="87"/>
      <c r="O63" s="87"/>
      <c r="P63" s="87"/>
      <c r="Q63" s="87"/>
      <c r="R63" s="133"/>
      <c r="S63" s="133"/>
      <c r="T63" s="133"/>
      <c r="U63" s="133"/>
      <c r="V63" s="133"/>
      <c r="W63" s="133"/>
    </row>
    <row r="64" spans="1:38" x14ac:dyDescent="0.25">
      <c r="A64" s="134" t="s">
        <v>113</v>
      </c>
      <c r="B64" s="134"/>
      <c r="C64" s="134"/>
      <c r="D64" s="127"/>
      <c r="E64" s="127">
        <v>60530.339999999807</v>
      </c>
      <c r="F64" s="127">
        <f t="shared" ref="F64:O64" si="13">E66</f>
        <v>257943.36999999976</v>
      </c>
      <c r="G64" s="127">
        <f t="shared" si="13"/>
        <v>398172.29999999976</v>
      </c>
      <c r="H64" s="127">
        <f t="shared" si="13"/>
        <v>507450.38999999978</v>
      </c>
      <c r="I64" s="127">
        <f t="shared" si="13"/>
        <v>594475.38999999978</v>
      </c>
      <c r="J64" s="127">
        <f t="shared" si="13"/>
        <v>832047.43999999983</v>
      </c>
      <c r="K64" s="127">
        <f t="shared" si="13"/>
        <v>993993.69999999984</v>
      </c>
      <c r="L64" s="127">
        <f t="shared" si="13"/>
        <v>1244635.9799999997</v>
      </c>
      <c r="M64" s="127">
        <f t="shared" si="13"/>
        <v>1350779.9999999998</v>
      </c>
      <c r="N64" s="127">
        <f>M66</f>
        <v>1406710.649999999</v>
      </c>
      <c r="O64" s="127">
        <f t="shared" si="13"/>
        <v>1443998.3599999989</v>
      </c>
      <c r="P64" s="87"/>
      <c r="Q64" s="87"/>
      <c r="R64" s="133"/>
      <c r="S64" s="133"/>
      <c r="T64" s="133"/>
      <c r="U64" s="133"/>
      <c r="V64" s="133"/>
      <c r="W64" s="133"/>
    </row>
    <row r="65" spans="1:23" x14ac:dyDescent="0.25">
      <c r="A65" s="134" t="s">
        <v>114</v>
      </c>
      <c r="B65" s="134"/>
      <c r="C65" s="134"/>
      <c r="D65" s="155">
        <f>'Avg NFA'!D8</f>
        <v>61296.569999999992</v>
      </c>
      <c r="E65" s="155">
        <f>'Avg NFA'!D17</f>
        <v>197413.02999999997</v>
      </c>
      <c r="F65" s="155">
        <f>'Avg NFA'!D27</f>
        <v>140228.93</v>
      </c>
      <c r="G65" s="155">
        <f>'Avg NFA'!D37</f>
        <v>109278.09</v>
      </c>
      <c r="H65" s="155">
        <f>'Avg NFA'!D47</f>
        <v>87025</v>
      </c>
      <c r="I65" s="155">
        <f>'Avg NFA'!D57</f>
        <v>237572.05000000005</v>
      </c>
      <c r="J65" s="155">
        <f>'Avg NFA'!D67</f>
        <v>161946.25999999998</v>
      </c>
      <c r="K65" s="155">
        <f>'Avg NFA'!D77</f>
        <v>250642.28</v>
      </c>
      <c r="L65" s="155">
        <f>'Avg NFA'!D87</f>
        <v>106144.02000000002</v>
      </c>
      <c r="M65" s="155">
        <f>'Avg NFA'!D98</f>
        <v>55930.649999999259</v>
      </c>
      <c r="N65" s="155">
        <f>'Avg NFA'!D109</f>
        <v>37287.710000000006</v>
      </c>
      <c r="O65" s="155">
        <f>'Avg NFA'!D120</f>
        <v>0</v>
      </c>
      <c r="P65" s="87"/>
      <c r="Q65" s="141"/>
      <c r="R65" s="133"/>
      <c r="S65" s="133"/>
      <c r="T65" s="133"/>
      <c r="U65" s="133"/>
      <c r="V65" s="133"/>
      <c r="W65" s="133"/>
    </row>
    <row r="66" spans="1:23" x14ac:dyDescent="0.25">
      <c r="A66" s="134" t="s">
        <v>115</v>
      </c>
      <c r="B66" s="134"/>
      <c r="C66" s="134"/>
      <c r="D66" s="127">
        <f t="shared" ref="D66:G66" si="14">SUM(D64:D65)</f>
        <v>61296.569999999992</v>
      </c>
      <c r="E66" s="127">
        <f t="shared" si="14"/>
        <v>257943.36999999976</v>
      </c>
      <c r="F66" s="127">
        <f t="shared" si="14"/>
        <v>398172.29999999976</v>
      </c>
      <c r="G66" s="127">
        <f t="shared" si="14"/>
        <v>507450.38999999978</v>
      </c>
      <c r="H66" s="127">
        <f>SUM(H64:H65)</f>
        <v>594475.38999999978</v>
      </c>
      <c r="I66" s="127">
        <f t="shared" ref="I66:O66" si="15">SUM(I64:I65)</f>
        <v>832047.43999999983</v>
      </c>
      <c r="J66" s="127">
        <f t="shared" si="15"/>
        <v>993993.69999999984</v>
      </c>
      <c r="K66" s="127">
        <f t="shared" si="15"/>
        <v>1244635.9799999997</v>
      </c>
      <c r="L66" s="127">
        <f t="shared" si="15"/>
        <v>1350779.9999999998</v>
      </c>
      <c r="M66" s="127">
        <f t="shared" si="15"/>
        <v>1406710.649999999</v>
      </c>
      <c r="N66" s="127">
        <f t="shared" si="15"/>
        <v>1443998.3599999989</v>
      </c>
      <c r="O66" s="127">
        <f t="shared" si="15"/>
        <v>1443998.3599999989</v>
      </c>
      <c r="P66" s="133"/>
      <c r="Q66" s="133"/>
      <c r="R66" s="133"/>
      <c r="S66" s="133"/>
      <c r="T66" s="133"/>
      <c r="U66" s="133"/>
      <c r="V66" s="133"/>
      <c r="W66" s="133"/>
    </row>
    <row r="67" spans="1:23" x14ac:dyDescent="0.25">
      <c r="A67" s="134"/>
      <c r="B67" s="134"/>
      <c r="C67" s="134"/>
      <c r="D67" s="94"/>
      <c r="E67" s="94"/>
      <c r="F67" s="94"/>
      <c r="G67" s="94"/>
      <c r="H67" s="94"/>
      <c r="I67" s="94"/>
      <c r="J67" s="87"/>
      <c r="K67" s="87"/>
      <c r="L67" s="87"/>
      <c r="M67" s="87"/>
      <c r="N67" s="87"/>
      <c r="O67" s="87"/>
      <c r="P67" s="133"/>
      <c r="Q67" s="133"/>
      <c r="R67" s="133"/>
      <c r="S67" s="133"/>
      <c r="T67" s="133"/>
      <c r="U67" s="133"/>
      <c r="V67" s="133"/>
      <c r="W67" s="133"/>
    </row>
    <row r="68" spans="1:23" x14ac:dyDescent="0.25">
      <c r="A68" s="134" t="s">
        <v>116</v>
      </c>
      <c r="B68" s="134"/>
      <c r="C68" s="134"/>
      <c r="D68" s="127"/>
      <c r="E68" s="127">
        <f>+D71</f>
        <v>2043.2189999999998</v>
      </c>
      <c r="F68" s="127">
        <f t="shared" ref="F68:O68" si="16">E71</f>
        <v>12659.009333333321</v>
      </c>
      <c r="G68" s="127">
        <f t="shared" si="16"/>
        <v>34529.53166666664</v>
      </c>
      <c r="H68" s="127">
        <f t="shared" si="16"/>
        <v>64716.954666666628</v>
      </c>
      <c r="I68" s="127">
        <f t="shared" si="16"/>
        <v>101447.81399999994</v>
      </c>
      <c r="J68" s="127">
        <f t="shared" si="16"/>
        <v>148998.57499999992</v>
      </c>
      <c r="K68" s="127">
        <f t="shared" si="16"/>
        <v>209866.61299999992</v>
      </c>
      <c r="L68" s="127">
        <f t="shared" si="16"/>
        <v>284487.60233333329</v>
      </c>
      <c r="M68" s="127">
        <f t="shared" si="16"/>
        <v>371001.46833333332</v>
      </c>
      <c r="N68" s="127">
        <f t="shared" si="16"/>
        <v>462917.8233333333</v>
      </c>
      <c r="O68" s="127">
        <f t="shared" si="16"/>
        <v>557941.45699999982</v>
      </c>
      <c r="P68" s="133"/>
      <c r="Q68" s="133"/>
      <c r="R68" s="133"/>
      <c r="S68" s="133"/>
      <c r="T68" s="133"/>
      <c r="U68" s="133"/>
      <c r="V68" s="133"/>
      <c r="W68" s="133"/>
    </row>
    <row r="69" spans="1:23" x14ac:dyDescent="0.25">
      <c r="A69" s="134" t="s">
        <v>117</v>
      </c>
      <c r="B69" s="134"/>
      <c r="C69" s="134"/>
      <c r="D69" s="94">
        <f t="shared" ref="D69:O69" si="17">IF(ISERROR(D64/$C$63), 0, D64/$C$63)</f>
        <v>0</v>
      </c>
      <c r="E69" s="94">
        <f>IF(ISERROR(E64/$C$63), 0, E64/$C$63)</f>
        <v>4035.355999999987</v>
      </c>
      <c r="F69" s="94">
        <f t="shared" si="17"/>
        <v>17196.224666666651</v>
      </c>
      <c r="G69" s="94">
        <f t="shared" si="17"/>
        <v>26544.819999999985</v>
      </c>
      <c r="H69" s="94">
        <f t="shared" si="17"/>
        <v>33830.025999999983</v>
      </c>
      <c r="I69" s="94">
        <f t="shared" si="17"/>
        <v>39631.692666666655</v>
      </c>
      <c r="J69" s="94">
        <f t="shared" si="17"/>
        <v>55469.82933333332</v>
      </c>
      <c r="K69" s="94">
        <f t="shared" si="17"/>
        <v>66266.246666666659</v>
      </c>
      <c r="L69" s="94">
        <f t="shared" si="17"/>
        <v>82975.731999999989</v>
      </c>
      <c r="M69" s="94">
        <f t="shared" si="17"/>
        <v>90051.999999999985</v>
      </c>
      <c r="N69" s="94">
        <f t="shared" si="17"/>
        <v>93780.709999999934</v>
      </c>
      <c r="O69" s="94">
        <f t="shared" si="17"/>
        <v>96266.557333333258</v>
      </c>
      <c r="P69" s="133"/>
      <c r="Q69" s="133"/>
      <c r="R69" s="133"/>
      <c r="S69" s="133"/>
      <c r="T69" s="133"/>
      <c r="U69" s="133"/>
      <c r="V69" s="133"/>
      <c r="W69" s="133"/>
    </row>
    <row r="70" spans="1:23" x14ac:dyDescent="0.25">
      <c r="A70" s="134" t="s">
        <v>118</v>
      </c>
      <c r="B70" s="87"/>
      <c r="C70" s="87"/>
      <c r="D70" s="94">
        <f>D65/$C$63/2</f>
        <v>2043.2189999999998</v>
      </c>
      <c r="E70" s="142">
        <f>E65/$C$63/2</f>
        <v>6580.4343333333327</v>
      </c>
      <c r="F70" s="94">
        <f t="shared" ref="F70:G70" si="18">F65/$C$63/2</f>
        <v>4674.2976666666664</v>
      </c>
      <c r="G70" s="94">
        <f t="shared" si="18"/>
        <v>3642.6030000000001</v>
      </c>
      <c r="H70" s="94">
        <f>H65/$C$63/2</f>
        <v>2900.8333333333335</v>
      </c>
      <c r="I70" s="94">
        <f>I65/C63/2</f>
        <v>7919.0683333333345</v>
      </c>
      <c r="J70" s="94">
        <f>J65/C63/2</f>
        <v>5398.2086666666664</v>
      </c>
      <c r="K70" s="94">
        <f>K65/$C$63/2</f>
        <v>8354.742666666667</v>
      </c>
      <c r="L70" s="94">
        <f t="shared" ref="L70:N70" si="19">L65/$C$63/2</f>
        <v>3538.1340000000005</v>
      </c>
      <c r="M70" s="94">
        <f t="shared" si="19"/>
        <v>1864.3549999999752</v>
      </c>
      <c r="N70" s="94">
        <f t="shared" si="19"/>
        <v>1242.9236666666668</v>
      </c>
      <c r="O70" s="94">
        <f>O65/$C$63/2</f>
        <v>0</v>
      </c>
      <c r="P70" s="133"/>
      <c r="Q70" s="133"/>
      <c r="R70" s="133"/>
      <c r="S70" s="133"/>
      <c r="T70" s="133"/>
      <c r="U70" s="133"/>
      <c r="V70" s="133"/>
      <c r="W70" s="133"/>
    </row>
    <row r="71" spans="1:23" x14ac:dyDescent="0.25">
      <c r="A71" s="134" t="s">
        <v>119</v>
      </c>
      <c r="B71" s="134"/>
      <c r="C71" s="134"/>
      <c r="D71" s="127">
        <f>SUM(D68+D69+D70)</f>
        <v>2043.2189999999998</v>
      </c>
      <c r="E71" s="127">
        <f>SUM(E68+E69+E70)</f>
        <v>12659.009333333321</v>
      </c>
      <c r="F71" s="127">
        <f>SUM(F68+F69+F70)</f>
        <v>34529.53166666664</v>
      </c>
      <c r="G71" s="127">
        <f>SUM(G68+G69+G70)</f>
        <v>64716.954666666628</v>
      </c>
      <c r="H71" s="127">
        <f>SUM(H68+H69+H70)</f>
        <v>101447.81399999994</v>
      </c>
      <c r="I71" s="127">
        <f t="shared" ref="I71:N71" si="20">SUM(I68:I70)</f>
        <v>148998.57499999992</v>
      </c>
      <c r="J71" s="127">
        <f t="shared" si="20"/>
        <v>209866.61299999992</v>
      </c>
      <c r="K71" s="127">
        <f t="shared" si="20"/>
        <v>284487.60233333329</v>
      </c>
      <c r="L71" s="127">
        <f t="shared" si="20"/>
        <v>371001.46833333332</v>
      </c>
      <c r="M71" s="127">
        <f t="shared" si="20"/>
        <v>462917.8233333333</v>
      </c>
      <c r="N71" s="127">
        <f t="shared" si="20"/>
        <v>557941.45699999982</v>
      </c>
      <c r="O71" s="127">
        <f t="shared" ref="O71" si="21">SUM(O68:O70)</f>
        <v>654208.01433333312</v>
      </c>
      <c r="P71" s="133"/>
      <c r="Q71" s="133"/>
      <c r="R71" s="133"/>
      <c r="S71" s="133"/>
      <c r="T71" s="133"/>
      <c r="U71" s="133"/>
      <c r="V71" s="133"/>
      <c r="W71" s="133"/>
    </row>
    <row r="72" spans="1:23" x14ac:dyDescent="0.25">
      <c r="A72" s="134"/>
      <c r="B72" s="134"/>
      <c r="C72" s="13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141"/>
      <c r="Q72" s="87"/>
      <c r="R72" s="133"/>
      <c r="S72" s="133"/>
      <c r="T72" s="133"/>
      <c r="U72" s="133"/>
      <c r="V72" s="133"/>
      <c r="W72" s="133"/>
    </row>
    <row r="73" spans="1:23" x14ac:dyDescent="0.25">
      <c r="A73" s="134" t="s">
        <v>120</v>
      </c>
      <c r="B73" s="134"/>
      <c r="C73" s="134"/>
      <c r="D73" s="94">
        <f t="shared" ref="D73:O73" si="22">D64-D68</f>
        <v>0</v>
      </c>
      <c r="E73" s="94">
        <f t="shared" si="22"/>
        <v>58487.12099999981</v>
      </c>
      <c r="F73" s="94">
        <f t="shared" si="22"/>
        <v>245284.36066666644</v>
      </c>
      <c r="G73" s="94">
        <f t="shared" si="22"/>
        <v>363642.76833333314</v>
      </c>
      <c r="H73" s="94">
        <f t="shared" si="22"/>
        <v>442733.43533333315</v>
      </c>
      <c r="I73" s="94">
        <f t="shared" si="22"/>
        <v>493027.57599999983</v>
      </c>
      <c r="J73" s="94">
        <f t="shared" si="22"/>
        <v>683048.86499999987</v>
      </c>
      <c r="K73" s="94">
        <f t="shared" si="22"/>
        <v>784127.08699999994</v>
      </c>
      <c r="L73" s="94">
        <f t="shared" si="22"/>
        <v>960148.37766666641</v>
      </c>
      <c r="M73" s="94">
        <f t="shared" si="22"/>
        <v>979778.5316666665</v>
      </c>
      <c r="N73" s="94">
        <f t="shared" si="22"/>
        <v>943792.82666666573</v>
      </c>
      <c r="O73" s="94">
        <f t="shared" si="22"/>
        <v>886056.90299999912</v>
      </c>
      <c r="P73" s="87"/>
      <c r="Q73" s="133"/>
      <c r="R73" s="133"/>
      <c r="S73" s="133"/>
      <c r="T73" s="133"/>
      <c r="U73" s="133"/>
      <c r="V73" s="133"/>
      <c r="W73" s="133"/>
    </row>
    <row r="74" spans="1:23" x14ac:dyDescent="0.25">
      <c r="A74" s="134" t="s">
        <v>121</v>
      </c>
      <c r="B74" s="134"/>
      <c r="C74" s="134"/>
      <c r="D74" s="127">
        <f t="shared" ref="D74:O74" si="23">D66-D71</f>
        <v>59253.350999999995</v>
      </c>
      <c r="E74" s="127">
        <f>E66-E71</f>
        <v>245284.36066666644</v>
      </c>
      <c r="F74" s="127">
        <f t="shared" si="23"/>
        <v>363642.76833333314</v>
      </c>
      <c r="G74" s="127">
        <f t="shared" si="23"/>
        <v>442733.43533333315</v>
      </c>
      <c r="H74" s="127">
        <f t="shared" si="23"/>
        <v>493027.57599999983</v>
      </c>
      <c r="I74" s="127">
        <f t="shared" si="23"/>
        <v>683048.86499999987</v>
      </c>
      <c r="J74" s="127">
        <f t="shared" si="23"/>
        <v>784127.08699999994</v>
      </c>
      <c r="K74" s="127">
        <f t="shared" si="23"/>
        <v>960148.37766666641</v>
      </c>
      <c r="L74" s="127">
        <f t="shared" si="23"/>
        <v>979778.5316666665</v>
      </c>
      <c r="M74" s="127">
        <f t="shared" si="23"/>
        <v>943792.82666666573</v>
      </c>
      <c r="N74" s="127">
        <f t="shared" si="23"/>
        <v>886056.90299999912</v>
      </c>
      <c r="O74" s="127">
        <f t="shared" si="23"/>
        <v>789790.34566666582</v>
      </c>
      <c r="P74" s="133"/>
      <c r="Q74" s="133"/>
      <c r="R74" s="133"/>
      <c r="S74" s="133"/>
      <c r="T74" s="133"/>
      <c r="U74" s="133"/>
      <c r="V74" s="133"/>
      <c r="W74" s="133"/>
    </row>
    <row r="75" spans="1:23" ht="15.75" thickBot="1" x14ac:dyDescent="0.3">
      <c r="A75" s="138" t="s">
        <v>122</v>
      </c>
      <c r="B75" s="134"/>
      <c r="C75" s="134"/>
      <c r="D75" s="143">
        <f t="shared" ref="D75:G75" si="24">SUM(D73:D74)/2</f>
        <v>29626.675499999998</v>
      </c>
      <c r="E75" s="143">
        <f t="shared" si="24"/>
        <v>151885.74083333311</v>
      </c>
      <c r="F75" s="143">
        <f t="shared" si="24"/>
        <v>304463.5644999998</v>
      </c>
      <c r="G75" s="143">
        <f t="shared" si="24"/>
        <v>403188.10183333314</v>
      </c>
      <c r="H75" s="143">
        <f t="shared" ref="H75:N75" si="25">SUM(H73:H74)/2</f>
        <v>467880.50566666649</v>
      </c>
      <c r="I75" s="143">
        <f t="shared" si="25"/>
        <v>588038.22049999982</v>
      </c>
      <c r="J75" s="143">
        <f t="shared" si="25"/>
        <v>733587.97599999991</v>
      </c>
      <c r="K75" s="143">
        <f t="shared" si="25"/>
        <v>872137.73233333323</v>
      </c>
      <c r="L75" s="143">
        <f t="shared" si="25"/>
        <v>969963.45466666645</v>
      </c>
      <c r="M75" s="143">
        <f t="shared" si="25"/>
        <v>961785.67916666612</v>
      </c>
      <c r="N75" s="143">
        <f t="shared" si="25"/>
        <v>914924.86483333237</v>
      </c>
      <c r="O75" s="143">
        <f t="shared" ref="O75" si="26">SUM(O73:O74)/2</f>
        <v>837923.62433333253</v>
      </c>
      <c r="P75" s="133"/>
      <c r="Q75" s="133"/>
      <c r="R75" s="133"/>
      <c r="S75" s="133"/>
      <c r="T75" s="133"/>
      <c r="U75" s="133"/>
      <c r="V75" s="133"/>
      <c r="W75" s="133"/>
    </row>
    <row r="76" spans="1:23" x14ac:dyDescent="0.25">
      <c r="A76" s="134"/>
      <c r="B76" s="134"/>
      <c r="C76" s="134"/>
      <c r="D76" s="94"/>
      <c r="E76" s="94"/>
      <c r="F76" s="94"/>
      <c r="G76" s="94"/>
      <c r="H76" s="94"/>
      <c r="I76" s="94"/>
      <c r="J76" s="87"/>
      <c r="K76" s="87"/>
      <c r="L76" s="87"/>
      <c r="M76" s="87"/>
      <c r="N76" s="87"/>
      <c r="O76" s="87"/>
      <c r="P76" s="133"/>
      <c r="Q76" s="133"/>
      <c r="R76" s="133"/>
      <c r="S76" s="133"/>
      <c r="T76" s="133"/>
      <c r="U76" s="133"/>
      <c r="V76" s="133"/>
      <c r="W76" s="133"/>
    </row>
    <row r="77" spans="1:23" ht="15.75" thickBot="1" x14ac:dyDescent="0.3">
      <c r="A77" s="137" t="s">
        <v>123</v>
      </c>
      <c r="B77" s="138"/>
      <c r="C77" s="138"/>
      <c r="D77" s="94"/>
      <c r="E77" s="94"/>
      <c r="F77" s="94"/>
      <c r="G77" s="94"/>
      <c r="H77" s="94"/>
      <c r="I77" s="94"/>
      <c r="J77" s="87"/>
      <c r="K77" s="87"/>
      <c r="L77" s="87"/>
      <c r="M77" s="87"/>
      <c r="N77" s="87"/>
      <c r="O77" s="87"/>
      <c r="P77" s="133"/>
      <c r="Q77" s="133"/>
      <c r="R77" s="133"/>
      <c r="S77" s="133"/>
      <c r="T77" s="133"/>
      <c r="U77" s="133"/>
      <c r="V77" s="133"/>
      <c r="W77" s="133"/>
    </row>
    <row r="78" spans="1:23" ht="15.75" thickBot="1" x14ac:dyDescent="0.3">
      <c r="A78" s="138"/>
      <c r="B78" s="87"/>
      <c r="C78" s="87"/>
      <c r="D78" s="135">
        <v>2010</v>
      </c>
      <c r="E78" s="135">
        <v>2011</v>
      </c>
      <c r="F78" s="135">
        <v>2012</v>
      </c>
      <c r="G78" s="135">
        <v>2013</v>
      </c>
      <c r="H78" s="135">
        <v>2014</v>
      </c>
      <c r="I78" s="136">
        <v>2015</v>
      </c>
      <c r="J78" s="136">
        <v>2016</v>
      </c>
      <c r="K78" s="136">
        <v>2017</v>
      </c>
      <c r="L78" s="136">
        <v>2018</v>
      </c>
      <c r="M78" s="136">
        <v>2019</v>
      </c>
      <c r="N78" s="136">
        <v>2020</v>
      </c>
      <c r="O78" s="136">
        <v>2021</v>
      </c>
      <c r="P78" s="133"/>
      <c r="Q78" s="133"/>
      <c r="R78" s="133"/>
      <c r="S78" s="133"/>
      <c r="T78" s="133"/>
      <c r="U78" s="133"/>
      <c r="V78" s="133"/>
      <c r="W78" s="133"/>
    </row>
    <row r="79" spans="1:23" x14ac:dyDescent="0.25">
      <c r="A79" s="134"/>
      <c r="B79" s="87"/>
      <c r="C79" s="87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133"/>
      <c r="Q79" s="133"/>
      <c r="R79" s="133"/>
      <c r="S79" s="133"/>
      <c r="T79" s="133"/>
      <c r="U79" s="133"/>
      <c r="V79" s="133"/>
      <c r="W79" s="133"/>
    </row>
    <row r="80" spans="1:23" x14ac:dyDescent="0.25">
      <c r="A80" s="134" t="s">
        <v>59</v>
      </c>
      <c r="B80" s="87"/>
      <c r="C80" s="87"/>
      <c r="D80" s="127"/>
      <c r="E80" s="127">
        <f t="shared" ref="E80:O80" si="27">D88</f>
        <v>58844.70719999999</v>
      </c>
      <c r="F80" s="127">
        <f t="shared" si="27"/>
        <v>243653.63942399996</v>
      </c>
      <c r="G80" s="127">
        <f t="shared" si="27"/>
        <v>358781.12107007997</v>
      </c>
      <c r="H80" s="127">
        <f t="shared" si="27"/>
        <v>434985.59778447356</v>
      </c>
      <c r="I80" s="127">
        <f t="shared" si="27"/>
        <v>483730.74996171566</v>
      </c>
      <c r="J80" s="127">
        <f t="shared" si="27"/>
        <v>673101.45796477841</v>
      </c>
      <c r="K80" s="127">
        <f t="shared" si="27"/>
        <v>774721.75092759612</v>
      </c>
      <c r="L80" s="127">
        <f t="shared" si="27"/>
        <v>953360.59965338849</v>
      </c>
      <c r="M80" s="127">
        <f t="shared" si="27"/>
        <v>978990.01088111731</v>
      </c>
      <c r="N80" s="127">
        <f t="shared" si="27"/>
        <v>954364.23401062714</v>
      </c>
      <c r="O80" s="127">
        <f t="shared" si="27"/>
        <v>913811.29688977695</v>
      </c>
      <c r="P80" s="133"/>
      <c r="Q80" s="133"/>
      <c r="R80" s="133"/>
      <c r="S80" s="133"/>
      <c r="T80" s="133"/>
      <c r="U80" s="133"/>
      <c r="V80" s="133"/>
      <c r="W80" s="133"/>
    </row>
    <row r="81" spans="1:23" x14ac:dyDescent="0.25">
      <c r="A81" s="134" t="s">
        <v>124</v>
      </c>
      <c r="B81" s="87"/>
      <c r="C81" s="87"/>
      <c r="D81" s="94">
        <f t="shared" ref="D81:G81" si="28">D65</f>
        <v>61296.569999999992</v>
      </c>
      <c r="E81" s="94">
        <f t="shared" si="28"/>
        <v>197413.02999999997</v>
      </c>
      <c r="F81" s="94">
        <f t="shared" si="28"/>
        <v>140228.93</v>
      </c>
      <c r="G81" s="94">
        <f t="shared" si="28"/>
        <v>109278.09</v>
      </c>
      <c r="H81" s="94">
        <f>H65</f>
        <v>87025</v>
      </c>
      <c r="I81" s="94">
        <f t="shared" ref="I81:O81" si="29">I65</f>
        <v>237572.05000000005</v>
      </c>
      <c r="J81" s="94">
        <f t="shared" si="29"/>
        <v>161946.25999999998</v>
      </c>
      <c r="K81" s="94">
        <f t="shared" si="29"/>
        <v>250642.28</v>
      </c>
      <c r="L81" s="94">
        <f t="shared" si="29"/>
        <v>106144.02000000002</v>
      </c>
      <c r="M81" s="94">
        <f t="shared" si="29"/>
        <v>55930.649999999259</v>
      </c>
      <c r="N81" s="94">
        <f t="shared" si="29"/>
        <v>37287.710000000006</v>
      </c>
      <c r="O81" s="94">
        <f t="shared" si="29"/>
        <v>0</v>
      </c>
      <c r="P81" s="141"/>
      <c r="Q81" s="87"/>
      <c r="R81" s="133"/>
      <c r="S81" s="133"/>
      <c r="T81" s="133"/>
      <c r="U81" s="133"/>
      <c r="V81" s="133"/>
      <c r="W81" s="133"/>
    </row>
    <row r="82" spans="1:23" x14ac:dyDescent="0.25">
      <c r="A82" s="134" t="s">
        <v>61</v>
      </c>
      <c r="B82" s="87"/>
      <c r="C82" s="87"/>
      <c r="D82" s="127">
        <f t="shared" ref="D82:G82" si="30">SUM(D80:D81)</f>
        <v>61296.569999999992</v>
      </c>
      <c r="E82" s="127">
        <f t="shared" si="30"/>
        <v>256257.73719999997</v>
      </c>
      <c r="F82" s="127">
        <f t="shared" si="30"/>
        <v>383882.56942399999</v>
      </c>
      <c r="G82" s="127">
        <f t="shared" si="30"/>
        <v>468059.21107007994</v>
      </c>
      <c r="H82" s="127">
        <f>SUM(H80:H81)</f>
        <v>522010.59778447356</v>
      </c>
      <c r="I82" s="127">
        <f>SUM(I80:I81)</f>
        <v>721302.7999617157</v>
      </c>
      <c r="J82" s="127">
        <f>SUM(J80:J81)</f>
        <v>835047.71796477842</v>
      </c>
      <c r="K82" s="127">
        <f t="shared" ref="K82:O82" si="31">SUM(K80:K81)</f>
        <v>1025364.0309275961</v>
      </c>
      <c r="L82" s="127">
        <f t="shared" si="31"/>
        <v>1059504.6196533884</v>
      </c>
      <c r="M82" s="127">
        <f t="shared" si="31"/>
        <v>1034920.6608811165</v>
      </c>
      <c r="N82" s="127">
        <f t="shared" si="31"/>
        <v>991651.94401062711</v>
      </c>
      <c r="O82" s="127">
        <f t="shared" si="31"/>
        <v>913811.29688977695</v>
      </c>
      <c r="P82" s="87"/>
      <c r="Q82" s="133"/>
      <c r="R82" s="133"/>
      <c r="S82" s="133"/>
      <c r="T82" s="133"/>
      <c r="U82" s="133"/>
      <c r="V82" s="133"/>
      <c r="W82" s="133"/>
    </row>
    <row r="83" spans="1:23" x14ac:dyDescent="0.25">
      <c r="A83" s="134" t="s">
        <v>62</v>
      </c>
      <c r="B83" s="87"/>
      <c r="C83" s="87"/>
      <c r="D83" s="94">
        <f t="shared" ref="D83:G83" si="32">D81/2</f>
        <v>30648.284999999996</v>
      </c>
      <c r="E83" s="94">
        <f t="shared" si="32"/>
        <v>98706.514999999985</v>
      </c>
      <c r="F83" s="94">
        <f t="shared" si="32"/>
        <v>70114.464999999997</v>
      </c>
      <c r="G83" s="94">
        <f t="shared" si="32"/>
        <v>54639.044999999998</v>
      </c>
      <c r="H83" s="94">
        <f>H81/2</f>
        <v>43512.5</v>
      </c>
      <c r="I83" s="94">
        <f>I81/2</f>
        <v>118786.02500000002</v>
      </c>
      <c r="J83" s="94">
        <f>J81/2</f>
        <v>80973.12999999999</v>
      </c>
      <c r="K83" s="94">
        <f t="shared" ref="K83:O83" si="33">K81/2</f>
        <v>125321.14</v>
      </c>
      <c r="L83" s="94">
        <f t="shared" si="33"/>
        <v>53072.010000000009</v>
      </c>
      <c r="M83" s="94">
        <f t="shared" si="33"/>
        <v>27965.32499999963</v>
      </c>
      <c r="N83" s="94">
        <f t="shared" si="33"/>
        <v>18643.855000000003</v>
      </c>
      <c r="O83" s="94">
        <f t="shared" si="33"/>
        <v>0</v>
      </c>
      <c r="P83" s="133"/>
      <c r="Q83" s="133"/>
      <c r="R83" s="133"/>
      <c r="S83" s="133"/>
      <c r="T83" s="133"/>
      <c r="U83" s="133"/>
      <c r="V83" s="133"/>
      <c r="W83" s="133"/>
    </row>
    <row r="84" spans="1:23" x14ac:dyDescent="0.25">
      <c r="A84" s="134" t="s">
        <v>63</v>
      </c>
      <c r="B84" s="87"/>
      <c r="C84" s="87"/>
      <c r="D84" s="127">
        <f t="shared" ref="D84:G84" si="34">D82-D83</f>
        <v>30648.284999999996</v>
      </c>
      <c r="E84" s="127">
        <f t="shared" si="34"/>
        <v>157551.22219999999</v>
      </c>
      <c r="F84" s="127">
        <f t="shared" si="34"/>
        <v>313768.10442400002</v>
      </c>
      <c r="G84" s="127">
        <f t="shared" si="34"/>
        <v>413420.16607007995</v>
      </c>
      <c r="H84" s="127">
        <f>H82-H83</f>
        <v>478498.09778447356</v>
      </c>
      <c r="I84" s="127">
        <f>I82-I83</f>
        <v>602516.77496171568</v>
      </c>
      <c r="J84" s="127">
        <f>J82-J83</f>
        <v>754074.58796477842</v>
      </c>
      <c r="K84" s="127">
        <f t="shared" ref="K84:O84" si="35">K82-K83</f>
        <v>900042.89092759613</v>
      </c>
      <c r="L84" s="127">
        <f t="shared" si="35"/>
        <v>1006432.6096533884</v>
      </c>
      <c r="M84" s="127">
        <f t="shared" si="35"/>
        <v>1006955.3358811169</v>
      </c>
      <c r="N84" s="127">
        <f t="shared" si="35"/>
        <v>973008.08901062713</v>
      </c>
      <c r="O84" s="127">
        <f t="shared" si="35"/>
        <v>913811.29688977695</v>
      </c>
      <c r="P84" s="133"/>
      <c r="Q84" s="133"/>
      <c r="R84" s="133"/>
      <c r="S84" s="133"/>
      <c r="T84" s="133"/>
      <c r="U84" s="133"/>
      <c r="V84" s="133"/>
      <c r="W84" s="133"/>
    </row>
    <row r="85" spans="1:23" x14ac:dyDescent="0.25">
      <c r="A85" s="134" t="s">
        <v>125</v>
      </c>
      <c r="B85" s="87"/>
      <c r="C85" s="144">
        <v>47</v>
      </c>
      <c r="D85" s="144">
        <f>C85</f>
        <v>47</v>
      </c>
      <c r="E85" s="144">
        <f t="shared" ref="E85:O86" si="36">D85</f>
        <v>47</v>
      </c>
      <c r="F85" s="144">
        <f t="shared" si="36"/>
        <v>47</v>
      </c>
      <c r="G85" s="144">
        <f t="shared" si="36"/>
        <v>47</v>
      </c>
      <c r="H85" s="144">
        <f t="shared" si="36"/>
        <v>47</v>
      </c>
      <c r="I85" s="144">
        <f t="shared" si="36"/>
        <v>47</v>
      </c>
      <c r="J85" s="144">
        <f t="shared" si="36"/>
        <v>47</v>
      </c>
      <c r="K85" s="144">
        <f t="shared" si="36"/>
        <v>47</v>
      </c>
      <c r="L85" s="144">
        <f t="shared" si="36"/>
        <v>47</v>
      </c>
      <c r="M85" s="144">
        <f t="shared" si="36"/>
        <v>47</v>
      </c>
      <c r="N85" s="144">
        <f t="shared" si="36"/>
        <v>47</v>
      </c>
      <c r="O85" s="144">
        <f t="shared" si="36"/>
        <v>47</v>
      </c>
      <c r="P85" s="133"/>
      <c r="Q85" s="133"/>
      <c r="R85" s="133"/>
      <c r="S85" s="133"/>
      <c r="T85" s="133"/>
      <c r="U85" s="133"/>
      <c r="V85" s="133"/>
      <c r="W85" s="133"/>
    </row>
    <row r="86" spans="1:23" x14ac:dyDescent="0.25">
      <c r="A86" s="134" t="s">
        <v>126</v>
      </c>
      <c r="B86" s="87"/>
      <c r="C86" s="145">
        <v>0.08</v>
      </c>
      <c r="D86" s="145">
        <f>C86</f>
        <v>0.08</v>
      </c>
      <c r="E86" s="145">
        <f t="shared" si="36"/>
        <v>0.08</v>
      </c>
      <c r="F86" s="145">
        <f t="shared" si="36"/>
        <v>0.08</v>
      </c>
      <c r="G86" s="145">
        <f t="shared" si="36"/>
        <v>0.08</v>
      </c>
      <c r="H86" s="145">
        <f t="shared" si="36"/>
        <v>0.08</v>
      </c>
      <c r="I86" s="145">
        <f t="shared" si="36"/>
        <v>0.08</v>
      </c>
      <c r="J86" s="145">
        <f t="shared" si="36"/>
        <v>0.08</v>
      </c>
      <c r="K86" s="145">
        <f t="shared" si="36"/>
        <v>0.08</v>
      </c>
      <c r="L86" s="145">
        <f t="shared" si="36"/>
        <v>0.08</v>
      </c>
      <c r="M86" s="145">
        <f t="shared" si="36"/>
        <v>0.08</v>
      </c>
      <c r="N86" s="145">
        <f t="shared" si="36"/>
        <v>0.08</v>
      </c>
      <c r="O86" s="145">
        <f t="shared" si="36"/>
        <v>0.08</v>
      </c>
      <c r="P86" s="133"/>
      <c r="Q86" s="133"/>
      <c r="R86" s="133"/>
      <c r="S86" s="133"/>
      <c r="T86" s="133"/>
      <c r="U86" s="133"/>
      <c r="V86" s="133"/>
      <c r="W86" s="133"/>
    </row>
    <row r="87" spans="1:23" x14ac:dyDescent="0.25">
      <c r="A87" s="134" t="s">
        <v>66</v>
      </c>
      <c r="B87" s="87"/>
      <c r="C87" s="87"/>
      <c r="D87" s="127">
        <f t="shared" ref="D87:G87" si="37">D84*D86</f>
        <v>2451.8627999999999</v>
      </c>
      <c r="E87" s="127">
        <f t="shared" si="37"/>
        <v>12604.097775999999</v>
      </c>
      <c r="F87" s="127">
        <f t="shared" si="37"/>
        <v>25101.448353920001</v>
      </c>
      <c r="G87" s="127">
        <f t="shared" si="37"/>
        <v>33073.6132856064</v>
      </c>
      <c r="H87" s="127">
        <f>H84*H86</f>
        <v>38279.847822757889</v>
      </c>
      <c r="I87" s="127">
        <f t="shared" ref="I87:O87" si="38">I84*I86</f>
        <v>48201.341996937255</v>
      </c>
      <c r="J87" s="127">
        <f t="shared" si="38"/>
        <v>60325.967037182272</v>
      </c>
      <c r="K87" s="127">
        <f t="shared" si="38"/>
        <v>72003.431274207687</v>
      </c>
      <c r="L87" s="127">
        <f t="shared" si="38"/>
        <v>80514.608772271065</v>
      </c>
      <c r="M87" s="127">
        <f t="shared" si="38"/>
        <v>80556.426870489362</v>
      </c>
      <c r="N87" s="127">
        <f t="shared" si="38"/>
        <v>77840.647120850175</v>
      </c>
      <c r="O87" s="127">
        <f t="shared" si="38"/>
        <v>73104.903751182152</v>
      </c>
      <c r="P87" s="133"/>
      <c r="Q87" s="133"/>
      <c r="R87" s="133"/>
      <c r="S87" s="133"/>
      <c r="T87" s="133"/>
      <c r="U87" s="133"/>
      <c r="V87" s="133"/>
      <c r="W87" s="133"/>
    </row>
    <row r="88" spans="1:23" ht="15.75" thickBot="1" x14ac:dyDescent="0.3">
      <c r="A88" s="138" t="s">
        <v>67</v>
      </c>
      <c r="B88" s="87"/>
      <c r="C88" s="87"/>
      <c r="D88" s="143">
        <f t="shared" ref="D88:G88" si="39">D82-D87</f>
        <v>58844.70719999999</v>
      </c>
      <c r="E88" s="143">
        <f t="shared" si="39"/>
        <v>243653.63942399996</v>
      </c>
      <c r="F88" s="143">
        <f t="shared" si="39"/>
        <v>358781.12107007997</v>
      </c>
      <c r="G88" s="143">
        <f t="shared" si="39"/>
        <v>434985.59778447356</v>
      </c>
      <c r="H88" s="143">
        <f>H82-H87</f>
        <v>483730.74996171566</v>
      </c>
      <c r="I88" s="143">
        <f>I82-I87</f>
        <v>673101.45796477841</v>
      </c>
      <c r="J88" s="143">
        <f>J82-J87</f>
        <v>774721.75092759612</v>
      </c>
      <c r="K88" s="143">
        <f t="shared" ref="K88:O88" si="40">K82-K87</f>
        <v>953360.59965338849</v>
      </c>
      <c r="L88" s="143">
        <f t="shared" si="40"/>
        <v>978990.01088111731</v>
      </c>
      <c r="M88" s="143">
        <f t="shared" si="40"/>
        <v>954364.23401062714</v>
      </c>
      <c r="N88" s="143">
        <f t="shared" si="40"/>
        <v>913811.29688977695</v>
      </c>
      <c r="O88" s="143">
        <f t="shared" si="40"/>
        <v>840706.39313859481</v>
      </c>
      <c r="P88" s="133"/>
      <c r="Q88" s="133"/>
      <c r="R88" s="133"/>
      <c r="S88" s="133"/>
      <c r="T88" s="133"/>
      <c r="U88" s="133"/>
      <c r="V88" s="133"/>
      <c r="W88" s="133"/>
    </row>
  </sheetData>
  <mergeCells count="32">
    <mergeCell ref="V45:W45"/>
    <mergeCell ref="Y45:Z45"/>
    <mergeCell ref="AB45:AC45"/>
    <mergeCell ref="AE45:AF45"/>
    <mergeCell ref="AH45:AI45"/>
    <mergeCell ref="AK45:AL45"/>
    <mergeCell ref="AJ10:AL10"/>
    <mergeCell ref="A40:W40"/>
    <mergeCell ref="A42:W42"/>
    <mergeCell ref="A43:B43"/>
    <mergeCell ref="D45:E45"/>
    <mergeCell ref="G45:H45"/>
    <mergeCell ref="J45:K45"/>
    <mergeCell ref="M45:N45"/>
    <mergeCell ref="P45:Q45"/>
    <mergeCell ref="S45:T45"/>
    <mergeCell ref="R10:T10"/>
    <mergeCell ref="U10:W10"/>
    <mergeCell ref="X10:Z10"/>
    <mergeCell ref="AA10:AC10"/>
    <mergeCell ref="AD10:AF10"/>
    <mergeCell ref="AG10:AI10"/>
    <mergeCell ref="A2:R2"/>
    <mergeCell ref="A3:R3"/>
    <mergeCell ref="A5:R5"/>
    <mergeCell ref="A6:R6"/>
    <mergeCell ref="A8:R8"/>
    <mergeCell ref="C10:E10"/>
    <mergeCell ref="F10:H10"/>
    <mergeCell ref="I10:K10"/>
    <mergeCell ref="L10:N10"/>
    <mergeCell ref="O10:Q10"/>
  </mergeCells>
  <pageMargins left="0.70866141732283472" right="0.70866141732283472" top="0.74803149606299213" bottom="0.74803149606299213" header="0.31496062992125984" footer="0.31496062992125984"/>
  <pageSetup scale="38" fitToWidth="0" orientation="landscape" r:id="rId1"/>
  <ignoredErrors>
    <ignoredError sqref="A6:AL58 C61:O8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137"/>
  <sheetViews>
    <sheetView workbookViewId="0">
      <selection activeCell="A138" sqref="A138:XFD145"/>
    </sheetView>
  </sheetViews>
  <sheetFormatPr defaultRowHeight="15" outlineLevelRow="1" x14ac:dyDescent="0.25"/>
  <cols>
    <col min="1" max="1" width="39.85546875" style="5" customWidth="1"/>
    <col min="2" max="2" width="20.42578125" style="12" hidden="1" customWidth="1"/>
    <col min="3" max="3" width="14.5703125" style="5" bestFit="1" customWidth="1"/>
    <col min="4" max="4" width="17.42578125" style="5" bestFit="1" customWidth="1"/>
    <col min="5" max="5" width="16" style="5" bestFit="1" customWidth="1"/>
    <col min="6" max="6" width="15.7109375" style="5" customWidth="1"/>
    <col min="7" max="7" width="14.7109375" style="5" customWidth="1"/>
    <col min="8" max="8" width="15.5703125" style="5" bestFit="1" customWidth="1"/>
    <col min="9" max="9" width="17.42578125" style="5" bestFit="1" customWidth="1"/>
    <col min="10" max="10" width="14.85546875" style="5" customWidth="1"/>
    <col min="11" max="11" width="14.85546875" style="5" bestFit="1" customWidth="1"/>
    <col min="12" max="12" width="15.28515625" style="5" bestFit="1" customWidth="1"/>
    <col min="13" max="13" width="16" style="5" bestFit="1" customWidth="1"/>
    <col min="14" max="14" width="17.42578125" style="5" bestFit="1" customWidth="1"/>
    <col min="15" max="15" width="16.85546875" style="5" customWidth="1"/>
    <col min="16" max="16" width="14.85546875" style="5" customWidth="1"/>
    <col min="17" max="17" width="14.140625" style="5" customWidth="1"/>
    <col min="18" max="256" width="9.140625" style="5"/>
    <col min="257" max="257" width="31.5703125" style="5" customWidth="1"/>
    <col min="258" max="258" width="0" style="5" hidden="1" customWidth="1"/>
    <col min="259" max="259" width="14.5703125" style="5" bestFit="1" customWidth="1"/>
    <col min="260" max="260" width="17.42578125" style="5" bestFit="1" customWidth="1"/>
    <col min="261" max="261" width="16" style="5" bestFit="1" customWidth="1"/>
    <col min="262" max="262" width="15.7109375" style="5" customWidth="1"/>
    <col min="263" max="263" width="14.7109375" style="5" customWidth="1"/>
    <col min="264" max="264" width="15.5703125" style="5" bestFit="1" customWidth="1"/>
    <col min="265" max="265" width="17.42578125" style="5" bestFit="1" customWidth="1"/>
    <col min="266" max="266" width="14.85546875" style="5" customWidth="1"/>
    <col min="267" max="267" width="14.85546875" style="5" bestFit="1" customWidth="1"/>
    <col min="268" max="268" width="15.28515625" style="5" bestFit="1" customWidth="1"/>
    <col min="269" max="269" width="16" style="5" bestFit="1" customWidth="1"/>
    <col min="270" max="270" width="17.42578125" style="5" bestFit="1" customWidth="1"/>
    <col min="271" max="271" width="16.85546875" style="5" customWidth="1"/>
    <col min="272" max="272" width="14.85546875" style="5" customWidth="1"/>
    <col min="273" max="273" width="14.140625" style="5" customWidth="1"/>
    <col min="274" max="512" width="9.140625" style="5"/>
    <col min="513" max="513" width="31.5703125" style="5" customWidth="1"/>
    <col min="514" max="514" width="0" style="5" hidden="1" customWidth="1"/>
    <col min="515" max="515" width="14.5703125" style="5" bestFit="1" customWidth="1"/>
    <col min="516" max="516" width="17.42578125" style="5" bestFit="1" customWidth="1"/>
    <col min="517" max="517" width="16" style="5" bestFit="1" customWidth="1"/>
    <col min="518" max="518" width="15.7109375" style="5" customWidth="1"/>
    <col min="519" max="519" width="14.7109375" style="5" customWidth="1"/>
    <col min="520" max="520" width="15.5703125" style="5" bestFit="1" customWidth="1"/>
    <col min="521" max="521" width="17.42578125" style="5" bestFit="1" customWidth="1"/>
    <col min="522" max="522" width="14.85546875" style="5" customWidth="1"/>
    <col min="523" max="523" width="14.85546875" style="5" bestFit="1" customWidth="1"/>
    <col min="524" max="524" width="15.28515625" style="5" bestFit="1" customWidth="1"/>
    <col min="525" max="525" width="16" style="5" bestFit="1" customWidth="1"/>
    <col min="526" max="526" width="17.42578125" style="5" bestFit="1" customWidth="1"/>
    <col min="527" max="527" width="16.85546875" style="5" customWidth="1"/>
    <col min="528" max="528" width="14.85546875" style="5" customWidth="1"/>
    <col min="529" max="529" width="14.140625" style="5" customWidth="1"/>
    <col min="530" max="768" width="9.140625" style="5"/>
    <col min="769" max="769" width="31.5703125" style="5" customWidth="1"/>
    <col min="770" max="770" width="0" style="5" hidden="1" customWidth="1"/>
    <col min="771" max="771" width="14.5703125" style="5" bestFit="1" customWidth="1"/>
    <col min="772" max="772" width="17.42578125" style="5" bestFit="1" customWidth="1"/>
    <col min="773" max="773" width="16" style="5" bestFit="1" customWidth="1"/>
    <col min="774" max="774" width="15.7109375" style="5" customWidth="1"/>
    <col min="775" max="775" width="14.7109375" style="5" customWidth="1"/>
    <col min="776" max="776" width="15.5703125" style="5" bestFit="1" customWidth="1"/>
    <col min="777" max="777" width="17.42578125" style="5" bestFit="1" customWidth="1"/>
    <col min="778" max="778" width="14.85546875" style="5" customWidth="1"/>
    <col min="779" max="779" width="14.85546875" style="5" bestFit="1" customWidth="1"/>
    <col min="780" max="780" width="15.28515625" style="5" bestFit="1" customWidth="1"/>
    <col min="781" max="781" width="16" style="5" bestFit="1" customWidth="1"/>
    <col min="782" max="782" width="17.42578125" style="5" bestFit="1" customWidth="1"/>
    <col min="783" max="783" width="16.85546875" style="5" customWidth="1"/>
    <col min="784" max="784" width="14.85546875" style="5" customWidth="1"/>
    <col min="785" max="785" width="14.140625" style="5" customWidth="1"/>
    <col min="786" max="1024" width="9.140625" style="5"/>
    <col min="1025" max="1025" width="31.5703125" style="5" customWidth="1"/>
    <col min="1026" max="1026" width="0" style="5" hidden="1" customWidth="1"/>
    <col min="1027" max="1027" width="14.5703125" style="5" bestFit="1" customWidth="1"/>
    <col min="1028" max="1028" width="17.42578125" style="5" bestFit="1" customWidth="1"/>
    <col min="1029" max="1029" width="16" style="5" bestFit="1" customWidth="1"/>
    <col min="1030" max="1030" width="15.7109375" style="5" customWidth="1"/>
    <col min="1031" max="1031" width="14.7109375" style="5" customWidth="1"/>
    <col min="1032" max="1032" width="15.5703125" style="5" bestFit="1" customWidth="1"/>
    <col min="1033" max="1033" width="17.42578125" style="5" bestFit="1" customWidth="1"/>
    <col min="1034" max="1034" width="14.85546875" style="5" customWidth="1"/>
    <col min="1035" max="1035" width="14.85546875" style="5" bestFit="1" customWidth="1"/>
    <col min="1036" max="1036" width="15.28515625" style="5" bestFit="1" customWidth="1"/>
    <col min="1037" max="1037" width="16" style="5" bestFit="1" customWidth="1"/>
    <col min="1038" max="1038" width="17.42578125" style="5" bestFit="1" customWidth="1"/>
    <col min="1039" max="1039" width="16.85546875" style="5" customWidth="1"/>
    <col min="1040" max="1040" width="14.85546875" style="5" customWidth="1"/>
    <col min="1041" max="1041" width="14.140625" style="5" customWidth="1"/>
    <col min="1042" max="1280" width="9.140625" style="5"/>
    <col min="1281" max="1281" width="31.5703125" style="5" customWidth="1"/>
    <col min="1282" max="1282" width="0" style="5" hidden="1" customWidth="1"/>
    <col min="1283" max="1283" width="14.5703125" style="5" bestFit="1" customWidth="1"/>
    <col min="1284" max="1284" width="17.42578125" style="5" bestFit="1" customWidth="1"/>
    <col min="1285" max="1285" width="16" style="5" bestFit="1" customWidth="1"/>
    <col min="1286" max="1286" width="15.7109375" style="5" customWidth="1"/>
    <col min="1287" max="1287" width="14.7109375" style="5" customWidth="1"/>
    <col min="1288" max="1288" width="15.5703125" style="5" bestFit="1" customWidth="1"/>
    <col min="1289" max="1289" width="17.42578125" style="5" bestFit="1" customWidth="1"/>
    <col min="1290" max="1290" width="14.85546875" style="5" customWidth="1"/>
    <col min="1291" max="1291" width="14.85546875" style="5" bestFit="1" customWidth="1"/>
    <col min="1292" max="1292" width="15.28515625" style="5" bestFit="1" customWidth="1"/>
    <col min="1293" max="1293" width="16" style="5" bestFit="1" customWidth="1"/>
    <col min="1294" max="1294" width="17.42578125" style="5" bestFit="1" customWidth="1"/>
    <col min="1295" max="1295" width="16.85546875" style="5" customWidth="1"/>
    <col min="1296" max="1296" width="14.85546875" style="5" customWidth="1"/>
    <col min="1297" max="1297" width="14.140625" style="5" customWidth="1"/>
    <col min="1298" max="1536" width="9.140625" style="5"/>
    <col min="1537" max="1537" width="31.5703125" style="5" customWidth="1"/>
    <col min="1538" max="1538" width="0" style="5" hidden="1" customWidth="1"/>
    <col min="1539" max="1539" width="14.5703125" style="5" bestFit="1" customWidth="1"/>
    <col min="1540" max="1540" width="17.42578125" style="5" bestFit="1" customWidth="1"/>
    <col min="1541" max="1541" width="16" style="5" bestFit="1" customWidth="1"/>
    <col min="1542" max="1542" width="15.7109375" style="5" customWidth="1"/>
    <col min="1543" max="1543" width="14.7109375" style="5" customWidth="1"/>
    <col min="1544" max="1544" width="15.5703125" style="5" bestFit="1" customWidth="1"/>
    <col min="1545" max="1545" width="17.42578125" style="5" bestFit="1" customWidth="1"/>
    <col min="1546" max="1546" width="14.85546875" style="5" customWidth="1"/>
    <col min="1547" max="1547" width="14.85546875" style="5" bestFit="1" customWidth="1"/>
    <col min="1548" max="1548" width="15.28515625" style="5" bestFit="1" customWidth="1"/>
    <col min="1549" max="1549" width="16" style="5" bestFit="1" customWidth="1"/>
    <col min="1550" max="1550" width="17.42578125" style="5" bestFit="1" customWidth="1"/>
    <col min="1551" max="1551" width="16.85546875" style="5" customWidth="1"/>
    <col min="1552" max="1552" width="14.85546875" style="5" customWidth="1"/>
    <col min="1553" max="1553" width="14.140625" style="5" customWidth="1"/>
    <col min="1554" max="1792" width="9.140625" style="5"/>
    <col min="1793" max="1793" width="31.5703125" style="5" customWidth="1"/>
    <col min="1794" max="1794" width="0" style="5" hidden="1" customWidth="1"/>
    <col min="1795" max="1795" width="14.5703125" style="5" bestFit="1" customWidth="1"/>
    <col min="1796" max="1796" width="17.42578125" style="5" bestFit="1" customWidth="1"/>
    <col min="1797" max="1797" width="16" style="5" bestFit="1" customWidth="1"/>
    <col min="1798" max="1798" width="15.7109375" style="5" customWidth="1"/>
    <col min="1799" max="1799" width="14.7109375" style="5" customWidth="1"/>
    <col min="1800" max="1800" width="15.5703125" style="5" bestFit="1" customWidth="1"/>
    <col min="1801" max="1801" width="17.42578125" style="5" bestFit="1" customWidth="1"/>
    <col min="1802" max="1802" width="14.85546875" style="5" customWidth="1"/>
    <col min="1803" max="1803" width="14.85546875" style="5" bestFit="1" customWidth="1"/>
    <col min="1804" max="1804" width="15.28515625" style="5" bestFit="1" customWidth="1"/>
    <col min="1805" max="1805" width="16" style="5" bestFit="1" customWidth="1"/>
    <col min="1806" max="1806" width="17.42578125" style="5" bestFit="1" customWidth="1"/>
    <col min="1807" max="1807" width="16.85546875" style="5" customWidth="1"/>
    <col min="1808" max="1808" width="14.85546875" style="5" customWidth="1"/>
    <col min="1809" max="1809" width="14.140625" style="5" customWidth="1"/>
    <col min="1810" max="2048" width="9.140625" style="5"/>
    <col min="2049" max="2049" width="31.5703125" style="5" customWidth="1"/>
    <col min="2050" max="2050" width="0" style="5" hidden="1" customWidth="1"/>
    <col min="2051" max="2051" width="14.5703125" style="5" bestFit="1" customWidth="1"/>
    <col min="2052" max="2052" width="17.42578125" style="5" bestFit="1" customWidth="1"/>
    <col min="2053" max="2053" width="16" style="5" bestFit="1" customWidth="1"/>
    <col min="2054" max="2054" width="15.7109375" style="5" customWidth="1"/>
    <col min="2055" max="2055" width="14.7109375" style="5" customWidth="1"/>
    <col min="2056" max="2056" width="15.5703125" style="5" bestFit="1" customWidth="1"/>
    <col min="2057" max="2057" width="17.42578125" style="5" bestFit="1" customWidth="1"/>
    <col min="2058" max="2058" width="14.85546875" style="5" customWidth="1"/>
    <col min="2059" max="2059" width="14.85546875" style="5" bestFit="1" customWidth="1"/>
    <col min="2060" max="2060" width="15.28515625" style="5" bestFit="1" customWidth="1"/>
    <col min="2061" max="2061" width="16" style="5" bestFit="1" customWidth="1"/>
    <col min="2062" max="2062" width="17.42578125" style="5" bestFit="1" customWidth="1"/>
    <col min="2063" max="2063" width="16.85546875" style="5" customWidth="1"/>
    <col min="2064" max="2064" width="14.85546875" style="5" customWidth="1"/>
    <col min="2065" max="2065" width="14.140625" style="5" customWidth="1"/>
    <col min="2066" max="2304" width="9.140625" style="5"/>
    <col min="2305" max="2305" width="31.5703125" style="5" customWidth="1"/>
    <col min="2306" max="2306" width="0" style="5" hidden="1" customWidth="1"/>
    <col min="2307" max="2307" width="14.5703125" style="5" bestFit="1" customWidth="1"/>
    <col min="2308" max="2308" width="17.42578125" style="5" bestFit="1" customWidth="1"/>
    <col min="2309" max="2309" width="16" style="5" bestFit="1" customWidth="1"/>
    <col min="2310" max="2310" width="15.7109375" style="5" customWidth="1"/>
    <col min="2311" max="2311" width="14.7109375" style="5" customWidth="1"/>
    <col min="2312" max="2312" width="15.5703125" style="5" bestFit="1" customWidth="1"/>
    <col min="2313" max="2313" width="17.42578125" style="5" bestFit="1" customWidth="1"/>
    <col min="2314" max="2314" width="14.85546875" style="5" customWidth="1"/>
    <col min="2315" max="2315" width="14.85546875" style="5" bestFit="1" customWidth="1"/>
    <col min="2316" max="2316" width="15.28515625" style="5" bestFit="1" customWidth="1"/>
    <col min="2317" max="2317" width="16" style="5" bestFit="1" customWidth="1"/>
    <col min="2318" max="2318" width="17.42578125" style="5" bestFit="1" customWidth="1"/>
    <col min="2319" max="2319" width="16.85546875" style="5" customWidth="1"/>
    <col min="2320" max="2320" width="14.85546875" style="5" customWidth="1"/>
    <col min="2321" max="2321" width="14.140625" style="5" customWidth="1"/>
    <col min="2322" max="2560" width="9.140625" style="5"/>
    <col min="2561" max="2561" width="31.5703125" style="5" customWidth="1"/>
    <col min="2562" max="2562" width="0" style="5" hidden="1" customWidth="1"/>
    <col min="2563" max="2563" width="14.5703125" style="5" bestFit="1" customWidth="1"/>
    <col min="2564" max="2564" width="17.42578125" style="5" bestFit="1" customWidth="1"/>
    <col min="2565" max="2565" width="16" style="5" bestFit="1" customWidth="1"/>
    <col min="2566" max="2566" width="15.7109375" style="5" customWidth="1"/>
    <col min="2567" max="2567" width="14.7109375" style="5" customWidth="1"/>
    <col min="2568" max="2568" width="15.5703125" style="5" bestFit="1" customWidth="1"/>
    <col min="2569" max="2569" width="17.42578125" style="5" bestFit="1" customWidth="1"/>
    <col min="2570" max="2570" width="14.85546875" style="5" customWidth="1"/>
    <col min="2571" max="2571" width="14.85546875" style="5" bestFit="1" customWidth="1"/>
    <col min="2572" max="2572" width="15.28515625" style="5" bestFit="1" customWidth="1"/>
    <col min="2573" max="2573" width="16" style="5" bestFit="1" customWidth="1"/>
    <col min="2574" max="2574" width="17.42578125" style="5" bestFit="1" customWidth="1"/>
    <col min="2575" max="2575" width="16.85546875" style="5" customWidth="1"/>
    <col min="2576" max="2576" width="14.85546875" style="5" customWidth="1"/>
    <col min="2577" max="2577" width="14.140625" style="5" customWidth="1"/>
    <col min="2578" max="2816" width="9.140625" style="5"/>
    <col min="2817" max="2817" width="31.5703125" style="5" customWidth="1"/>
    <col min="2818" max="2818" width="0" style="5" hidden="1" customWidth="1"/>
    <col min="2819" max="2819" width="14.5703125" style="5" bestFit="1" customWidth="1"/>
    <col min="2820" max="2820" width="17.42578125" style="5" bestFit="1" customWidth="1"/>
    <col min="2821" max="2821" width="16" style="5" bestFit="1" customWidth="1"/>
    <col min="2822" max="2822" width="15.7109375" style="5" customWidth="1"/>
    <col min="2823" max="2823" width="14.7109375" style="5" customWidth="1"/>
    <col min="2824" max="2824" width="15.5703125" style="5" bestFit="1" customWidth="1"/>
    <col min="2825" max="2825" width="17.42578125" style="5" bestFit="1" customWidth="1"/>
    <col min="2826" max="2826" width="14.85546875" style="5" customWidth="1"/>
    <col min="2827" max="2827" width="14.85546875" style="5" bestFit="1" customWidth="1"/>
    <col min="2828" max="2828" width="15.28515625" style="5" bestFit="1" customWidth="1"/>
    <col min="2829" max="2829" width="16" style="5" bestFit="1" customWidth="1"/>
    <col min="2830" max="2830" width="17.42578125" style="5" bestFit="1" customWidth="1"/>
    <col min="2831" max="2831" width="16.85546875" style="5" customWidth="1"/>
    <col min="2832" max="2832" width="14.85546875" style="5" customWidth="1"/>
    <col min="2833" max="2833" width="14.140625" style="5" customWidth="1"/>
    <col min="2834" max="3072" width="9.140625" style="5"/>
    <col min="3073" max="3073" width="31.5703125" style="5" customWidth="1"/>
    <col min="3074" max="3074" width="0" style="5" hidden="1" customWidth="1"/>
    <col min="3075" max="3075" width="14.5703125" style="5" bestFit="1" customWidth="1"/>
    <col min="3076" max="3076" width="17.42578125" style="5" bestFit="1" customWidth="1"/>
    <col min="3077" max="3077" width="16" style="5" bestFit="1" customWidth="1"/>
    <col min="3078" max="3078" width="15.7109375" style="5" customWidth="1"/>
    <col min="3079" max="3079" width="14.7109375" style="5" customWidth="1"/>
    <col min="3080" max="3080" width="15.5703125" style="5" bestFit="1" customWidth="1"/>
    <col min="3081" max="3081" width="17.42578125" style="5" bestFit="1" customWidth="1"/>
    <col min="3082" max="3082" width="14.85546875" style="5" customWidth="1"/>
    <col min="3083" max="3083" width="14.85546875" style="5" bestFit="1" customWidth="1"/>
    <col min="3084" max="3084" width="15.28515625" style="5" bestFit="1" customWidth="1"/>
    <col min="3085" max="3085" width="16" style="5" bestFit="1" customWidth="1"/>
    <col min="3086" max="3086" width="17.42578125" style="5" bestFit="1" customWidth="1"/>
    <col min="3087" max="3087" width="16.85546875" style="5" customWidth="1"/>
    <col min="3088" max="3088" width="14.85546875" style="5" customWidth="1"/>
    <col min="3089" max="3089" width="14.140625" style="5" customWidth="1"/>
    <col min="3090" max="3328" width="9.140625" style="5"/>
    <col min="3329" max="3329" width="31.5703125" style="5" customWidth="1"/>
    <col min="3330" max="3330" width="0" style="5" hidden="1" customWidth="1"/>
    <col min="3331" max="3331" width="14.5703125" style="5" bestFit="1" customWidth="1"/>
    <col min="3332" max="3332" width="17.42578125" style="5" bestFit="1" customWidth="1"/>
    <col min="3333" max="3333" width="16" style="5" bestFit="1" customWidth="1"/>
    <col min="3334" max="3334" width="15.7109375" style="5" customWidth="1"/>
    <col min="3335" max="3335" width="14.7109375" style="5" customWidth="1"/>
    <col min="3336" max="3336" width="15.5703125" style="5" bestFit="1" customWidth="1"/>
    <col min="3337" max="3337" width="17.42578125" style="5" bestFit="1" customWidth="1"/>
    <col min="3338" max="3338" width="14.85546875" style="5" customWidth="1"/>
    <col min="3339" max="3339" width="14.85546875" style="5" bestFit="1" customWidth="1"/>
    <col min="3340" max="3340" width="15.28515625" style="5" bestFit="1" customWidth="1"/>
    <col min="3341" max="3341" width="16" style="5" bestFit="1" customWidth="1"/>
    <col min="3342" max="3342" width="17.42578125" style="5" bestFit="1" customWidth="1"/>
    <col min="3343" max="3343" width="16.85546875" style="5" customWidth="1"/>
    <col min="3344" max="3344" width="14.85546875" style="5" customWidth="1"/>
    <col min="3345" max="3345" width="14.140625" style="5" customWidth="1"/>
    <col min="3346" max="3584" width="9.140625" style="5"/>
    <col min="3585" max="3585" width="31.5703125" style="5" customWidth="1"/>
    <col min="3586" max="3586" width="0" style="5" hidden="1" customWidth="1"/>
    <col min="3587" max="3587" width="14.5703125" style="5" bestFit="1" customWidth="1"/>
    <col min="3588" max="3588" width="17.42578125" style="5" bestFit="1" customWidth="1"/>
    <col min="3589" max="3589" width="16" style="5" bestFit="1" customWidth="1"/>
    <col min="3590" max="3590" width="15.7109375" style="5" customWidth="1"/>
    <col min="3591" max="3591" width="14.7109375" style="5" customWidth="1"/>
    <col min="3592" max="3592" width="15.5703125" style="5" bestFit="1" customWidth="1"/>
    <col min="3593" max="3593" width="17.42578125" style="5" bestFit="1" customWidth="1"/>
    <col min="3594" max="3594" width="14.85546875" style="5" customWidth="1"/>
    <col min="3595" max="3595" width="14.85546875" style="5" bestFit="1" customWidth="1"/>
    <col min="3596" max="3596" width="15.28515625" style="5" bestFit="1" customWidth="1"/>
    <col min="3597" max="3597" width="16" style="5" bestFit="1" customWidth="1"/>
    <col min="3598" max="3598" width="17.42578125" style="5" bestFit="1" customWidth="1"/>
    <col min="3599" max="3599" width="16.85546875" style="5" customWidth="1"/>
    <col min="3600" max="3600" width="14.85546875" style="5" customWidth="1"/>
    <col min="3601" max="3601" width="14.140625" style="5" customWidth="1"/>
    <col min="3602" max="3840" width="9.140625" style="5"/>
    <col min="3841" max="3841" width="31.5703125" style="5" customWidth="1"/>
    <col min="3842" max="3842" width="0" style="5" hidden="1" customWidth="1"/>
    <col min="3843" max="3843" width="14.5703125" style="5" bestFit="1" customWidth="1"/>
    <col min="3844" max="3844" width="17.42578125" style="5" bestFit="1" customWidth="1"/>
    <col min="3845" max="3845" width="16" style="5" bestFit="1" customWidth="1"/>
    <col min="3846" max="3846" width="15.7109375" style="5" customWidth="1"/>
    <col min="3847" max="3847" width="14.7109375" style="5" customWidth="1"/>
    <col min="3848" max="3848" width="15.5703125" style="5" bestFit="1" customWidth="1"/>
    <col min="3849" max="3849" width="17.42578125" style="5" bestFit="1" customWidth="1"/>
    <col min="3850" max="3850" width="14.85546875" style="5" customWidth="1"/>
    <col min="3851" max="3851" width="14.85546875" style="5" bestFit="1" customWidth="1"/>
    <col min="3852" max="3852" width="15.28515625" style="5" bestFit="1" customWidth="1"/>
    <col min="3853" max="3853" width="16" style="5" bestFit="1" customWidth="1"/>
    <col min="3854" max="3854" width="17.42578125" style="5" bestFit="1" customWidth="1"/>
    <col min="3855" max="3855" width="16.85546875" style="5" customWidth="1"/>
    <col min="3856" max="3856" width="14.85546875" style="5" customWidth="1"/>
    <col min="3857" max="3857" width="14.140625" style="5" customWidth="1"/>
    <col min="3858" max="4096" width="9.140625" style="5"/>
    <col min="4097" max="4097" width="31.5703125" style="5" customWidth="1"/>
    <col min="4098" max="4098" width="0" style="5" hidden="1" customWidth="1"/>
    <col min="4099" max="4099" width="14.5703125" style="5" bestFit="1" customWidth="1"/>
    <col min="4100" max="4100" width="17.42578125" style="5" bestFit="1" customWidth="1"/>
    <col min="4101" max="4101" width="16" style="5" bestFit="1" customWidth="1"/>
    <col min="4102" max="4102" width="15.7109375" style="5" customWidth="1"/>
    <col min="4103" max="4103" width="14.7109375" style="5" customWidth="1"/>
    <col min="4104" max="4104" width="15.5703125" style="5" bestFit="1" customWidth="1"/>
    <col min="4105" max="4105" width="17.42578125" style="5" bestFit="1" customWidth="1"/>
    <col min="4106" max="4106" width="14.85546875" style="5" customWidth="1"/>
    <col min="4107" max="4107" width="14.85546875" style="5" bestFit="1" customWidth="1"/>
    <col min="4108" max="4108" width="15.28515625" style="5" bestFit="1" customWidth="1"/>
    <col min="4109" max="4109" width="16" style="5" bestFit="1" customWidth="1"/>
    <col min="4110" max="4110" width="17.42578125" style="5" bestFit="1" customWidth="1"/>
    <col min="4111" max="4111" width="16.85546875" style="5" customWidth="1"/>
    <col min="4112" max="4112" width="14.85546875" style="5" customWidth="1"/>
    <col min="4113" max="4113" width="14.140625" style="5" customWidth="1"/>
    <col min="4114" max="4352" width="9.140625" style="5"/>
    <col min="4353" max="4353" width="31.5703125" style="5" customWidth="1"/>
    <col min="4354" max="4354" width="0" style="5" hidden="1" customWidth="1"/>
    <col min="4355" max="4355" width="14.5703125" style="5" bestFit="1" customWidth="1"/>
    <col min="4356" max="4356" width="17.42578125" style="5" bestFit="1" customWidth="1"/>
    <col min="4357" max="4357" width="16" style="5" bestFit="1" customWidth="1"/>
    <col min="4358" max="4358" width="15.7109375" style="5" customWidth="1"/>
    <col min="4359" max="4359" width="14.7109375" style="5" customWidth="1"/>
    <col min="4360" max="4360" width="15.5703125" style="5" bestFit="1" customWidth="1"/>
    <col min="4361" max="4361" width="17.42578125" style="5" bestFit="1" customWidth="1"/>
    <col min="4362" max="4362" width="14.85546875" style="5" customWidth="1"/>
    <col min="4363" max="4363" width="14.85546875" style="5" bestFit="1" customWidth="1"/>
    <col min="4364" max="4364" width="15.28515625" style="5" bestFit="1" customWidth="1"/>
    <col min="4365" max="4365" width="16" style="5" bestFit="1" customWidth="1"/>
    <col min="4366" max="4366" width="17.42578125" style="5" bestFit="1" customWidth="1"/>
    <col min="4367" max="4367" width="16.85546875" style="5" customWidth="1"/>
    <col min="4368" max="4368" width="14.85546875" style="5" customWidth="1"/>
    <col min="4369" max="4369" width="14.140625" style="5" customWidth="1"/>
    <col min="4370" max="4608" width="9.140625" style="5"/>
    <col min="4609" max="4609" width="31.5703125" style="5" customWidth="1"/>
    <col min="4610" max="4610" width="0" style="5" hidden="1" customWidth="1"/>
    <col min="4611" max="4611" width="14.5703125" style="5" bestFit="1" customWidth="1"/>
    <col min="4612" max="4612" width="17.42578125" style="5" bestFit="1" customWidth="1"/>
    <col min="4613" max="4613" width="16" style="5" bestFit="1" customWidth="1"/>
    <col min="4614" max="4614" width="15.7109375" style="5" customWidth="1"/>
    <col min="4615" max="4615" width="14.7109375" style="5" customWidth="1"/>
    <col min="4616" max="4616" width="15.5703125" style="5" bestFit="1" customWidth="1"/>
    <col min="4617" max="4617" width="17.42578125" style="5" bestFit="1" customWidth="1"/>
    <col min="4618" max="4618" width="14.85546875" style="5" customWidth="1"/>
    <col min="4619" max="4619" width="14.85546875" style="5" bestFit="1" customWidth="1"/>
    <col min="4620" max="4620" width="15.28515625" style="5" bestFit="1" customWidth="1"/>
    <col min="4621" max="4621" width="16" style="5" bestFit="1" customWidth="1"/>
    <col min="4622" max="4622" width="17.42578125" style="5" bestFit="1" customWidth="1"/>
    <col min="4623" max="4623" width="16.85546875" style="5" customWidth="1"/>
    <col min="4624" max="4624" width="14.85546875" style="5" customWidth="1"/>
    <col min="4625" max="4625" width="14.140625" style="5" customWidth="1"/>
    <col min="4626" max="4864" width="9.140625" style="5"/>
    <col min="4865" max="4865" width="31.5703125" style="5" customWidth="1"/>
    <col min="4866" max="4866" width="0" style="5" hidden="1" customWidth="1"/>
    <col min="4867" max="4867" width="14.5703125" style="5" bestFit="1" customWidth="1"/>
    <col min="4868" max="4868" width="17.42578125" style="5" bestFit="1" customWidth="1"/>
    <col min="4869" max="4869" width="16" style="5" bestFit="1" customWidth="1"/>
    <col min="4870" max="4870" width="15.7109375" style="5" customWidth="1"/>
    <col min="4871" max="4871" width="14.7109375" style="5" customWidth="1"/>
    <col min="4872" max="4872" width="15.5703125" style="5" bestFit="1" customWidth="1"/>
    <col min="4873" max="4873" width="17.42578125" style="5" bestFit="1" customWidth="1"/>
    <col min="4874" max="4874" width="14.85546875" style="5" customWidth="1"/>
    <col min="4875" max="4875" width="14.85546875" style="5" bestFit="1" customWidth="1"/>
    <col min="4876" max="4876" width="15.28515625" style="5" bestFit="1" customWidth="1"/>
    <col min="4877" max="4877" width="16" style="5" bestFit="1" customWidth="1"/>
    <col min="4878" max="4878" width="17.42578125" style="5" bestFit="1" customWidth="1"/>
    <col min="4879" max="4879" width="16.85546875" style="5" customWidth="1"/>
    <col min="4880" max="4880" width="14.85546875" style="5" customWidth="1"/>
    <col min="4881" max="4881" width="14.140625" style="5" customWidth="1"/>
    <col min="4882" max="5120" width="9.140625" style="5"/>
    <col min="5121" max="5121" width="31.5703125" style="5" customWidth="1"/>
    <col min="5122" max="5122" width="0" style="5" hidden="1" customWidth="1"/>
    <col min="5123" max="5123" width="14.5703125" style="5" bestFit="1" customWidth="1"/>
    <col min="5124" max="5124" width="17.42578125" style="5" bestFit="1" customWidth="1"/>
    <col min="5125" max="5125" width="16" style="5" bestFit="1" customWidth="1"/>
    <col min="5126" max="5126" width="15.7109375" style="5" customWidth="1"/>
    <col min="5127" max="5127" width="14.7109375" style="5" customWidth="1"/>
    <col min="5128" max="5128" width="15.5703125" style="5" bestFit="1" customWidth="1"/>
    <col min="5129" max="5129" width="17.42578125" style="5" bestFit="1" customWidth="1"/>
    <col min="5130" max="5130" width="14.85546875" style="5" customWidth="1"/>
    <col min="5131" max="5131" width="14.85546875" style="5" bestFit="1" customWidth="1"/>
    <col min="5132" max="5132" width="15.28515625" style="5" bestFit="1" customWidth="1"/>
    <col min="5133" max="5133" width="16" style="5" bestFit="1" customWidth="1"/>
    <col min="5134" max="5134" width="17.42578125" style="5" bestFit="1" customWidth="1"/>
    <col min="5135" max="5135" width="16.85546875" style="5" customWidth="1"/>
    <col min="5136" max="5136" width="14.85546875" style="5" customWidth="1"/>
    <col min="5137" max="5137" width="14.140625" style="5" customWidth="1"/>
    <col min="5138" max="5376" width="9.140625" style="5"/>
    <col min="5377" max="5377" width="31.5703125" style="5" customWidth="1"/>
    <col min="5378" max="5378" width="0" style="5" hidden="1" customWidth="1"/>
    <col min="5379" max="5379" width="14.5703125" style="5" bestFit="1" customWidth="1"/>
    <col min="5380" max="5380" width="17.42578125" style="5" bestFit="1" customWidth="1"/>
    <col min="5381" max="5381" width="16" style="5" bestFit="1" customWidth="1"/>
    <col min="5382" max="5382" width="15.7109375" style="5" customWidth="1"/>
    <col min="5383" max="5383" width="14.7109375" style="5" customWidth="1"/>
    <col min="5384" max="5384" width="15.5703125" style="5" bestFit="1" customWidth="1"/>
    <col min="5385" max="5385" width="17.42578125" style="5" bestFit="1" customWidth="1"/>
    <col min="5386" max="5386" width="14.85546875" style="5" customWidth="1"/>
    <col min="5387" max="5387" width="14.85546875" style="5" bestFit="1" customWidth="1"/>
    <col min="5388" max="5388" width="15.28515625" style="5" bestFit="1" customWidth="1"/>
    <col min="5389" max="5389" width="16" style="5" bestFit="1" customWidth="1"/>
    <col min="5390" max="5390" width="17.42578125" style="5" bestFit="1" customWidth="1"/>
    <col min="5391" max="5391" width="16.85546875" style="5" customWidth="1"/>
    <col min="5392" max="5392" width="14.85546875" style="5" customWidth="1"/>
    <col min="5393" max="5393" width="14.140625" style="5" customWidth="1"/>
    <col min="5394" max="5632" width="9.140625" style="5"/>
    <col min="5633" max="5633" width="31.5703125" style="5" customWidth="1"/>
    <col min="5634" max="5634" width="0" style="5" hidden="1" customWidth="1"/>
    <col min="5635" max="5635" width="14.5703125" style="5" bestFit="1" customWidth="1"/>
    <col min="5636" max="5636" width="17.42578125" style="5" bestFit="1" customWidth="1"/>
    <col min="5637" max="5637" width="16" style="5" bestFit="1" customWidth="1"/>
    <col min="5638" max="5638" width="15.7109375" style="5" customWidth="1"/>
    <col min="5639" max="5639" width="14.7109375" style="5" customWidth="1"/>
    <col min="5640" max="5640" width="15.5703125" style="5" bestFit="1" customWidth="1"/>
    <col min="5641" max="5641" width="17.42578125" style="5" bestFit="1" customWidth="1"/>
    <col min="5642" max="5642" width="14.85546875" style="5" customWidth="1"/>
    <col min="5643" max="5643" width="14.85546875" style="5" bestFit="1" customWidth="1"/>
    <col min="5644" max="5644" width="15.28515625" style="5" bestFit="1" customWidth="1"/>
    <col min="5645" max="5645" width="16" style="5" bestFit="1" customWidth="1"/>
    <col min="5646" max="5646" width="17.42578125" style="5" bestFit="1" customWidth="1"/>
    <col min="5647" max="5647" width="16.85546875" style="5" customWidth="1"/>
    <col min="5648" max="5648" width="14.85546875" style="5" customWidth="1"/>
    <col min="5649" max="5649" width="14.140625" style="5" customWidth="1"/>
    <col min="5650" max="5888" width="9.140625" style="5"/>
    <col min="5889" max="5889" width="31.5703125" style="5" customWidth="1"/>
    <col min="5890" max="5890" width="0" style="5" hidden="1" customWidth="1"/>
    <col min="5891" max="5891" width="14.5703125" style="5" bestFit="1" customWidth="1"/>
    <col min="5892" max="5892" width="17.42578125" style="5" bestFit="1" customWidth="1"/>
    <col min="5893" max="5893" width="16" style="5" bestFit="1" customWidth="1"/>
    <col min="5894" max="5894" width="15.7109375" style="5" customWidth="1"/>
    <col min="5895" max="5895" width="14.7109375" style="5" customWidth="1"/>
    <col min="5896" max="5896" width="15.5703125" style="5" bestFit="1" customWidth="1"/>
    <col min="5897" max="5897" width="17.42578125" style="5" bestFit="1" customWidth="1"/>
    <col min="5898" max="5898" width="14.85546875" style="5" customWidth="1"/>
    <col min="5899" max="5899" width="14.85546875" style="5" bestFit="1" customWidth="1"/>
    <col min="5900" max="5900" width="15.28515625" style="5" bestFit="1" customWidth="1"/>
    <col min="5901" max="5901" width="16" style="5" bestFit="1" customWidth="1"/>
    <col min="5902" max="5902" width="17.42578125" style="5" bestFit="1" customWidth="1"/>
    <col min="5903" max="5903" width="16.85546875" style="5" customWidth="1"/>
    <col min="5904" max="5904" width="14.85546875" style="5" customWidth="1"/>
    <col min="5905" max="5905" width="14.140625" style="5" customWidth="1"/>
    <col min="5906" max="6144" width="9.140625" style="5"/>
    <col min="6145" max="6145" width="31.5703125" style="5" customWidth="1"/>
    <col min="6146" max="6146" width="0" style="5" hidden="1" customWidth="1"/>
    <col min="6147" max="6147" width="14.5703125" style="5" bestFit="1" customWidth="1"/>
    <col min="6148" max="6148" width="17.42578125" style="5" bestFit="1" customWidth="1"/>
    <col min="6149" max="6149" width="16" style="5" bestFit="1" customWidth="1"/>
    <col min="6150" max="6150" width="15.7109375" style="5" customWidth="1"/>
    <col min="6151" max="6151" width="14.7109375" style="5" customWidth="1"/>
    <col min="6152" max="6152" width="15.5703125" style="5" bestFit="1" customWidth="1"/>
    <col min="6153" max="6153" width="17.42578125" style="5" bestFit="1" customWidth="1"/>
    <col min="6154" max="6154" width="14.85546875" style="5" customWidth="1"/>
    <col min="6155" max="6155" width="14.85546875" style="5" bestFit="1" customWidth="1"/>
    <col min="6156" max="6156" width="15.28515625" style="5" bestFit="1" customWidth="1"/>
    <col min="6157" max="6157" width="16" style="5" bestFit="1" customWidth="1"/>
    <col min="6158" max="6158" width="17.42578125" style="5" bestFit="1" customWidth="1"/>
    <col min="6159" max="6159" width="16.85546875" style="5" customWidth="1"/>
    <col min="6160" max="6160" width="14.85546875" style="5" customWidth="1"/>
    <col min="6161" max="6161" width="14.140625" style="5" customWidth="1"/>
    <col min="6162" max="6400" width="9.140625" style="5"/>
    <col min="6401" max="6401" width="31.5703125" style="5" customWidth="1"/>
    <col min="6402" max="6402" width="0" style="5" hidden="1" customWidth="1"/>
    <col min="6403" max="6403" width="14.5703125" style="5" bestFit="1" customWidth="1"/>
    <col min="6404" max="6404" width="17.42578125" style="5" bestFit="1" customWidth="1"/>
    <col min="6405" max="6405" width="16" style="5" bestFit="1" customWidth="1"/>
    <col min="6406" max="6406" width="15.7109375" style="5" customWidth="1"/>
    <col min="6407" max="6407" width="14.7109375" style="5" customWidth="1"/>
    <col min="6408" max="6408" width="15.5703125" style="5" bestFit="1" customWidth="1"/>
    <col min="6409" max="6409" width="17.42578125" style="5" bestFit="1" customWidth="1"/>
    <col min="6410" max="6410" width="14.85546875" style="5" customWidth="1"/>
    <col min="6411" max="6411" width="14.85546875" style="5" bestFit="1" customWidth="1"/>
    <col min="6412" max="6412" width="15.28515625" style="5" bestFit="1" customWidth="1"/>
    <col min="6413" max="6413" width="16" style="5" bestFit="1" customWidth="1"/>
    <col min="6414" max="6414" width="17.42578125" style="5" bestFit="1" customWidth="1"/>
    <col min="6415" max="6415" width="16.85546875" style="5" customWidth="1"/>
    <col min="6416" max="6416" width="14.85546875" style="5" customWidth="1"/>
    <col min="6417" max="6417" width="14.140625" style="5" customWidth="1"/>
    <col min="6418" max="6656" width="9.140625" style="5"/>
    <col min="6657" max="6657" width="31.5703125" style="5" customWidth="1"/>
    <col min="6658" max="6658" width="0" style="5" hidden="1" customWidth="1"/>
    <col min="6659" max="6659" width="14.5703125" style="5" bestFit="1" customWidth="1"/>
    <col min="6660" max="6660" width="17.42578125" style="5" bestFit="1" customWidth="1"/>
    <col min="6661" max="6661" width="16" style="5" bestFit="1" customWidth="1"/>
    <col min="6662" max="6662" width="15.7109375" style="5" customWidth="1"/>
    <col min="6663" max="6663" width="14.7109375" style="5" customWidth="1"/>
    <col min="6664" max="6664" width="15.5703125" style="5" bestFit="1" customWidth="1"/>
    <col min="6665" max="6665" width="17.42578125" style="5" bestFit="1" customWidth="1"/>
    <col min="6666" max="6666" width="14.85546875" style="5" customWidth="1"/>
    <col min="6667" max="6667" width="14.85546875" style="5" bestFit="1" customWidth="1"/>
    <col min="6668" max="6668" width="15.28515625" style="5" bestFit="1" customWidth="1"/>
    <col min="6669" max="6669" width="16" style="5" bestFit="1" customWidth="1"/>
    <col min="6670" max="6670" width="17.42578125" style="5" bestFit="1" customWidth="1"/>
    <col min="6671" max="6671" width="16.85546875" style="5" customWidth="1"/>
    <col min="6672" max="6672" width="14.85546875" style="5" customWidth="1"/>
    <col min="6673" max="6673" width="14.140625" style="5" customWidth="1"/>
    <col min="6674" max="6912" width="9.140625" style="5"/>
    <col min="6913" max="6913" width="31.5703125" style="5" customWidth="1"/>
    <col min="6914" max="6914" width="0" style="5" hidden="1" customWidth="1"/>
    <col min="6915" max="6915" width="14.5703125" style="5" bestFit="1" customWidth="1"/>
    <col min="6916" max="6916" width="17.42578125" style="5" bestFit="1" customWidth="1"/>
    <col min="6917" max="6917" width="16" style="5" bestFit="1" customWidth="1"/>
    <col min="6918" max="6918" width="15.7109375" style="5" customWidth="1"/>
    <col min="6919" max="6919" width="14.7109375" style="5" customWidth="1"/>
    <col min="6920" max="6920" width="15.5703125" style="5" bestFit="1" customWidth="1"/>
    <col min="6921" max="6921" width="17.42578125" style="5" bestFit="1" customWidth="1"/>
    <col min="6922" max="6922" width="14.85546875" style="5" customWidth="1"/>
    <col min="6923" max="6923" width="14.85546875" style="5" bestFit="1" customWidth="1"/>
    <col min="6924" max="6924" width="15.28515625" style="5" bestFit="1" customWidth="1"/>
    <col min="6925" max="6925" width="16" style="5" bestFit="1" customWidth="1"/>
    <col min="6926" max="6926" width="17.42578125" style="5" bestFit="1" customWidth="1"/>
    <col min="6927" max="6927" width="16.85546875" style="5" customWidth="1"/>
    <col min="6928" max="6928" width="14.85546875" style="5" customWidth="1"/>
    <col min="6929" max="6929" width="14.140625" style="5" customWidth="1"/>
    <col min="6930" max="7168" width="9.140625" style="5"/>
    <col min="7169" max="7169" width="31.5703125" style="5" customWidth="1"/>
    <col min="7170" max="7170" width="0" style="5" hidden="1" customWidth="1"/>
    <col min="7171" max="7171" width="14.5703125" style="5" bestFit="1" customWidth="1"/>
    <col min="7172" max="7172" width="17.42578125" style="5" bestFit="1" customWidth="1"/>
    <col min="7173" max="7173" width="16" style="5" bestFit="1" customWidth="1"/>
    <col min="7174" max="7174" width="15.7109375" style="5" customWidth="1"/>
    <col min="7175" max="7175" width="14.7109375" style="5" customWidth="1"/>
    <col min="7176" max="7176" width="15.5703125" style="5" bestFit="1" customWidth="1"/>
    <col min="7177" max="7177" width="17.42578125" style="5" bestFit="1" customWidth="1"/>
    <col min="7178" max="7178" width="14.85546875" style="5" customWidth="1"/>
    <col min="7179" max="7179" width="14.85546875" style="5" bestFit="1" customWidth="1"/>
    <col min="7180" max="7180" width="15.28515625" style="5" bestFit="1" customWidth="1"/>
    <col min="7181" max="7181" width="16" style="5" bestFit="1" customWidth="1"/>
    <col min="7182" max="7182" width="17.42578125" style="5" bestFit="1" customWidth="1"/>
    <col min="7183" max="7183" width="16.85546875" style="5" customWidth="1"/>
    <col min="7184" max="7184" width="14.85546875" style="5" customWidth="1"/>
    <col min="7185" max="7185" width="14.140625" style="5" customWidth="1"/>
    <col min="7186" max="7424" width="9.140625" style="5"/>
    <col min="7425" max="7425" width="31.5703125" style="5" customWidth="1"/>
    <col min="7426" max="7426" width="0" style="5" hidden="1" customWidth="1"/>
    <col min="7427" max="7427" width="14.5703125" style="5" bestFit="1" customWidth="1"/>
    <col min="7428" max="7428" width="17.42578125" style="5" bestFit="1" customWidth="1"/>
    <col min="7429" max="7429" width="16" style="5" bestFit="1" customWidth="1"/>
    <col min="7430" max="7430" width="15.7109375" style="5" customWidth="1"/>
    <col min="7431" max="7431" width="14.7109375" style="5" customWidth="1"/>
    <col min="7432" max="7432" width="15.5703125" style="5" bestFit="1" customWidth="1"/>
    <col min="7433" max="7433" width="17.42578125" style="5" bestFit="1" customWidth="1"/>
    <col min="7434" max="7434" width="14.85546875" style="5" customWidth="1"/>
    <col min="7435" max="7435" width="14.85546875" style="5" bestFit="1" customWidth="1"/>
    <col min="7436" max="7436" width="15.28515625" style="5" bestFit="1" customWidth="1"/>
    <col min="7437" max="7437" width="16" style="5" bestFit="1" customWidth="1"/>
    <col min="7438" max="7438" width="17.42578125" style="5" bestFit="1" customWidth="1"/>
    <col min="7439" max="7439" width="16.85546875" style="5" customWidth="1"/>
    <col min="7440" max="7440" width="14.85546875" style="5" customWidth="1"/>
    <col min="7441" max="7441" width="14.140625" style="5" customWidth="1"/>
    <col min="7442" max="7680" width="9.140625" style="5"/>
    <col min="7681" max="7681" width="31.5703125" style="5" customWidth="1"/>
    <col min="7682" max="7682" width="0" style="5" hidden="1" customWidth="1"/>
    <col min="7683" max="7683" width="14.5703125" style="5" bestFit="1" customWidth="1"/>
    <col min="7684" max="7684" width="17.42578125" style="5" bestFit="1" customWidth="1"/>
    <col min="7685" max="7685" width="16" style="5" bestFit="1" customWidth="1"/>
    <col min="7686" max="7686" width="15.7109375" style="5" customWidth="1"/>
    <col min="7687" max="7687" width="14.7109375" style="5" customWidth="1"/>
    <col min="7688" max="7688" width="15.5703125" style="5" bestFit="1" customWidth="1"/>
    <col min="7689" max="7689" width="17.42578125" style="5" bestFit="1" customWidth="1"/>
    <col min="7690" max="7690" width="14.85546875" style="5" customWidth="1"/>
    <col min="7691" max="7691" width="14.85546875" style="5" bestFit="1" customWidth="1"/>
    <col min="7692" max="7692" width="15.28515625" style="5" bestFit="1" customWidth="1"/>
    <col min="7693" max="7693" width="16" style="5" bestFit="1" customWidth="1"/>
    <col min="7694" max="7694" width="17.42578125" style="5" bestFit="1" customWidth="1"/>
    <col min="7695" max="7695" width="16.85546875" style="5" customWidth="1"/>
    <col min="7696" max="7696" width="14.85546875" style="5" customWidth="1"/>
    <col min="7697" max="7697" width="14.140625" style="5" customWidth="1"/>
    <col min="7698" max="7936" width="9.140625" style="5"/>
    <col min="7937" max="7937" width="31.5703125" style="5" customWidth="1"/>
    <col min="7938" max="7938" width="0" style="5" hidden="1" customWidth="1"/>
    <col min="7939" max="7939" width="14.5703125" style="5" bestFit="1" customWidth="1"/>
    <col min="7940" max="7940" width="17.42578125" style="5" bestFit="1" customWidth="1"/>
    <col min="7941" max="7941" width="16" style="5" bestFit="1" customWidth="1"/>
    <col min="7942" max="7942" width="15.7109375" style="5" customWidth="1"/>
    <col min="7943" max="7943" width="14.7109375" style="5" customWidth="1"/>
    <col min="7944" max="7944" width="15.5703125" style="5" bestFit="1" customWidth="1"/>
    <col min="7945" max="7945" width="17.42578125" style="5" bestFit="1" customWidth="1"/>
    <col min="7946" max="7946" width="14.85546875" style="5" customWidth="1"/>
    <col min="7947" max="7947" width="14.85546875" style="5" bestFit="1" customWidth="1"/>
    <col min="7948" max="7948" width="15.28515625" style="5" bestFit="1" customWidth="1"/>
    <col min="7949" max="7949" width="16" style="5" bestFit="1" customWidth="1"/>
    <col min="7950" max="7950" width="17.42578125" style="5" bestFit="1" customWidth="1"/>
    <col min="7951" max="7951" width="16.85546875" style="5" customWidth="1"/>
    <col min="7952" max="7952" width="14.85546875" style="5" customWidth="1"/>
    <col min="7953" max="7953" width="14.140625" style="5" customWidth="1"/>
    <col min="7954" max="8192" width="9.140625" style="5"/>
    <col min="8193" max="8193" width="31.5703125" style="5" customWidth="1"/>
    <col min="8194" max="8194" width="0" style="5" hidden="1" customWidth="1"/>
    <col min="8195" max="8195" width="14.5703125" style="5" bestFit="1" customWidth="1"/>
    <col min="8196" max="8196" width="17.42578125" style="5" bestFit="1" customWidth="1"/>
    <col min="8197" max="8197" width="16" style="5" bestFit="1" customWidth="1"/>
    <col min="8198" max="8198" width="15.7109375" style="5" customWidth="1"/>
    <col min="8199" max="8199" width="14.7109375" style="5" customWidth="1"/>
    <col min="8200" max="8200" width="15.5703125" style="5" bestFit="1" customWidth="1"/>
    <col min="8201" max="8201" width="17.42578125" style="5" bestFit="1" customWidth="1"/>
    <col min="8202" max="8202" width="14.85546875" style="5" customWidth="1"/>
    <col min="8203" max="8203" width="14.85546875" style="5" bestFit="1" customWidth="1"/>
    <col min="8204" max="8204" width="15.28515625" style="5" bestFit="1" customWidth="1"/>
    <col min="8205" max="8205" width="16" style="5" bestFit="1" customWidth="1"/>
    <col min="8206" max="8206" width="17.42578125" style="5" bestFit="1" customWidth="1"/>
    <col min="8207" max="8207" width="16.85546875" style="5" customWidth="1"/>
    <col min="8208" max="8208" width="14.85546875" style="5" customWidth="1"/>
    <col min="8209" max="8209" width="14.140625" style="5" customWidth="1"/>
    <col min="8210" max="8448" width="9.140625" style="5"/>
    <col min="8449" max="8449" width="31.5703125" style="5" customWidth="1"/>
    <col min="8450" max="8450" width="0" style="5" hidden="1" customWidth="1"/>
    <col min="8451" max="8451" width="14.5703125" style="5" bestFit="1" customWidth="1"/>
    <col min="8452" max="8452" width="17.42578125" style="5" bestFit="1" customWidth="1"/>
    <col min="8453" max="8453" width="16" style="5" bestFit="1" customWidth="1"/>
    <col min="8454" max="8454" width="15.7109375" style="5" customWidth="1"/>
    <col min="8455" max="8455" width="14.7109375" style="5" customWidth="1"/>
    <col min="8456" max="8456" width="15.5703125" style="5" bestFit="1" customWidth="1"/>
    <col min="8457" max="8457" width="17.42578125" style="5" bestFit="1" customWidth="1"/>
    <col min="8458" max="8458" width="14.85546875" style="5" customWidth="1"/>
    <col min="8459" max="8459" width="14.85546875" style="5" bestFit="1" customWidth="1"/>
    <col min="8460" max="8460" width="15.28515625" style="5" bestFit="1" customWidth="1"/>
    <col min="8461" max="8461" width="16" style="5" bestFit="1" customWidth="1"/>
    <col min="8462" max="8462" width="17.42578125" style="5" bestFit="1" customWidth="1"/>
    <col min="8463" max="8463" width="16.85546875" style="5" customWidth="1"/>
    <col min="8464" max="8464" width="14.85546875" style="5" customWidth="1"/>
    <col min="8465" max="8465" width="14.140625" style="5" customWidth="1"/>
    <col min="8466" max="8704" width="9.140625" style="5"/>
    <col min="8705" max="8705" width="31.5703125" style="5" customWidth="1"/>
    <col min="8706" max="8706" width="0" style="5" hidden="1" customWidth="1"/>
    <col min="8707" max="8707" width="14.5703125" style="5" bestFit="1" customWidth="1"/>
    <col min="8708" max="8708" width="17.42578125" style="5" bestFit="1" customWidth="1"/>
    <col min="8709" max="8709" width="16" style="5" bestFit="1" customWidth="1"/>
    <col min="8710" max="8710" width="15.7109375" style="5" customWidth="1"/>
    <col min="8711" max="8711" width="14.7109375" style="5" customWidth="1"/>
    <col min="8712" max="8712" width="15.5703125" style="5" bestFit="1" customWidth="1"/>
    <col min="8713" max="8713" width="17.42578125" style="5" bestFit="1" customWidth="1"/>
    <col min="8714" max="8714" width="14.85546875" style="5" customWidth="1"/>
    <col min="8715" max="8715" width="14.85546875" style="5" bestFit="1" customWidth="1"/>
    <col min="8716" max="8716" width="15.28515625" style="5" bestFit="1" customWidth="1"/>
    <col min="8717" max="8717" width="16" style="5" bestFit="1" customWidth="1"/>
    <col min="8718" max="8718" width="17.42578125" style="5" bestFit="1" customWidth="1"/>
    <col min="8719" max="8719" width="16.85546875" style="5" customWidth="1"/>
    <col min="8720" max="8720" width="14.85546875" style="5" customWidth="1"/>
    <col min="8721" max="8721" width="14.140625" style="5" customWidth="1"/>
    <col min="8722" max="8960" width="9.140625" style="5"/>
    <col min="8961" max="8961" width="31.5703125" style="5" customWidth="1"/>
    <col min="8962" max="8962" width="0" style="5" hidden="1" customWidth="1"/>
    <col min="8963" max="8963" width="14.5703125" style="5" bestFit="1" customWidth="1"/>
    <col min="8964" max="8964" width="17.42578125" style="5" bestFit="1" customWidth="1"/>
    <col min="8965" max="8965" width="16" style="5" bestFit="1" customWidth="1"/>
    <col min="8966" max="8966" width="15.7109375" style="5" customWidth="1"/>
    <col min="8967" max="8967" width="14.7109375" style="5" customWidth="1"/>
    <col min="8968" max="8968" width="15.5703125" style="5" bestFit="1" customWidth="1"/>
    <col min="8969" max="8969" width="17.42578125" style="5" bestFit="1" customWidth="1"/>
    <col min="8970" max="8970" width="14.85546875" style="5" customWidth="1"/>
    <col min="8971" max="8971" width="14.85546875" style="5" bestFit="1" customWidth="1"/>
    <col min="8972" max="8972" width="15.28515625" style="5" bestFit="1" customWidth="1"/>
    <col min="8973" max="8973" width="16" style="5" bestFit="1" customWidth="1"/>
    <col min="8974" max="8974" width="17.42578125" style="5" bestFit="1" customWidth="1"/>
    <col min="8975" max="8975" width="16.85546875" style="5" customWidth="1"/>
    <col min="8976" max="8976" width="14.85546875" style="5" customWidth="1"/>
    <col min="8977" max="8977" width="14.140625" style="5" customWidth="1"/>
    <col min="8978" max="9216" width="9.140625" style="5"/>
    <col min="9217" max="9217" width="31.5703125" style="5" customWidth="1"/>
    <col min="9218" max="9218" width="0" style="5" hidden="1" customWidth="1"/>
    <col min="9219" max="9219" width="14.5703125" style="5" bestFit="1" customWidth="1"/>
    <col min="9220" max="9220" width="17.42578125" style="5" bestFit="1" customWidth="1"/>
    <col min="9221" max="9221" width="16" style="5" bestFit="1" customWidth="1"/>
    <col min="9222" max="9222" width="15.7109375" style="5" customWidth="1"/>
    <col min="9223" max="9223" width="14.7109375" style="5" customWidth="1"/>
    <col min="9224" max="9224" width="15.5703125" style="5" bestFit="1" customWidth="1"/>
    <col min="9225" max="9225" width="17.42578125" style="5" bestFit="1" customWidth="1"/>
    <col min="9226" max="9226" width="14.85546875" style="5" customWidth="1"/>
    <col min="9227" max="9227" width="14.85546875" style="5" bestFit="1" customWidth="1"/>
    <col min="9228" max="9228" width="15.28515625" style="5" bestFit="1" customWidth="1"/>
    <col min="9229" max="9229" width="16" style="5" bestFit="1" customWidth="1"/>
    <col min="9230" max="9230" width="17.42578125" style="5" bestFit="1" customWidth="1"/>
    <col min="9231" max="9231" width="16.85546875" style="5" customWidth="1"/>
    <col min="9232" max="9232" width="14.85546875" style="5" customWidth="1"/>
    <col min="9233" max="9233" width="14.140625" style="5" customWidth="1"/>
    <col min="9234" max="9472" width="9.140625" style="5"/>
    <col min="9473" max="9473" width="31.5703125" style="5" customWidth="1"/>
    <col min="9474" max="9474" width="0" style="5" hidden="1" customWidth="1"/>
    <col min="9475" max="9475" width="14.5703125" style="5" bestFit="1" customWidth="1"/>
    <col min="9476" max="9476" width="17.42578125" style="5" bestFit="1" customWidth="1"/>
    <col min="9477" max="9477" width="16" style="5" bestFit="1" customWidth="1"/>
    <col min="9478" max="9478" width="15.7109375" style="5" customWidth="1"/>
    <col min="9479" max="9479" width="14.7109375" style="5" customWidth="1"/>
    <col min="9480" max="9480" width="15.5703125" style="5" bestFit="1" customWidth="1"/>
    <col min="9481" max="9481" width="17.42578125" style="5" bestFit="1" customWidth="1"/>
    <col min="9482" max="9482" width="14.85546875" style="5" customWidth="1"/>
    <col min="9483" max="9483" width="14.85546875" style="5" bestFit="1" customWidth="1"/>
    <col min="9484" max="9484" width="15.28515625" style="5" bestFit="1" customWidth="1"/>
    <col min="9485" max="9485" width="16" style="5" bestFit="1" customWidth="1"/>
    <col min="9486" max="9486" width="17.42578125" style="5" bestFit="1" customWidth="1"/>
    <col min="9487" max="9487" width="16.85546875" style="5" customWidth="1"/>
    <col min="9488" max="9488" width="14.85546875" style="5" customWidth="1"/>
    <col min="9489" max="9489" width="14.140625" style="5" customWidth="1"/>
    <col min="9490" max="9728" width="9.140625" style="5"/>
    <col min="9729" max="9729" width="31.5703125" style="5" customWidth="1"/>
    <col min="9730" max="9730" width="0" style="5" hidden="1" customWidth="1"/>
    <col min="9731" max="9731" width="14.5703125" style="5" bestFit="1" customWidth="1"/>
    <col min="9732" max="9732" width="17.42578125" style="5" bestFit="1" customWidth="1"/>
    <col min="9733" max="9733" width="16" style="5" bestFit="1" customWidth="1"/>
    <col min="9734" max="9734" width="15.7109375" style="5" customWidth="1"/>
    <col min="9735" max="9735" width="14.7109375" style="5" customWidth="1"/>
    <col min="9736" max="9736" width="15.5703125" style="5" bestFit="1" customWidth="1"/>
    <col min="9737" max="9737" width="17.42578125" style="5" bestFit="1" customWidth="1"/>
    <col min="9738" max="9738" width="14.85546875" style="5" customWidth="1"/>
    <col min="9739" max="9739" width="14.85546875" style="5" bestFit="1" customWidth="1"/>
    <col min="9740" max="9740" width="15.28515625" style="5" bestFit="1" customWidth="1"/>
    <col min="9741" max="9741" width="16" style="5" bestFit="1" customWidth="1"/>
    <col min="9742" max="9742" width="17.42578125" style="5" bestFit="1" customWidth="1"/>
    <col min="9743" max="9743" width="16.85546875" style="5" customWidth="1"/>
    <col min="9744" max="9744" width="14.85546875" style="5" customWidth="1"/>
    <col min="9745" max="9745" width="14.140625" style="5" customWidth="1"/>
    <col min="9746" max="9984" width="9.140625" style="5"/>
    <col min="9985" max="9985" width="31.5703125" style="5" customWidth="1"/>
    <col min="9986" max="9986" width="0" style="5" hidden="1" customWidth="1"/>
    <col min="9987" max="9987" width="14.5703125" style="5" bestFit="1" customWidth="1"/>
    <col min="9988" max="9988" width="17.42578125" style="5" bestFit="1" customWidth="1"/>
    <col min="9989" max="9989" width="16" style="5" bestFit="1" customWidth="1"/>
    <col min="9990" max="9990" width="15.7109375" style="5" customWidth="1"/>
    <col min="9991" max="9991" width="14.7109375" style="5" customWidth="1"/>
    <col min="9992" max="9992" width="15.5703125" style="5" bestFit="1" customWidth="1"/>
    <col min="9993" max="9993" width="17.42578125" style="5" bestFit="1" customWidth="1"/>
    <col min="9994" max="9994" width="14.85546875" style="5" customWidth="1"/>
    <col min="9995" max="9995" width="14.85546875" style="5" bestFit="1" customWidth="1"/>
    <col min="9996" max="9996" width="15.28515625" style="5" bestFit="1" customWidth="1"/>
    <col min="9997" max="9997" width="16" style="5" bestFit="1" customWidth="1"/>
    <col min="9998" max="9998" width="17.42578125" style="5" bestFit="1" customWidth="1"/>
    <col min="9999" max="9999" width="16.85546875" style="5" customWidth="1"/>
    <col min="10000" max="10000" width="14.85546875" style="5" customWidth="1"/>
    <col min="10001" max="10001" width="14.140625" style="5" customWidth="1"/>
    <col min="10002" max="10240" width="9.140625" style="5"/>
    <col min="10241" max="10241" width="31.5703125" style="5" customWidth="1"/>
    <col min="10242" max="10242" width="0" style="5" hidden="1" customWidth="1"/>
    <col min="10243" max="10243" width="14.5703125" style="5" bestFit="1" customWidth="1"/>
    <col min="10244" max="10244" width="17.42578125" style="5" bestFit="1" customWidth="1"/>
    <col min="10245" max="10245" width="16" style="5" bestFit="1" customWidth="1"/>
    <col min="10246" max="10246" width="15.7109375" style="5" customWidth="1"/>
    <col min="10247" max="10247" width="14.7109375" style="5" customWidth="1"/>
    <col min="10248" max="10248" width="15.5703125" style="5" bestFit="1" customWidth="1"/>
    <col min="10249" max="10249" width="17.42578125" style="5" bestFit="1" customWidth="1"/>
    <col min="10250" max="10250" width="14.85546875" style="5" customWidth="1"/>
    <col min="10251" max="10251" width="14.85546875" style="5" bestFit="1" customWidth="1"/>
    <col min="10252" max="10252" width="15.28515625" style="5" bestFit="1" customWidth="1"/>
    <col min="10253" max="10253" width="16" style="5" bestFit="1" customWidth="1"/>
    <col min="10254" max="10254" width="17.42578125" style="5" bestFit="1" customWidth="1"/>
    <col min="10255" max="10255" width="16.85546875" style="5" customWidth="1"/>
    <col min="10256" max="10256" width="14.85546875" style="5" customWidth="1"/>
    <col min="10257" max="10257" width="14.140625" style="5" customWidth="1"/>
    <col min="10258" max="10496" width="9.140625" style="5"/>
    <col min="10497" max="10497" width="31.5703125" style="5" customWidth="1"/>
    <col min="10498" max="10498" width="0" style="5" hidden="1" customWidth="1"/>
    <col min="10499" max="10499" width="14.5703125" style="5" bestFit="1" customWidth="1"/>
    <col min="10500" max="10500" width="17.42578125" style="5" bestFit="1" customWidth="1"/>
    <col min="10501" max="10501" width="16" style="5" bestFit="1" customWidth="1"/>
    <col min="10502" max="10502" width="15.7109375" style="5" customWidth="1"/>
    <col min="10503" max="10503" width="14.7109375" style="5" customWidth="1"/>
    <col min="10504" max="10504" width="15.5703125" style="5" bestFit="1" customWidth="1"/>
    <col min="10505" max="10505" width="17.42578125" style="5" bestFit="1" customWidth="1"/>
    <col min="10506" max="10506" width="14.85546875" style="5" customWidth="1"/>
    <col min="10507" max="10507" width="14.85546875" style="5" bestFit="1" customWidth="1"/>
    <col min="10508" max="10508" width="15.28515625" style="5" bestFit="1" customWidth="1"/>
    <col min="10509" max="10509" width="16" style="5" bestFit="1" customWidth="1"/>
    <col min="10510" max="10510" width="17.42578125" style="5" bestFit="1" customWidth="1"/>
    <col min="10511" max="10511" width="16.85546875" style="5" customWidth="1"/>
    <col min="10512" max="10512" width="14.85546875" style="5" customWidth="1"/>
    <col min="10513" max="10513" width="14.140625" style="5" customWidth="1"/>
    <col min="10514" max="10752" width="9.140625" style="5"/>
    <col min="10753" max="10753" width="31.5703125" style="5" customWidth="1"/>
    <col min="10754" max="10754" width="0" style="5" hidden="1" customWidth="1"/>
    <col min="10755" max="10755" width="14.5703125" style="5" bestFit="1" customWidth="1"/>
    <col min="10756" max="10756" width="17.42578125" style="5" bestFit="1" customWidth="1"/>
    <col min="10757" max="10757" width="16" style="5" bestFit="1" customWidth="1"/>
    <col min="10758" max="10758" width="15.7109375" style="5" customWidth="1"/>
    <col min="10759" max="10759" width="14.7109375" style="5" customWidth="1"/>
    <col min="10760" max="10760" width="15.5703125" style="5" bestFit="1" customWidth="1"/>
    <col min="10761" max="10761" width="17.42578125" style="5" bestFit="1" customWidth="1"/>
    <col min="10762" max="10762" width="14.85546875" style="5" customWidth="1"/>
    <col min="10763" max="10763" width="14.85546875" style="5" bestFit="1" customWidth="1"/>
    <col min="10764" max="10764" width="15.28515625" style="5" bestFit="1" customWidth="1"/>
    <col min="10765" max="10765" width="16" style="5" bestFit="1" customWidth="1"/>
    <col min="10766" max="10766" width="17.42578125" style="5" bestFit="1" customWidth="1"/>
    <col min="10767" max="10767" width="16.85546875" style="5" customWidth="1"/>
    <col min="10768" max="10768" width="14.85546875" style="5" customWidth="1"/>
    <col min="10769" max="10769" width="14.140625" style="5" customWidth="1"/>
    <col min="10770" max="11008" width="9.140625" style="5"/>
    <col min="11009" max="11009" width="31.5703125" style="5" customWidth="1"/>
    <col min="11010" max="11010" width="0" style="5" hidden="1" customWidth="1"/>
    <col min="11011" max="11011" width="14.5703125" style="5" bestFit="1" customWidth="1"/>
    <col min="11012" max="11012" width="17.42578125" style="5" bestFit="1" customWidth="1"/>
    <col min="11013" max="11013" width="16" style="5" bestFit="1" customWidth="1"/>
    <col min="11014" max="11014" width="15.7109375" style="5" customWidth="1"/>
    <col min="11015" max="11015" width="14.7109375" style="5" customWidth="1"/>
    <col min="11016" max="11016" width="15.5703125" style="5" bestFit="1" customWidth="1"/>
    <col min="11017" max="11017" width="17.42578125" style="5" bestFit="1" customWidth="1"/>
    <col min="11018" max="11018" width="14.85546875" style="5" customWidth="1"/>
    <col min="11019" max="11019" width="14.85546875" style="5" bestFit="1" customWidth="1"/>
    <col min="11020" max="11020" width="15.28515625" style="5" bestFit="1" customWidth="1"/>
    <col min="11021" max="11021" width="16" style="5" bestFit="1" customWidth="1"/>
    <col min="11022" max="11022" width="17.42578125" style="5" bestFit="1" customWidth="1"/>
    <col min="11023" max="11023" width="16.85546875" style="5" customWidth="1"/>
    <col min="11024" max="11024" width="14.85546875" style="5" customWidth="1"/>
    <col min="11025" max="11025" width="14.140625" style="5" customWidth="1"/>
    <col min="11026" max="11264" width="9.140625" style="5"/>
    <col min="11265" max="11265" width="31.5703125" style="5" customWidth="1"/>
    <col min="11266" max="11266" width="0" style="5" hidden="1" customWidth="1"/>
    <col min="11267" max="11267" width="14.5703125" style="5" bestFit="1" customWidth="1"/>
    <col min="11268" max="11268" width="17.42578125" style="5" bestFit="1" customWidth="1"/>
    <col min="11269" max="11269" width="16" style="5" bestFit="1" customWidth="1"/>
    <col min="11270" max="11270" width="15.7109375" style="5" customWidth="1"/>
    <col min="11271" max="11271" width="14.7109375" style="5" customWidth="1"/>
    <col min="11272" max="11272" width="15.5703125" style="5" bestFit="1" customWidth="1"/>
    <col min="11273" max="11273" width="17.42578125" style="5" bestFit="1" customWidth="1"/>
    <col min="11274" max="11274" width="14.85546875" style="5" customWidth="1"/>
    <col min="11275" max="11275" width="14.85546875" style="5" bestFit="1" customWidth="1"/>
    <col min="11276" max="11276" width="15.28515625" style="5" bestFit="1" customWidth="1"/>
    <col min="11277" max="11277" width="16" style="5" bestFit="1" customWidth="1"/>
    <col min="11278" max="11278" width="17.42578125" style="5" bestFit="1" customWidth="1"/>
    <col min="11279" max="11279" width="16.85546875" style="5" customWidth="1"/>
    <col min="11280" max="11280" width="14.85546875" style="5" customWidth="1"/>
    <col min="11281" max="11281" width="14.140625" style="5" customWidth="1"/>
    <col min="11282" max="11520" width="9.140625" style="5"/>
    <col min="11521" max="11521" width="31.5703125" style="5" customWidth="1"/>
    <col min="11522" max="11522" width="0" style="5" hidden="1" customWidth="1"/>
    <col min="11523" max="11523" width="14.5703125" style="5" bestFit="1" customWidth="1"/>
    <col min="11524" max="11524" width="17.42578125" style="5" bestFit="1" customWidth="1"/>
    <col min="11525" max="11525" width="16" style="5" bestFit="1" customWidth="1"/>
    <col min="11526" max="11526" width="15.7109375" style="5" customWidth="1"/>
    <col min="11527" max="11527" width="14.7109375" style="5" customWidth="1"/>
    <col min="11528" max="11528" width="15.5703125" style="5" bestFit="1" customWidth="1"/>
    <col min="11529" max="11529" width="17.42578125" style="5" bestFit="1" customWidth="1"/>
    <col min="11530" max="11530" width="14.85546875" style="5" customWidth="1"/>
    <col min="11531" max="11531" width="14.85546875" style="5" bestFit="1" customWidth="1"/>
    <col min="11532" max="11532" width="15.28515625" style="5" bestFit="1" customWidth="1"/>
    <col min="11533" max="11533" width="16" style="5" bestFit="1" customWidth="1"/>
    <col min="11534" max="11534" width="17.42578125" style="5" bestFit="1" customWidth="1"/>
    <col min="11535" max="11535" width="16.85546875" style="5" customWidth="1"/>
    <col min="11536" max="11536" width="14.85546875" style="5" customWidth="1"/>
    <col min="11537" max="11537" width="14.140625" style="5" customWidth="1"/>
    <col min="11538" max="11776" width="9.140625" style="5"/>
    <col min="11777" max="11777" width="31.5703125" style="5" customWidth="1"/>
    <col min="11778" max="11778" width="0" style="5" hidden="1" customWidth="1"/>
    <col min="11779" max="11779" width="14.5703125" style="5" bestFit="1" customWidth="1"/>
    <col min="11780" max="11780" width="17.42578125" style="5" bestFit="1" customWidth="1"/>
    <col min="11781" max="11781" width="16" style="5" bestFit="1" customWidth="1"/>
    <col min="11782" max="11782" width="15.7109375" style="5" customWidth="1"/>
    <col min="11783" max="11783" width="14.7109375" style="5" customWidth="1"/>
    <col min="11784" max="11784" width="15.5703125" style="5" bestFit="1" customWidth="1"/>
    <col min="11785" max="11785" width="17.42578125" style="5" bestFit="1" customWidth="1"/>
    <col min="11786" max="11786" width="14.85546875" style="5" customWidth="1"/>
    <col min="11787" max="11787" width="14.85546875" style="5" bestFit="1" customWidth="1"/>
    <col min="11788" max="11788" width="15.28515625" style="5" bestFit="1" customWidth="1"/>
    <col min="11789" max="11789" width="16" style="5" bestFit="1" customWidth="1"/>
    <col min="11790" max="11790" width="17.42578125" style="5" bestFit="1" customWidth="1"/>
    <col min="11791" max="11791" width="16.85546875" style="5" customWidth="1"/>
    <col min="11792" max="11792" width="14.85546875" style="5" customWidth="1"/>
    <col min="11793" max="11793" width="14.140625" style="5" customWidth="1"/>
    <col min="11794" max="12032" width="9.140625" style="5"/>
    <col min="12033" max="12033" width="31.5703125" style="5" customWidth="1"/>
    <col min="12034" max="12034" width="0" style="5" hidden="1" customWidth="1"/>
    <col min="12035" max="12035" width="14.5703125" style="5" bestFit="1" customWidth="1"/>
    <col min="12036" max="12036" width="17.42578125" style="5" bestFit="1" customWidth="1"/>
    <col min="12037" max="12037" width="16" style="5" bestFit="1" customWidth="1"/>
    <col min="12038" max="12038" width="15.7109375" style="5" customWidth="1"/>
    <col min="12039" max="12039" width="14.7109375" style="5" customWidth="1"/>
    <col min="12040" max="12040" width="15.5703125" style="5" bestFit="1" customWidth="1"/>
    <col min="12041" max="12041" width="17.42578125" style="5" bestFit="1" customWidth="1"/>
    <col min="12042" max="12042" width="14.85546875" style="5" customWidth="1"/>
    <col min="12043" max="12043" width="14.85546875" style="5" bestFit="1" customWidth="1"/>
    <col min="12044" max="12044" width="15.28515625" style="5" bestFit="1" customWidth="1"/>
    <col min="12045" max="12045" width="16" style="5" bestFit="1" customWidth="1"/>
    <col min="12046" max="12046" width="17.42578125" style="5" bestFit="1" customWidth="1"/>
    <col min="12047" max="12047" width="16.85546875" style="5" customWidth="1"/>
    <col min="12048" max="12048" width="14.85546875" style="5" customWidth="1"/>
    <col min="12049" max="12049" width="14.140625" style="5" customWidth="1"/>
    <col min="12050" max="12288" width="9.140625" style="5"/>
    <col min="12289" max="12289" width="31.5703125" style="5" customWidth="1"/>
    <col min="12290" max="12290" width="0" style="5" hidden="1" customWidth="1"/>
    <col min="12291" max="12291" width="14.5703125" style="5" bestFit="1" customWidth="1"/>
    <col min="12292" max="12292" width="17.42578125" style="5" bestFit="1" customWidth="1"/>
    <col min="12293" max="12293" width="16" style="5" bestFit="1" customWidth="1"/>
    <col min="12294" max="12294" width="15.7109375" style="5" customWidth="1"/>
    <col min="12295" max="12295" width="14.7109375" style="5" customWidth="1"/>
    <col min="12296" max="12296" width="15.5703125" style="5" bestFit="1" customWidth="1"/>
    <col min="12297" max="12297" width="17.42578125" style="5" bestFit="1" customWidth="1"/>
    <col min="12298" max="12298" width="14.85546875" style="5" customWidth="1"/>
    <col min="12299" max="12299" width="14.85546875" style="5" bestFit="1" customWidth="1"/>
    <col min="12300" max="12300" width="15.28515625" style="5" bestFit="1" customWidth="1"/>
    <col min="12301" max="12301" width="16" style="5" bestFit="1" customWidth="1"/>
    <col min="12302" max="12302" width="17.42578125" style="5" bestFit="1" customWidth="1"/>
    <col min="12303" max="12303" width="16.85546875" style="5" customWidth="1"/>
    <col min="12304" max="12304" width="14.85546875" style="5" customWidth="1"/>
    <col min="12305" max="12305" width="14.140625" style="5" customWidth="1"/>
    <col min="12306" max="12544" width="9.140625" style="5"/>
    <col min="12545" max="12545" width="31.5703125" style="5" customWidth="1"/>
    <col min="12546" max="12546" width="0" style="5" hidden="1" customWidth="1"/>
    <col min="12547" max="12547" width="14.5703125" style="5" bestFit="1" customWidth="1"/>
    <col min="12548" max="12548" width="17.42578125" style="5" bestFit="1" customWidth="1"/>
    <col min="12549" max="12549" width="16" style="5" bestFit="1" customWidth="1"/>
    <col min="12550" max="12550" width="15.7109375" style="5" customWidth="1"/>
    <col min="12551" max="12551" width="14.7109375" style="5" customWidth="1"/>
    <col min="12552" max="12552" width="15.5703125" style="5" bestFit="1" customWidth="1"/>
    <col min="12553" max="12553" width="17.42578125" style="5" bestFit="1" customWidth="1"/>
    <col min="12554" max="12554" width="14.85546875" style="5" customWidth="1"/>
    <col min="12555" max="12555" width="14.85546875" style="5" bestFit="1" customWidth="1"/>
    <col min="12556" max="12556" width="15.28515625" style="5" bestFit="1" customWidth="1"/>
    <col min="12557" max="12557" width="16" style="5" bestFit="1" customWidth="1"/>
    <col min="12558" max="12558" width="17.42578125" style="5" bestFit="1" customWidth="1"/>
    <col min="12559" max="12559" width="16.85546875" style="5" customWidth="1"/>
    <col min="12560" max="12560" width="14.85546875" style="5" customWidth="1"/>
    <col min="12561" max="12561" width="14.140625" style="5" customWidth="1"/>
    <col min="12562" max="12800" width="9.140625" style="5"/>
    <col min="12801" max="12801" width="31.5703125" style="5" customWidth="1"/>
    <col min="12802" max="12802" width="0" style="5" hidden="1" customWidth="1"/>
    <col min="12803" max="12803" width="14.5703125" style="5" bestFit="1" customWidth="1"/>
    <col min="12804" max="12804" width="17.42578125" style="5" bestFit="1" customWidth="1"/>
    <col min="12805" max="12805" width="16" style="5" bestFit="1" customWidth="1"/>
    <col min="12806" max="12806" width="15.7109375" style="5" customWidth="1"/>
    <col min="12807" max="12807" width="14.7109375" style="5" customWidth="1"/>
    <col min="12808" max="12808" width="15.5703125" style="5" bestFit="1" customWidth="1"/>
    <col min="12809" max="12809" width="17.42578125" style="5" bestFit="1" customWidth="1"/>
    <col min="12810" max="12810" width="14.85546875" style="5" customWidth="1"/>
    <col min="12811" max="12811" width="14.85546875" style="5" bestFit="1" customWidth="1"/>
    <col min="12812" max="12812" width="15.28515625" style="5" bestFit="1" customWidth="1"/>
    <col min="12813" max="12813" width="16" style="5" bestFit="1" customWidth="1"/>
    <col min="12814" max="12814" width="17.42578125" style="5" bestFit="1" customWidth="1"/>
    <col min="12815" max="12815" width="16.85546875" style="5" customWidth="1"/>
    <col min="12816" max="12816" width="14.85546875" style="5" customWidth="1"/>
    <col min="12817" max="12817" width="14.140625" style="5" customWidth="1"/>
    <col min="12818" max="13056" width="9.140625" style="5"/>
    <col min="13057" max="13057" width="31.5703125" style="5" customWidth="1"/>
    <col min="13058" max="13058" width="0" style="5" hidden="1" customWidth="1"/>
    <col min="13059" max="13059" width="14.5703125" style="5" bestFit="1" customWidth="1"/>
    <col min="13060" max="13060" width="17.42578125" style="5" bestFit="1" customWidth="1"/>
    <col min="13061" max="13061" width="16" style="5" bestFit="1" customWidth="1"/>
    <col min="13062" max="13062" width="15.7109375" style="5" customWidth="1"/>
    <col min="13063" max="13063" width="14.7109375" style="5" customWidth="1"/>
    <col min="13064" max="13064" width="15.5703125" style="5" bestFit="1" customWidth="1"/>
    <col min="13065" max="13065" width="17.42578125" style="5" bestFit="1" customWidth="1"/>
    <col min="13066" max="13066" width="14.85546875" style="5" customWidth="1"/>
    <col min="13067" max="13067" width="14.85546875" style="5" bestFit="1" customWidth="1"/>
    <col min="13068" max="13068" width="15.28515625" style="5" bestFit="1" customWidth="1"/>
    <col min="13069" max="13069" width="16" style="5" bestFit="1" customWidth="1"/>
    <col min="13070" max="13070" width="17.42578125" style="5" bestFit="1" customWidth="1"/>
    <col min="13071" max="13071" width="16.85546875" style="5" customWidth="1"/>
    <col min="13072" max="13072" width="14.85546875" style="5" customWidth="1"/>
    <col min="13073" max="13073" width="14.140625" style="5" customWidth="1"/>
    <col min="13074" max="13312" width="9.140625" style="5"/>
    <col min="13313" max="13313" width="31.5703125" style="5" customWidth="1"/>
    <col min="13314" max="13314" width="0" style="5" hidden="1" customWidth="1"/>
    <col min="13315" max="13315" width="14.5703125" style="5" bestFit="1" customWidth="1"/>
    <col min="13316" max="13316" width="17.42578125" style="5" bestFit="1" customWidth="1"/>
    <col min="13317" max="13317" width="16" style="5" bestFit="1" customWidth="1"/>
    <col min="13318" max="13318" width="15.7109375" style="5" customWidth="1"/>
    <col min="13319" max="13319" width="14.7109375" style="5" customWidth="1"/>
    <col min="13320" max="13320" width="15.5703125" style="5" bestFit="1" customWidth="1"/>
    <col min="13321" max="13321" width="17.42578125" style="5" bestFit="1" customWidth="1"/>
    <col min="13322" max="13322" width="14.85546875" style="5" customWidth="1"/>
    <col min="13323" max="13323" width="14.85546875" style="5" bestFit="1" customWidth="1"/>
    <col min="13324" max="13324" width="15.28515625" style="5" bestFit="1" customWidth="1"/>
    <col min="13325" max="13325" width="16" style="5" bestFit="1" customWidth="1"/>
    <col min="13326" max="13326" width="17.42578125" style="5" bestFit="1" customWidth="1"/>
    <col min="13327" max="13327" width="16.85546875" style="5" customWidth="1"/>
    <col min="13328" max="13328" width="14.85546875" style="5" customWidth="1"/>
    <col min="13329" max="13329" width="14.140625" style="5" customWidth="1"/>
    <col min="13330" max="13568" width="9.140625" style="5"/>
    <col min="13569" max="13569" width="31.5703125" style="5" customWidth="1"/>
    <col min="13570" max="13570" width="0" style="5" hidden="1" customWidth="1"/>
    <col min="13571" max="13571" width="14.5703125" style="5" bestFit="1" customWidth="1"/>
    <col min="13572" max="13572" width="17.42578125" style="5" bestFit="1" customWidth="1"/>
    <col min="13573" max="13573" width="16" style="5" bestFit="1" customWidth="1"/>
    <col min="13574" max="13574" width="15.7109375" style="5" customWidth="1"/>
    <col min="13575" max="13575" width="14.7109375" style="5" customWidth="1"/>
    <col min="13576" max="13576" width="15.5703125" style="5" bestFit="1" customWidth="1"/>
    <col min="13577" max="13577" width="17.42578125" style="5" bestFit="1" customWidth="1"/>
    <col min="13578" max="13578" width="14.85546875" style="5" customWidth="1"/>
    <col min="13579" max="13579" width="14.85546875" style="5" bestFit="1" customWidth="1"/>
    <col min="13580" max="13580" width="15.28515625" style="5" bestFit="1" customWidth="1"/>
    <col min="13581" max="13581" width="16" style="5" bestFit="1" customWidth="1"/>
    <col min="13582" max="13582" width="17.42578125" style="5" bestFit="1" customWidth="1"/>
    <col min="13583" max="13583" width="16.85546875" style="5" customWidth="1"/>
    <col min="13584" max="13584" width="14.85546875" style="5" customWidth="1"/>
    <col min="13585" max="13585" width="14.140625" style="5" customWidth="1"/>
    <col min="13586" max="13824" width="9.140625" style="5"/>
    <col min="13825" max="13825" width="31.5703125" style="5" customWidth="1"/>
    <col min="13826" max="13826" width="0" style="5" hidden="1" customWidth="1"/>
    <col min="13827" max="13827" width="14.5703125" style="5" bestFit="1" customWidth="1"/>
    <col min="13828" max="13828" width="17.42578125" style="5" bestFit="1" customWidth="1"/>
    <col min="13829" max="13829" width="16" style="5" bestFit="1" customWidth="1"/>
    <col min="13830" max="13830" width="15.7109375" style="5" customWidth="1"/>
    <col min="13831" max="13831" width="14.7109375" style="5" customWidth="1"/>
    <col min="13832" max="13832" width="15.5703125" style="5" bestFit="1" customWidth="1"/>
    <col min="13833" max="13833" width="17.42578125" style="5" bestFit="1" customWidth="1"/>
    <col min="13834" max="13834" width="14.85546875" style="5" customWidth="1"/>
    <col min="13835" max="13835" width="14.85546875" style="5" bestFit="1" customWidth="1"/>
    <col min="13836" max="13836" width="15.28515625" style="5" bestFit="1" customWidth="1"/>
    <col min="13837" max="13837" width="16" style="5" bestFit="1" customWidth="1"/>
    <col min="13838" max="13838" width="17.42578125" style="5" bestFit="1" customWidth="1"/>
    <col min="13839" max="13839" width="16.85546875" style="5" customWidth="1"/>
    <col min="13840" max="13840" width="14.85546875" style="5" customWidth="1"/>
    <col min="13841" max="13841" width="14.140625" style="5" customWidth="1"/>
    <col min="13842" max="14080" width="9.140625" style="5"/>
    <col min="14081" max="14081" width="31.5703125" style="5" customWidth="1"/>
    <col min="14082" max="14082" width="0" style="5" hidden="1" customWidth="1"/>
    <col min="14083" max="14083" width="14.5703125" style="5" bestFit="1" customWidth="1"/>
    <col min="14084" max="14084" width="17.42578125" style="5" bestFit="1" customWidth="1"/>
    <col min="14085" max="14085" width="16" style="5" bestFit="1" customWidth="1"/>
    <col min="14086" max="14086" width="15.7109375" style="5" customWidth="1"/>
    <col min="14087" max="14087" width="14.7109375" style="5" customWidth="1"/>
    <col min="14088" max="14088" width="15.5703125" style="5" bestFit="1" customWidth="1"/>
    <col min="14089" max="14089" width="17.42578125" style="5" bestFit="1" customWidth="1"/>
    <col min="14090" max="14090" width="14.85546875" style="5" customWidth="1"/>
    <col min="14091" max="14091" width="14.85546875" style="5" bestFit="1" customWidth="1"/>
    <col min="14092" max="14092" width="15.28515625" style="5" bestFit="1" customWidth="1"/>
    <col min="14093" max="14093" width="16" style="5" bestFit="1" customWidth="1"/>
    <col min="14094" max="14094" width="17.42578125" style="5" bestFit="1" customWidth="1"/>
    <col min="14095" max="14095" width="16.85546875" style="5" customWidth="1"/>
    <col min="14096" max="14096" width="14.85546875" style="5" customWidth="1"/>
    <col min="14097" max="14097" width="14.140625" style="5" customWidth="1"/>
    <col min="14098" max="14336" width="9.140625" style="5"/>
    <col min="14337" max="14337" width="31.5703125" style="5" customWidth="1"/>
    <col min="14338" max="14338" width="0" style="5" hidden="1" customWidth="1"/>
    <col min="14339" max="14339" width="14.5703125" style="5" bestFit="1" customWidth="1"/>
    <col min="14340" max="14340" width="17.42578125" style="5" bestFit="1" customWidth="1"/>
    <col min="14341" max="14341" width="16" style="5" bestFit="1" customWidth="1"/>
    <col min="14342" max="14342" width="15.7109375" style="5" customWidth="1"/>
    <col min="14343" max="14343" width="14.7109375" style="5" customWidth="1"/>
    <col min="14344" max="14344" width="15.5703125" style="5" bestFit="1" customWidth="1"/>
    <col min="14345" max="14345" width="17.42578125" style="5" bestFit="1" customWidth="1"/>
    <col min="14346" max="14346" width="14.85546875" style="5" customWidth="1"/>
    <col min="14347" max="14347" width="14.85546875" style="5" bestFit="1" customWidth="1"/>
    <col min="14348" max="14348" width="15.28515625" style="5" bestFit="1" customWidth="1"/>
    <col min="14349" max="14349" width="16" style="5" bestFit="1" customWidth="1"/>
    <col min="14350" max="14350" width="17.42578125" style="5" bestFit="1" customWidth="1"/>
    <col min="14351" max="14351" width="16.85546875" style="5" customWidth="1"/>
    <col min="14352" max="14352" width="14.85546875" style="5" customWidth="1"/>
    <col min="14353" max="14353" width="14.140625" style="5" customWidth="1"/>
    <col min="14354" max="14592" width="9.140625" style="5"/>
    <col min="14593" max="14593" width="31.5703125" style="5" customWidth="1"/>
    <col min="14594" max="14594" width="0" style="5" hidden="1" customWidth="1"/>
    <col min="14595" max="14595" width="14.5703125" style="5" bestFit="1" customWidth="1"/>
    <col min="14596" max="14596" width="17.42578125" style="5" bestFit="1" customWidth="1"/>
    <col min="14597" max="14597" width="16" style="5" bestFit="1" customWidth="1"/>
    <col min="14598" max="14598" width="15.7109375" style="5" customWidth="1"/>
    <col min="14599" max="14599" width="14.7109375" style="5" customWidth="1"/>
    <col min="14600" max="14600" width="15.5703125" style="5" bestFit="1" customWidth="1"/>
    <col min="14601" max="14601" width="17.42578125" style="5" bestFit="1" customWidth="1"/>
    <col min="14602" max="14602" width="14.85546875" style="5" customWidth="1"/>
    <col min="14603" max="14603" width="14.85546875" style="5" bestFit="1" customWidth="1"/>
    <col min="14604" max="14604" width="15.28515625" style="5" bestFit="1" customWidth="1"/>
    <col min="14605" max="14605" width="16" style="5" bestFit="1" customWidth="1"/>
    <col min="14606" max="14606" width="17.42578125" style="5" bestFit="1" customWidth="1"/>
    <col min="14607" max="14607" width="16.85546875" style="5" customWidth="1"/>
    <col min="14608" max="14608" width="14.85546875" style="5" customWidth="1"/>
    <col min="14609" max="14609" width="14.140625" style="5" customWidth="1"/>
    <col min="14610" max="14848" width="9.140625" style="5"/>
    <col min="14849" max="14849" width="31.5703125" style="5" customWidth="1"/>
    <col min="14850" max="14850" width="0" style="5" hidden="1" customWidth="1"/>
    <col min="14851" max="14851" width="14.5703125" style="5" bestFit="1" customWidth="1"/>
    <col min="14852" max="14852" width="17.42578125" style="5" bestFit="1" customWidth="1"/>
    <col min="14853" max="14853" width="16" style="5" bestFit="1" customWidth="1"/>
    <col min="14854" max="14854" width="15.7109375" style="5" customWidth="1"/>
    <col min="14855" max="14855" width="14.7109375" style="5" customWidth="1"/>
    <col min="14856" max="14856" width="15.5703125" style="5" bestFit="1" customWidth="1"/>
    <col min="14857" max="14857" width="17.42578125" style="5" bestFit="1" customWidth="1"/>
    <col min="14858" max="14858" width="14.85546875" style="5" customWidth="1"/>
    <col min="14859" max="14859" width="14.85546875" style="5" bestFit="1" customWidth="1"/>
    <col min="14860" max="14860" width="15.28515625" style="5" bestFit="1" customWidth="1"/>
    <col min="14861" max="14861" width="16" style="5" bestFit="1" customWidth="1"/>
    <col min="14862" max="14862" width="17.42578125" style="5" bestFit="1" customWidth="1"/>
    <col min="14863" max="14863" width="16.85546875" style="5" customWidth="1"/>
    <col min="14864" max="14864" width="14.85546875" style="5" customWidth="1"/>
    <col min="14865" max="14865" width="14.140625" style="5" customWidth="1"/>
    <col min="14866" max="15104" width="9.140625" style="5"/>
    <col min="15105" max="15105" width="31.5703125" style="5" customWidth="1"/>
    <col min="15106" max="15106" width="0" style="5" hidden="1" customWidth="1"/>
    <col min="15107" max="15107" width="14.5703125" style="5" bestFit="1" customWidth="1"/>
    <col min="15108" max="15108" width="17.42578125" style="5" bestFit="1" customWidth="1"/>
    <col min="15109" max="15109" width="16" style="5" bestFit="1" customWidth="1"/>
    <col min="15110" max="15110" width="15.7109375" style="5" customWidth="1"/>
    <col min="15111" max="15111" width="14.7109375" style="5" customWidth="1"/>
    <col min="15112" max="15112" width="15.5703125" style="5" bestFit="1" customWidth="1"/>
    <col min="15113" max="15113" width="17.42578125" style="5" bestFit="1" customWidth="1"/>
    <col min="15114" max="15114" width="14.85546875" style="5" customWidth="1"/>
    <col min="15115" max="15115" width="14.85546875" style="5" bestFit="1" customWidth="1"/>
    <col min="15116" max="15116" width="15.28515625" style="5" bestFit="1" customWidth="1"/>
    <col min="15117" max="15117" width="16" style="5" bestFit="1" customWidth="1"/>
    <col min="15118" max="15118" width="17.42578125" style="5" bestFit="1" customWidth="1"/>
    <col min="15119" max="15119" width="16.85546875" style="5" customWidth="1"/>
    <col min="15120" max="15120" width="14.85546875" style="5" customWidth="1"/>
    <col min="15121" max="15121" width="14.140625" style="5" customWidth="1"/>
    <col min="15122" max="15360" width="9.140625" style="5"/>
    <col min="15361" max="15361" width="31.5703125" style="5" customWidth="1"/>
    <col min="15362" max="15362" width="0" style="5" hidden="1" customWidth="1"/>
    <col min="15363" max="15363" width="14.5703125" style="5" bestFit="1" customWidth="1"/>
    <col min="15364" max="15364" width="17.42578125" style="5" bestFit="1" customWidth="1"/>
    <col min="15365" max="15365" width="16" style="5" bestFit="1" customWidth="1"/>
    <col min="15366" max="15366" width="15.7109375" style="5" customWidth="1"/>
    <col min="15367" max="15367" width="14.7109375" style="5" customWidth="1"/>
    <col min="15368" max="15368" width="15.5703125" style="5" bestFit="1" customWidth="1"/>
    <col min="15369" max="15369" width="17.42578125" style="5" bestFit="1" customWidth="1"/>
    <col min="15370" max="15370" width="14.85546875" style="5" customWidth="1"/>
    <col min="15371" max="15371" width="14.85546875" style="5" bestFit="1" customWidth="1"/>
    <col min="15372" max="15372" width="15.28515625" style="5" bestFit="1" customWidth="1"/>
    <col min="15373" max="15373" width="16" style="5" bestFit="1" customWidth="1"/>
    <col min="15374" max="15374" width="17.42578125" style="5" bestFit="1" customWidth="1"/>
    <col min="15375" max="15375" width="16.85546875" style="5" customWidth="1"/>
    <col min="15376" max="15376" width="14.85546875" style="5" customWidth="1"/>
    <col min="15377" max="15377" width="14.140625" style="5" customWidth="1"/>
    <col min="15378" max="15616" width="9.140625" style="5"/>
    <col min="15617" max="15617" width="31.5703125" style="5" customWidth="1"/>
    <col min="15618" max="15618" width="0" style="5" hidden="1" customWidth="1"/>
    <col min="15619" max="15619" width="14.5703125" style="5" bestFit="1" customWidth="1"/>
    <col min="15620" max="15620" width="17.42578125" style="5" bestFit="1" customWidth="1"/>
    <col min="15621" max="15621" width="16" style="5" bestFit="1" customWidth="1"/>
    <col min="15622" max="15622" width="15.7109375" style="5" customWidth="1"/>
    <col min="15623" max="15623" width="14.7109375" style="5" customWidth="1"/>
    <col min="15624" max="15624" width="15.5703125" style="5" bestFit="1" customWidth="1"/>
    <col min="15625" max="15625" width="17.42578125" style="5" bestFit="1" customWidth="1"/>
    <col min="15626" max="15626" width="14.85546875" style="5" customWidth="1"/>
    <col min="15627" max="15627" width="14.85546875" style="5" bestFit="1" customWidth="1"/>
    <col min="15628" max="15628" width="15.28515625" style="5" bestFit="1" customWidth="1"/>
    <col min="15629" max="15629" width="16" style="5" bestFit="1" customWidth="1"/>
    <col min="15630" max="15630" width="17.42578125" style="5" bestFit="1" customWidth="1"/>
    <col min="15631" max="15631" width="16.85546875" style="5" customWidth="1"/>
    <col min="15632" max="15632" width="14.85546875" style="5" customWidth="1"/>
    <col min="15633" max="15633" width="14.140625" style="5" customWidth="1"/>
    <col min="15634" max="15872" width="9.140625" style="5"/>
    <col min="15873" max="15873" width="31.5703125" style="5" customWidth="1"/>
    <col min="15874" max="15874" width="0" style="5" hidden="1" customWidth="1"/>
    <col min="15875" max="15875" width="14.5703125" style="5" bestFit="1" customWidth="1"/>
    <col min="15876" max="15876" width="17.42578125" style="5" bestFit="1" customWidth="1"/>
    <col min="15877" max="15877" width="16" style="5" bestFit="1" customWidth="1"/>
    <col min="15878" max="15878" width="15.7109375" style="5" customWidth="1"/>
    <col min="15879" max="15879" width="14.7109375" style="5" customWidth="1"/>
    <col min="15880" max="15880" width="15.5703125" style="5" bestFit="1" customWidth="1"/>
    <col min="15881" max="15881" width="17.42578125" style="5" bestFit="1" customWidth="1"/>
    <col min="15882" max="15882" width="14.85546875" style="5" customWidth="1"/>
    <col min="15883" max="15883" width="14.85546875" style="5" bestFit="1" customWidth="1"/>
    <col min="15884" max="15884" width="15.28515625" style="5" bestFit="1" customWidth="1"/>
    <col min="15885" max="15885" width="16" style="5" bestFit="1" customWidth="1"/>
    <col min="15886" max="15886" width="17.42578125" style="5" bestFit="1" customWidth="1"/>
    <col min="15887" max="15887" width="16.85546875" style="5" customWidth="1"/>
    <col min="15888" max="15888" width="14.85546875" style="5" customWidth="1"/>
    <col min="15889" max="15889" width="14.140625" style="5" customWidth="1"/>
    <col min="15890" max="16128" width="9.140625" style="5"/>
    <col min="16129" max="16129" width="31.5703125" style="5" customWidth="1"/>
    <col min="16130" max="16130" width="0" style="5" hidden="1" customWidth="1"/>
    <col min="16131" max="16131" width="14.5703125" style="5" bestFit="1" customWidth="1"/>
    <col min="16132" max="16132" width="17.42578125" style="5" bestFit="1" customWidth="1"/>
    <col min="16133" max="16133" width="16" style="5" bestFit="1" customWidth="1"/>
    <col min="16134" max="16134" width="15.7109375" style="5" customWidth="1"/>
    <col min="16135" max="16135" width="14.7109375" style="5" customWidth="1"/>
    <col min="16136" max="16136" width="15.5703125" style="5" bestFit="1" customWidth="1"/>
    <col min="16137" max="16137" width="17.42578125" style="5" bestFit="1" customWidth="1"/>
    <col min="16138" max="16138" width="14.85546875" style="5" customWidth="1"/>
    <col min="16139" max="16139" width="14.85546875" style="5" bestFit="1" customWidth="1"/>
    <col min="16140" max="16140" width="15.28515625" style="5" bestFit="1" customWidth="1"/>
    <col min="16141" max="16141" width="16" style="5" bestFit="1" customWidth="1"/>
    <col min="16142" max="16142" width="17.42578125" style="5" bestFit="1" customWidth="1"/>
    <col min="16143" max="16143" width="16.85546875" style="5" customWidth="1"/>
    <col min="16144" max="16144" width="14.85546875" style="5" customWidth="1"/>
    <col min="16145" max="16145" width="14.140625" style="5" customWidth="1"/>
    <col min="16146" max="16384" width="9.140625" style="5"/>
  </cols>
  <sheetData>
    <row r="1" spans="1:14" x14ac:dyDescent="0.25">
      <c r="A1" s="2" t="s">
        <v>14</v>
      </c>
      <c r="B1" s="3"/>
      <c r="C1" s="4"/>
      <c r="D1" s="4"/>
    </row>
    <row r="2" spans="1:14" outlineLevel="1" x14ac:dyDescent="0.25">
      <c r="A2" s="6"/>
      <c r="B2" s="7" t="s">
        <v>0</v>
      </c>
      <c r="C2" s="175" t="s">
        <v>15</v>
      </c>
      <c r="D2" s="175"/>
      <c r="E2" s="175"/>
      <c r="G2" s="175" t="s">
        <v>16</v>
      </c>
      <c r="H2" s="175"/>
      <c r="I2" s="175"/>
      <c r="J2" s="6"/>
      <c r="K2" s="175" t="s">
        <v>17</v>
      </c>
      <c r="L2" s="175"/>
      <c r="M2" s="175"/>
    </row>
    <row r="3" spans="1:14" outlineLevel="1" x14ac:dyDescent="0.25">
      <c r="A3" s="6"/>
      <c r="B3" s="7" t="s">
        <v>18</v>
      </c>
      <c r="C3" s="9" t="s">
        <v>19</v>
      </c>
      <c r="D3" s="9" t="s">
        <v>20</v>
      </c>
      <c r="E3" s="9" t="s">
        <v>21</v>
      </c>
      <c r="G3" s="9" t="s">
        <v>19</v>
      </c>
      <c r="H3" s="9" t="s">
        <v>20</v>
      </c>
      <c r="I3" s="9" t="s">
        <v>21</v>
      </c>
      <c r="J3" s="6"/>
      <c r="K3" s="9" t="s">
        <v>19</v>
      </c>
      <c r="L3" s="9" t="s">
        <v>20</v>
      </c>
      <c r="M3" s="9" t="s">
        <v>21</v>
      </c>
    </row>
    <row r="4" spans="1:14" outlineLevel="1" x14ac:dyDescent="0.25">
      <c r="A4" s="10" t="s">
        <v>22</v>
      </c>
      <c r="B4" s="11"/>
      <c r="C4" s="6"/>
      <c r="D4" s="6"/>
      <c r="E4" s="6"/>
      <c r="G4" s="6"/>
      <c r="H4" s="6"/>
      <c r="I4" s="6"/>
      <c r="J4" s="6"/>
      <c r="K4" s="6"/>
      <c r="L4" s="6"/>
      <c r="M4" s="6"/>
    </row>
    <row r="5" spans="1:14" outlineLevel="1" x14ac:dyDescent="0.25">
      <c r="A5" s="5" t="s">
        <v>23</v>
      </c>
      <c r="B5" s="12">
        <v>120415</v>
      </c>
      <c r="C5" s="13">
        <v>0</v>
      </c>
      <c r="D5" s="13">
        <v>22986.94</v>
      </c>
      <c r="E5" s="13">
        <f>SUM(C5:D5)</f>
        <v>22986.94</v>
      </c>
      <c r="G5" s="13">
        <v>0</v>
      </c>
      <c r="H5" s="13">
        <v>-766.23</v>
      </c>
      <c r="I5" s="13">
        <f>SUM(G5:H5)</f>
        <v>-766.23</v>
      </c>
      <c r="K5" s="13">
        <f t="shared" ref="K5:M7" si="0">C5+G5</f>
        <v>0</v>
      </c>
      <c r="L5" s="13">
        <f>D5+H5</f>
        <v>22220.71</v>
      </c>
      <c r="M5" s="13">
        <f t="shared" si="0"/>
        <v>22220.71</v>
      </c>
    </row>
    <row r="6" spans="1:14" outlineLevel="1" x14ac:dyDescent="0.25">
      <c r="A6" s="5" t="s">
        <v>24</v>
      </c>
      <c r="B6" s="12" t="s">
        <v>25</v>
      </c>
      <c r="C6" s="13">
        <v>0</v>
      </c>
      <c r="D6" s="13">
        <v>38138.46</v>
      </c>
      <c r="E6" s="13">
        <f>SUM(C6:D6)</f>
        <v>38138.46</v>
      </c>
      <c r="G6" s="13">
        <v>0</v>
      </c>
      <c r="H6" s="13">
        <v>0</v>
      </c>
      <c r="I6" s="13">
        <f>SUM(G6:H6)</f>
        <v>0</v>
      </c>
      <c r="K6" s="13">
        <f t="shared" si="0"/>
        <v>0</v>
      </c>
      <c r="L6" s="13">
        <f t="shared" si="0"/>
        <v>38138.46</v>
      </c>
      <c r="M6" s="13">
        <f t="shared" si="0"/>
        <v>38138.46</v>
      </c>
    </row>
    <row r="7" spans="1:14" outlineLevel="1" x14ac:dyDescent="0.25">
      <c r="A7" s="5" t="s">
        <v>26</v>
      </c>
      <c r="B7" s="12" t="s">
        <v>27</v>
      </c>
      <c r="C7" s="13">
        <v>-1.8917489796876907E-10</v>
      </c>
      <c r="D7" s="13">
        <v>171.17</v>
      </c>
      <c r="E7" s="13">
        <f>SUM(C7:D7)</f>
        <v>171.16999999981081</v>
      </c>
      <c r="G7" s="13">
        <v>0</v>
      </c>
      <c r="H7" s="13">
        <v>0</v>
      </c>
      <c r="I7" s="13">
        <f>SUM(G7:H7)</f>
        <v>0</v>
      </c>
      <c r="K7" s="13">
        <f t="shared" si="0"/>
        <v>-1.8917489796876907E-10</v>
      </c>
      <c r="L7" s="13">
        <f t="shared" si="0"/>
        <v>171.17</v>
      </c>
      <c r="M7" s="13">
        <f t="shared" si="0"/>
        <v>171.16999999981081</v>
      </c>
    </row>
    <row r="8" spans="1:14" s="6" customFormat="1" outlineLevel="1" x14ac:dyDescent="0.25">
      <c r="A8" s="6" t="s">
        <v>28</v>
      </c>
      <c r="B8" s="7"/>
      <c r="C8" s="14">
        <f>SUM(C5:C7)</f>
        <v>-1.8917489796876907E-10</v>
      </c>
      <c r="D8" s="14">
        <f>SUM(D5:D7)</f>
        <v>61296.569999999992</v>
      </c>
      <c r="E8" s="14">
        <f>SUM(E5:E7)</f>
        <v>61296.569999999803</v>
      </c>
      <c r="F8" s="15"/>
      <c r="G8" s="16">
        <f>SUM(G5:G7)</f>
        <v>0</v>
      </c>
      <c r="H8" s="16">
        <f>SUM(H5:H7)</f>
        <v>-766.23</v>
      </c>
      <c r="I8" s="16">
        <f>SUM(I5:I7)</f>
        <v>-766.23</v>
      </c>
      <c r="J8" s="17"/>
      <c r="K8" s="16">
        <f>SUM(K5:K7)</f>
        <v>-1.8917489796876907E-10</v>
      </c>
      <c r="L8" s="16">
        <f>SUM(L5:L7)</f>
        <v>60530.34</v>
      </c>
      <c r="M8" s="16">
        <f>SUM(M5:M7)</f>
        <v>60530.339999999807</v>
      </c>
      <c r="N8" s="18"/>
    </row>
    <row r="9" spans="1:14" outlineLevel="1" x14ac:dyDescent="0.25"/>
    <row r="10" spans="1:14" outlineLevel="1" x14ac:dyDescent="0.25">
      <c r="A10" s="6"/>
      <c r="B10" s="7"/>
      <c r="C10" s="175" t="s">
        <v>15</v>
      </c>
      <c r="D10" s="175"/>
      <c r="E10" s="175"/>
      <c r="G10" s="175" t="s">
        <v>29</v>
      </c>
      <c r="H10" s="175"/>
      <c r="I10" s="175"/>
      <c r="J10" s="6"/>
      <c r="K10" s="175" t="s">
        <v>17</v>
      </c>
      <c r="L10" s="175"/>
      <c r="M10" s="175"/>
    </row>
    <row r="11" spans="1:14" outlineLevel="1" x14ac:dyDescent="0.25">
      <c r="A11" s="6"/>
      <c r="B11" s="7"/>
      <c r="C11" s="9" t="s">
        <v>19</v>
      </c>
      <c r="D11" s="9" t="s">
        <v>20</v>
      </c>
      <c r="E11" s="9" t="s">
        <v>21</v>
      </c>
      <c r="G11" s="9" t="s">
        <v>19</v>
      </c>
      <c r="H11" s="9" t="s">
        <v>20</v>
      </c>
      <c r="I11" s="9" t="s">
        <v>21</v>
      </c>
      <c r="J11" s="6"/>
      <c r="K11" s="9" t="s">
        <v>19</v>
      </c>
      <c r="L11" s="9" t="s">
        <v>20</v>
      </c>
      <c r="M11" s="9" t="s">
        <v>21</v>
      </c>
    </row>
    <row r="12" spans="1:14" outlineLevel="1" x14ac:dyDescent="0.25">
      <c r="A12" s="10" t="s">
        <v>30</v>
      </c>
      <c r="B12" s="11"/>
      <c r="C12" s="6"/>
      <c r="D12" s="6"/>
      <c r="E12" s="6"/>
      <c r="G12" s="6"/>
      <c r="H12" s="6"/>
      <c r="I12" s="6"/>
      <c r="J12" s="6"/>
      <c r="K12" s="6"/>
      <c r="L12" s="6"/>
      <c r="M12" s="6"/>
    </row>
    <row r="13" spans="1:14" outlineLevel="1" x14ac:dyDescent="0.25">
      <c r="A13" s="5" t="s">
        <v>23</v>
      </c>
      <c r="B13" s="12">
        <v>120415</v>
      </c>
      <c r="C13" s="13">
        <f>+E5</f>
        <v>22986.94</v>
      </c>
      <c r="D13" s="13">
        <v>88314.49</v>
      </c>
      <c r="E13" s="13">
        <f>SUM(C13:D13)</f>
        <v>111301.43000000001</v>
      </c>
      <c r="F13" s="13"/>
      <c r="G13" s="13">
        <f>+I5</f>
        <v>-766.23</v>
      </c>
      <c r="H13" s="13">
        <v>-4476.28</v>
      </c>
      <c r="I13" s="13">
        <f>SUM(G13:H13)</f>
        <v>-5242.51</v>
      </c>
      <c r="K13" s="13">
        <f t="shared" ref="K13:M16" si="1">C13+G13</f>
        <v>22220.71</v>
      </c>
      <c r="L13" s="13">
        <f t="shared" si="1"/>
        <v>83838.210000000006</v>
      </c>
      <c r="M13" s="13">
        <f t="shared" si="1"/>
        <v>106058.92000000001</v>
      </c>
    </row>
    <row r="14" spans="1:14" outlineLevel="1" x14ac:dyDescent="0.25">
      <c r="A14" s="5" t="s">
        <v>31</v>
      </c>
      <c r="C14" s="13">
        <f>+H5</f>
        <v>-766.23</v>
      </c>
      <c r="D14" s="13"/>
      <c r="E14" s="13">
        <f>SUM(C14:D14)</f>
        <v>-766.23</v>
      </c>
      <c r="F14" s="13"/>
      <c r="G14" s="13">
        <f>-H5</f>
        <v>766.23</v>
      </c>
      <c r="H14" s="13"/>
      <c r="I14" s="13">
        <f>SUM(G14:H14)</f>
        <v>766.23</v>
      </c>
      <c r="K14" s="13">
        <f t="shared" si="1"/>
        <v>0</v>
      </c>
      <c r="L14" s="13">
        <f t="shared" si="1"/>
        <v>0</v>
      </c>
      <c r="M14" s="13">
        <f t="shared" si="1"/>
        <v>0</v>
      </c>
    </row>
    <row r="15" spans="1:14" outlineLevel="1" x14ac:dyDescent="0.25">
      <c r="A15" s="5" t="s">
        <v>24</v>
      </c>
      <c r="B15" s="12" t="s">
        <v>25</v>
      </c>
      <c r="C15" s="13">
        <v>38138.46</v>
      </c>
      <c r="D15" s="13">
        <v>109236.68</v>
      </c>
      <c r="E15" s="13">
        <f>SUM(C15:D15)</f>
        <v>147375.13999999998</v>
      </c>
      <c r="F15" s="13"/>
      <c r="G15" s="13">
        <v>0</v>
      </c>
      <c r="H15" s="13">
        <v>0</v>
      </c>
      <c r="I15" s="13">
        <f>SUM(G15:H15)</f>
        <v>0</v>
      </c>
      <c r="K15" s="13">
        <f t="shared" si="1"/>
        <v>38138.46</v>
      </c>
      <c r="L15" s="13">
        <f t="shared" si="1"/>
        <v>109236.68</v>
      </c>
      <c r="M15" s="13">
        <f t="shared" si="1"/>
        <v>147375.13999999998</v>
      </c>
    </row>
    <row r="16" spans="1:14" outlineLevel="1" x14ac:dyDescent="0.25">
      <c r="A16" s="5" t="s">
        <v>26</v>
      </c>
      <c r="B16" s="12" t="s">
        <v>27</v>
      </c>
      <c r="C16" s="13">
        <v>171.16999999981081</v>
      </c>
      <c r="D16" s="13">
        <v>-138.13999999999999</v>
      </c>
      <c r="E16" s="13">
        <f>SUM(C16:D16)</f>
        <v>33.029999999810826</v>
      </c>
      <c r="F16" s="13"/>
      <c r="G16" s="13">
        <v>0</v>
      </c>
      <c r="H16" s="13">
        <v>0</v>
      </c>
      <c r="I16" s="13">
        <f>SUM(G16:H16)</f>
        <v>0</v>
      </c>
      <c r="K16" s="13">
        <f t="shared" si="1"/>
        <v>171.16999999981081</v>
      </c>
      <c r="L16" s="13">
        <f t="shared" si="1"/>
        <v>-138.13999999999999</v>
      </c>
      <c r="M16" s="13">
        <f t="shared" si="1"/>
        <v>33.029999999810826</v>
      </c>
    </row>
    <row r="17" spans="1:14" outlineLevel="1" x14ac:dyDescent="0.25">
      <c r="A17" s="6" t="s">
        <v>28</v>
      </c>
      <c r="B17" s="7"/>
      <c r="C17" s="14">
        <f>SUM(C13:C16)</f>
        <v>60530.339999999807</v>
      </c>
      <c r="D17" s="14">
        <f>SUM(D13:D16)</f>
        <v>197413.02999999997</v>
      </c>
      <c r="E17" s="14">
        <f>SUM(E13:E16)</f>
        <v>257943.36999999982</v>
      </c>
      <c r="F17" s="13"/>
      <c r="G17" s="14">
        <f>SUM(G13:G16)</f>
        <v>0</v>
      </c>
      <c r="H17" s="14">
        <f>SUM(H13:H16)</f>
        <v>-4476.28</v>
      </c>
      <c r="I17" s="14">
        <f>SUM(I13:I16)</f>
        <v>-4476.2800000000007</v>
      </c>
      <c r="J17" s="17"/>
      <c r="K17" s="14">
        <f>SUM(K13:K16)</f>
        <v>60530.339999999807</v>
      </c>
      <c r="L17" s="14">
        <f>SUM(L13:L16)</f>
        <v>192936.75</v>
      </c>
      <c r="M17" s="14">
        <f>SUM(M13:M16)</f>
        <v>253467.08999999982</v>
      </c>
      <c r="N17" s="18"/>
    </row>
    <row r="18" spans="1:14" outlineLevel="1" x14ac:dyDescent="0.25"/>
    <row r="19" spans="1:14" outlineLevel="1" x14ac:dyDescent="0.25">
      <c r="A19" s="6"/>
      <c r="B19" s="7"/>
      <c r="C19" s="175" t="s">
        <v>15</v>
      </c>
      <c r="D19" s="175"/>
      <c r="E19" s="175"/>
      <c r="G19" s="175" t="s">
        <v>29</v>
      </c>
      <c r="H19" s="175"/>
      <c r="I19" s="175"/>
      <c r="J19" s="6"/>
      <c r="K19" s="175" t="s">
        <v>17</v>
      </c>
      <c r="L19" s="175"/>
      <c r="M19" s="175"/>
    </row>
    <row r="20" spans="1:14" outlineLevel="1" x14ac:dyDescent="0.25">
      <c r="A20" s="6"/>
      <c r="B20" s="7"/>
      <c r="C20" s="9" t="s">
        <v>19</v>
      </c>
      <c r="D20" s="9" t="s">
        <v>20</v>
      </c>
      <c r="E20" s="9" t="s">
        <v>21</v>
      </c>
      <c r="G20" s="9" t="s">
        <v>19</v>
      </c>
      <c r="H20" s="9" t="s">
        <v>20</v>
      </c>
      <c r="I20" s="9" t="s">
        <v>21</v>
      </c>
      <c r="J20" s="6"/>
      <c r="K20" s="9" t="s">
        <v>19</v>
      </c>
      <c r="L20" s="9" t="s">
        <v>20</v>
      </c>
      <c r="M20" s="9" t="s">
        <v>21</v>
      </c>
    </row>
    <row r="21" spans="1:14" outlineLevel="1" x14ac:dyDescent="0.25">
      <c r="A21" s="10" t="s">
        <v>32</v>
      </c>
      <c r="B21" s="11"/>
      <c r="C21" s="6"/>
      <c r="D21" s="6"/>
      <c r="E21" s="6"/>
      <c r="G21" s="6"/>
      <c r="H21" s="6"/>
      <c r="I21" s="6"/>
      <c r="J21" s="6"/>
      <c r="K21" s="6"/>
      <c r="L21" s="6"/>
      <c r="M21" s="6"/>
    </row>
    <row r="22" spans="1:14" outlineLevel="1" x14ac:dyDescent="0.25">
      <c r="A22" s="5" t="s">
        <v>23</v>
      </c>
      <c r="B22" s="12">
        <v>120415</v>
      </c>
      <c r="C22" s="13">
        <v>110535.20000000001</v>
      </c>
      <c r="D22" s="13">
        <v>173210.96</v>
      </c>
      <c r="E22" s="13">
        <f>SUM(C22:D22)</f>
        <v>283746.16000000003</v>
      </c>
      <c r="F22" s="13"/>
      <c r="G22" s="13">
        <v>-4476.28</v>
      </c>
      <c r="H22" s="13">
        <v>-13193.79</v>
      </c>
      <c r="I22" s="13">
        <f>SUM(G22:H22)</f>
        <v>-17670.07</v>
      </c>
      <c r="J22" s="13"/>
      <c r="K22" s="13">
        <f t="shared" ref="K22:M26" si="2">C22+G22</f>
        <v>106058.92000000001</v>
      </c>
      <c r="L22" s="13">
        <f t="shared" si="2"/>
        <v>160017.16999999998</v>
      </c>
      <c r="M22" s="13">
        <f t="shared" si="2"/>
        <v>266076.09000000003</v>
      </c>
    </row>
    <row r="23" spans="1:14" outlineLevel="1" x14ac:dyDescent="0.25">
      <c r="A23" s="5" t="s">
        <v>24</v>
      </c>
      <c r="B23" s="12" t="s">
        <v>25</v>
      </c>
      <c r="C23" s="13">
        <v>147375.13999999998</v>
      </c>
      <c r="D23" s="13">
        <v>36781</v>
      </c>
      <c r="E23" s="13">
        <f>SUM(C23:D23)</f>
        <v>184156.13999999998</v>
      </c>
      <c r="F23" s="13"/>
      <c r="G23" s="13">
        <v>0</v>
      </c>
      <c r="H23" s="13"/>
      <c r="I23" s="13">
        <f>SUM(G23:H23)</f>
        <v>0</v>
      </c>
      <c r="J23" s="13"/>
      <c r="K23" s="13">
        <f t="shared" si="2"/>
        <v>147375.13999999998</v>
      </c>
      <c r="L23" s="13">
        <f t="shared" si="2"/>
        <v>36781</v>
      </c>
      <c r="M23" s="13">
        <f t="shared" si="2"/>
        <v>184156.13999999998</v>
      </c>
    </row>
    <row r="24" spans="1:14" outlineLevel="1" x14ac:dyDescent="0.25">
      <c r="A24" s="5" t="s">
        <v>26</v>
      </c>
      <c r="B24" s="12" t="s">
        <v>27</v>
      </c>
      <c r="C24" s="13">
        <v>33.029999999810826</v>
      </c>
      <c r="D24" s="13">
        <v>-33.03</v>
      </c>
      <c r="E24" s="13">
        <f>SUM(C24:D24)</f>
        <v>-1.8917489796876907E-10</v>
      </c>
      <c r="F24" s="13"/>
      <c r="G24" s="13">
        <v>0</v>
      </c>
      <c r="H24" s="13"/>
      <c r="I24" s="13">
        <f>SUM(G24:H24)</f>
        <v>0</v>
      </c>
      <c r="J24" s="13"/>
      <c r="K24" s="13">
        <f t="shared" si="2"/>
        <v>33.029999999810826</v>
      </c>
      <c r="L24" s="13">
        <f t="shared" si="2"/>
        <v>-33.03</v>
      </c>
      <c r="M24" s="13">
        <f t="shared" si="2"/>
        <v>-1.8917489796876907E-10</v>
      </c>
    </row>
    <row r="25" spans="1:14" outlineLevel="1" x14ac:dyDescent="0.25">
      <c r="A25" s="5" t="s">
        <v>33</v>
      </c>
      <c r="B25" s="12">
        <v>215261</v>
      </c>
      <c r="C25" s="13">
        <v>0</v>
      </c>
      <c r="D25" s="13">
        <v>-4850</v>
      </c>
      <c r="E25" s="13">
        <f>SUM(C25:D25)</f>
        <v>-4850</v>
      </c>
      <c r="F25" s="13"/>
      <c r="G25" s="13">
        <v>0</v>
      </c>
      <c r="H25" s="13">
        <v>161.66999999999999</v>
      </c>
      <c r="I25" s="13">
        <f>SUM(G25:H25)</f>
        <v>161.66999999999999</v>
      </c>
      <c r="J25" s="13"/>
      <c r="K25" s="13">
        <f t="shared" si="2"/>
        <v>0</v>
      </c>
      <c r="L25" s="13">
        <f t="shared" si="2"/>
        <v>-4688.33</v>
      </c>
      <c r="M25" s="13">
        <f t="shared" si="2"/>
        <v>-4688.33</v>
      </c>
    </row>
    <row r="26" spans="1:14" outlineLevel="1" x14ac:dyDescent="0.25">
      <c r="A26" s="5" t="s">
        <v>34</v>
      </c>
      <c r="B26" s="12">
        <v>215615</v>
      </c>
      <c r="C26" s="13">
        <v>0</v>
      </c>
      <c r="D26" s="13">
        <v>-64880</v>
      </c>
      <c r="E26" s="13">
        <f>SUM(C26:D26)</f>
        <v>-64880</v>
      </c>
      <c r="F26" s="13"/>
      <c r="G26" s="13">
        <v>0</v>
      </c>
      <c r="H26" s="13"/>
      <c r="I26" s="13">
        <f>SUM(G26:H26)</f>
        <v>0</v>
      </c>
      <c r="J26" s="13"/>
      <c r="K26" s="13">
        <f t="shared" si="2"/>
        <v>0</v>
      </c>
      <c r="L26" s="13">
        <f t="shared" si="2"/>
        <v>-64880</v>
      </c>
      <c r="M26" s="13">
        <f t="shared" si="2"/>
        <v>-64880</v>
      </c>
    </row>
    <row r="27" spans="1:14" outlineLevel="1" x14ac:dyDescent="0.25">
      <c r="A27" s="6" t="s">
        <v>28</v>
      </c>
      <c r="B27" s="7"/>
      <c r="C27" s="14">
        <f>SUM(C22:C26)</f>
        <v>257943.36999999982</v>
      </c>
      <c r="D27" s="14">
        <f t="shared" ref="D27:M27" si="3">SUM(D22:D26)</f>
        <v>140228.93</v>
      </c>
      <c r="E27" s="14">
        <f t="shared" si="3"/>
        <v>398172.29999999987</v>
      </c>
      <c r="F27" s="15"/>
      <c r="G27" s="14">
        <f t="shared" si="3"/>
        <v>-4476.28</v>
      </c>
      <c r="H27" s="14">
        <f t="shared" si="3"/>
        <v>-13032.12</v>
      </c>
      <c r="I27" s="14">
        <f t="shared" si="3"/>
        <v>-17508.400000000001</v>
      </c>
      <c r="J27" s="17"/>
      <c r="K27" s="14">
        <f t="shared" si="3"/>
        <v>253467.08999999982</v>
      </c>
      <c r="L27" s="14">
        <f t="shared" si="3"/>
        <v>127196.81</v>
      </c>
      <c r="M27" s="14">
        <f t="shared" si="3"/>
        <v>380663.89999999979</v>
      </c>
      <c r="N27" s="18"/>
    </row>
    <row r="28" spans="1:14" outlineLevel="1" x14ac:dyDescent="0.25"/>
    <row r="29" spans="1:14" outlineLevel="1" x14ac:dyDescent="0.25">
      <c r="A29" s="6"/>
      <c r="B29" s="7"/>
      <c r="C29" s="175" t="s">
        <v>15</v>
      </c>
      <c r="D29" s="175"/>
      <c r="E29" s="175"/>
      <c r="G29" s="175" t="s">
        <v>29</v>
      </c>
      <c r="H29" s="175"/>
      <c r="I29" s="175"/>
      <c r="J29" s="6"/>
      <c r="K29" s="175" t="s">
        <v>17</v>
      </c>
      <c r="L29" s="175"/>
      <c r="M29" s="175"/>
    </row>
    <row r="30" spans="1:14" outlineLevel="1" x14ac:dyDescent="0.25">
      <c r="A30" s="6"/>
      <c r="B30" s="7"/>
      <c r="C30" s="9" t="s">
        <v>19</v>
      </c>
      <c r="D30" s="9" t="s">
        <v>35</v>
      </c>
      <c r="E30" s="9" t="s">
        <v>21</v>
      </c>
      <c r="G30" s="9" t="s">
        <v>19</v>
      </c>
      <c r="H30" s="9" t="s">
        <v>35</v>
      </c>
      <c r="I30" s="9" t="s">
        <v>21</v>
      </c>
      <c r="K30" s="9" t="s">
        <v>19</v>
      </c>
      <c r="L30" s="9" t="s">
        <v>35</v>
      </c>
      <c r="M30" s="9" t="s">
        <v>21</v>
      </c>
    </row>
    <row r="31" spans="1:14" outlineLevel="1" x14ac:dyDescent="0.25">
      <c r="A31" s="10" t="s">
        <v>36</v>
      </c>
      <c r="B31" s="11"/>
      <c r="C31" s="6"/>
      <c r="D31" s="6"/>
      <c r="E31" s="6"/>
      <c r="G31" s="6"/>
      <c r="H31" s="6"/>
      <c r="I31" s="6"/>
      <c r="K31" s="6"/>
      <c r="L31" s="6"/>
      <c r="M31" s="6"/>
    </row>
    <row r="32" spans="1:14" outlineLevel="1" x14ac:dyDescent="0.25">
      <c r="A32" s="5" t="s">
        <v>23</v>
      </c>
      <c r="B32" s="12">
        <v>120415</v>
      </c>
      <c r="C32" s="13">
        <f>E22</f>
        <v>283746.16000000003</v>
      </c>
      <c r="D32" s="13">
        <v>241194.34</v>
      </c>
      <c r="E32" s="13">
        <f t="shared" ref="E32:E37" si="4">SUM(C32:D32)</f>
        <v>524940.5</v>
      </c>
      <c r="F32" s="13"/>
      <c r="G32" s="13">
        <f>I22</f>
        <v>-17670.07</v>
      </c>
      <c r="H32" s="13">
        <v>-27007.3</v>
      </c>
      <c r="I32" s="13">
        <f t="shared" ref="I32:I37" si="5">SUM(G32:H32)</f>
        <v>-44677.369999999995</v>
      </c>
      <c r="J32" s="13"/>
      <c r="K32" s="13">
        <f t="shared" ref="K32:M36" si="6">C32+G32</f>
        <v>266076.09000000003</v>
      </c>
      <c r="L32" s="13">
        <f t="shared" si="6"/>
        <v>214187.04</v>
      </c>
      <c r="M32" s="13">
        <f t="shared" si="6"/>
        <v>480263.13</v>
      </c>
    </row>
    <row r="33" spans="1:14" outlineLevel="1" x14ac:dyDescent="0.25">
      <c r="A33" s="5" t="s">
        <v>24</v>
      </c>
      <c r="B33" s="12" t="s">
        <v>25</v>
      </c>
      <c r="C33" s="13">
        <f>E23</f>
        <v>184156.13999999998</v>
      </c>
      <c r="D33" s="13">
        <v>24029.68</v>
      </c>
      <c r="E33" s="13">
        <f t="shared" si="4"/>
        <v>208185.81999999998</v>
      </c>
      <c r="F33" s="13"/>
      <c r="G33" s="13">
        <f>I23</f>
        <v>0</v>
      </c>
      <c r="H33" s="13"/>
      <c r="I33" s="13">
        <f t="shared" si="5"/>
        <v>0</v>
      </c>
      <c r="J33" s="13"/>
      <c r="K33" s="13">
        <f t="shared" si="6"/>
        <v>184156.13999999998</v>
      </c>
      <c r="L33" s="13">
        <f t="shared" si="6"/>
        <v>24029.68</v>
      </c>
      <c r="M33" s="13">
        <f t="shared" si="6"/>
        <v>208185.81999999998</v>
      </c>
    </row>
    <row r="34" spans="1:14" outlineLevel="1" x14ac:dyDescent="0.25">
      <c r="A34" s="5" t="s">
        <v>26</v>
      </c>
      <c r="B34" s="12" t="s">
        <v>27</v>
      </c>
      <c r="C34" s="13">
        <f>E24</f>
        <v>-1.8917489796876907E-10</v>
      </c>
      <c r="D34" s="13">
        <v>61.17</v>
      </c>
      <c r="E34" s="13">
        <f t="shared" si="4"/>
        <v>61.169999999810827</v>
      </c>
      <c r="F34" s="13"/>
      <c r="G34" s="13">
        <f>I24</f>
        <v>0</v>
      </c>
      <c r="H34" s="13"/>
      <c r="I34" s="13">
        <f t="shared" si="5"/>
        <v>0</v>
      </c>
      <c r="J34" s="13"/>
      <c r="K34" s="13">
        <f t="shared" si="6"/>
        <v>-1.8917489796876907E-10</v>
      </c>
      <c r="L34" s="13">
        <f t="shared" si="6"/>
        <v>61.17</v>
      </c>
      <c r="M34" s="13">
        <f t="shared" si="6"/>
        <v>61.169999999810827</v>
      </c>
    </row>
    <row r="35" spans="1:14" outlineLevel="1" x14ac:dyDescent="0.25">
      <c r="A35" s="5" t="s">
        <v>33</v>
      </c>
      <c r="B35" s="12">
        <v>215261</v>
      </c>
      <c r="C35" s="13">
        <f>E25</f>
        <v>-4850</v>
      </c>
      <c r="D35" s="13">
        <v>-74950</v>
      </c>
      <c r="E35" s="13">
        <f t="shared" si="4"/>
        <v>-79800</v>
      </c>
      <c r="F35" s="13"/>
      <c r="G35" s="13">
        <f>I25</f>
        <v>161.66999999999999</v>
      </c>
      <c r="H35" s="13">
        <v>2821.66</v>
      </c>
      <c r="I35" s="13">
        <f t="shared" si="5"/>
        <v>2983.33</v>
      </c>
      <c r="J35" s="13"/>
      <c r="K35" s="13">
        <f t="shared" si="6"/>
        <v>-4688.33</v>
      </c>
      <c r="L35" s="13">
        <f t="shared" si="6"/>
        <v>-72128.34</v>
      </c>
      <c r="M35" s="13">
        <f t="shared" si="6"/>
        <v>-76816.67</v>
      </c>
    </row>
    <row r="36" spans="1:14" outlineLevel="1" x14ac:dyDescent="0.25">
      <c r="A36" s="5" t="s">
        <v>34</v>
      </c>
      <c r="B36" s="12">
        <v>215615</v>
      </c>
      <c r="C36" s="13">
        <f>E26</f>
        <v>-64880</v>
      </c>
      <c r="D36" s="13">
        <v>-81057.100000000006</v>
      </c>
      <c r="E36" s="13">
        <f t="shared" si="4"/>
        <v>-145937.1</v>
      </c>
      <c r="F36" s="13"/>
      <c r="G36" s="13">
        <f>I26</f>
        <v>0</v>
      </c>
      <c r="H36" s="13"/>
      <c r="I36" s="13">
        <f t="shared" si="5"/>
        <v>0</v>
      </c>
      <c r="J36" s="13"/>
      <c r="K36" s="13">
        <f t="shared" si="6"/>
        <v>-64880</v>
      </c>
      <c r="L36" s="13">
        <f t="shared" si="6"/>
        <v>-81057.100000000006</v>
      </c>
      <c r="M36" s="13">
        <f t="shared" si="6"/>
        <v>-145937.1</v>
      </c>
    </row>
    <row r="37" spans="1:14" s="4" customFormat="1" outlineLevel="1" x14ac:dyDescent="0.25">
      <c r="A37" s="2" t="s">
        <v>28</v>
      </c>
      <c r="B37" s="3"/>
      <c r="C37" s="14">
        <f>SUM(C32:C36)</f>
        <v>398172.29999999987</v>
      </c>
      <c r="D37" s="14">
        <f>SUM(D32:D36)</f>
        <v>109278.09</v>
      </c>
      <c r="E37" s="14">
        <f t="shared" si="4"/>
        <v>507450.3899999999</v>
      </c>
      <c r="G37" s="14">
        <f>SUM(G32:G36)</f>
        <v>-17508.400000000001</v>
      </c>
      <c r="H37" s="14">
        <f>SUM(H32:H36)</f>
        <v>-24185.64</v>
      </c>
      <c r="I37" s="14">
        <f t="shared" si="5"/>
        <v>-41694.04</v>
      </c>
      <c r="K37" s="14">
        <f>SUM(K32:K36)</f>
        <v>380663.89999999979</v>
      </c>
      <c r="L37" s="14">
        <f>SUM(L32:L36)</f>
        <v>85092.450000000012</v>
      </c>
      <c r="M37" s="14">
        <f>SUM(M32:M36)</f>
        <v>465756.34999999974</v>
      </c>
      <c r="N37" s="18"/>
    </row>
    <row r="38" spans="1:14" outlineLevel="1" x14ac:dyDescent="0.25">
      <c r="J38" s="13"/>
      <c r="M38" s="15"/>
    </row>
    <row r="39" spans="1:14" outlineLevel="1" x14ac:dyDescent="0.25">
      <c r="A39" s="6"/>
      <c r="B39" s="7"/>
      <c r="C39" s="175" t="s">
        <v>15</v>
      </c>
      <c r="D39" s="175"/>
      <c r="E39" s="175"/>
      <c r="F39" s="19"/>
      <c r="G39" s="175" t="s">
        <v>16</v>
      </c>
      <c r="H39" s="175"/>
      <c r="I39" s="175"/>
      <c r="J39" s="13"/>
      <c r="K39" s="175" t="s">
        <v>17</v>
      </c>
      <c r="L39" s="175"/>
      <c r="M39" s="175"/>
    </row>
    <row r="40" spans="1:14" outlineLevel="1" x14ac:dyDescent="0.25">
      <c r="A40" s="6"/>
      <c r="B40" s="7"/>
      <c r="C40" s="9" t="s">
        <v>19</v>
      </c>
      <c r="D40" s="9" t="s">
        <v>35</v>
      </c>
      <c r="E40" s="9" t="s">
        <v>21</v>
      </c>
      <c r="F40" s="13"/>
      <c r="G40" s="9" t="s">
        <v>19</v>
      </c>
      <c r="H40" s="9" t="s">
        <v>35</v>
      </c>
      <c r="I40" s="9" t="s">
        <v>21</v>
      </c>
      <c r="J40" s="13"/>
      <c r="K40" s="9" t="s">
        <v>19</v>
      </c>
      <c r="L40" s="9" t="s">
        <v>35</v>
      </c>
      <c r="M40" s="9" t="s">
        <v>21</v>
      </c>
    </row>
    <row r="41" spans="1:14" outlineLevel="1" x14ac:dyDescent="0.25">
      <c r="A41" s="10" t="s">
        <v>37</v>
      </c>
      <c r="B41" s="11"/>
      <c r="C41" s="6"/>
      <c r="D41" s="6"/>
      <c r="F41" s="13"/>
      <c r="G41" s="6"/>
      <c r="H41" s="6"/>
      <c r="I41" s="6"/>
      <c r="J41" s="13"/>
      <c r="K41" s="6"/>
      <c r="L41" s="6"/>
    </row>
    <row r="42" spans="1:14" outlineLevel="1" x14ac:dyDescent="0.25">
      <c r="A42" s="5" t="s">
        <v>23</v>
      </c>
      <c r="B42" s="12">
        <v>120415</v>
      </c>
      <c r="C42" s="13">
        <f>E32</f>
        <v>524940.5</v>
      </c>
      <c r="D42" s="13">
        <v>274892</v>
      </c>
      <c r="E42" s="13">
        <f>SUM(C42:D42)</f>
        <v>799832.5</v>
      </c>
      <c r="F42" s="13"/>
      <c r="G42" s="13">
        <f>I32</f>
        <v>-44677.369999999995</v>
      </c>
      <c r="H42" s="13">
        <v>-44210</v>
      </c>
      <c r="I42" s="13">
        <f>SUM(G42:H42)</f>
        <v>-88887.37</v>
      </c>
      <c r="J42" s="13"/>
      <c r="K42" s="13">
        <f t="shared" ref="K42:M46" si="7">C42+G42</f>
        <v>480263.13</v>
      </c>
      <c r="L42" s="13">
        <f t="shared" si="7"/>
        <v>230682</v>
      </c>
      <c r="M42" s="13">
        <f t="shared" si="7"/>
        <v>710945.13</v>
      </c>
    </row>
    <row r="43" spans="1:14" outlineLevel="1" x14ac:dyDescent="0.25">
      <c r="A43" s="5" t="s">
        <v>24</v>
      </c>
      <c r="B43" s="12" t="s">
        <v>25</v>
      </c>
      <c r="C43" s="13">
        <f>E33</f>
        <v>208185.81999999998</v>
      </c>
      <c r="D43" s="13">
        <v>43892</v>
      </c>
      <c r="E43" s="13">
        <f>SUM(C43:D43)</f>
        <v>252077.81999999998</v>
      </c>
      <c r="F43" s="13"/>
      <c r="G43" s="13">
        <f>I33</f>
        <v>0</v>
      </c>
      <c r="H43" s="13"/>
      <c r="I43" s="13">
        <f>SUM(G43:H43)</f>
        <v>0</v>
      </c>
      <c r="J43" s="13"/>
      <c r="K43" s="13">
        <f t="shared" si="7"/>
        <v>208185.81999999998</v>
      </c>
      <c r="L43" s="13">
        <f t="shared" si="7"/>
        <v>43892</v>
      </c>
      <c r="M43" s="13">
        <f t="shared" si="7"/>
        <v>252077.81999999998</v>
      </c>
    </row>
    <row r="44" spans="1:14" outlineLevel="1" x14ac:dyDescent="0.25">
      <c r="A44" s="5" t="s">
        <v>26</v>
      </c>
      <c r="B44" s="12" t="s">
        <v>27</v>
      </c>
      <c r="C44" s="13">
        <f>E34</f>
        <v>61.169999999810827</v>
      </c>
      <c r="D44" s="13">
        <v>63</v>
      </c>
      <c r="E44" s="13">
        <f>SUM(C44:D44)</f>
        <v>124.16999999981083</v>
      </c>
      <c r="F44" s="13"/>
      <c r="G44" s="13">
        <f>I34</f>
        <v>0</v>
      </c>
      <c r="H44" s="13"/>
      <c r="I44" s="13">
        <f>SUM(G44:H44)</f>
        <v>0</v>
      </c>
      <c r="J44" s="13"/>
      <c r="K44" s="13">
        <f t="shared" si="7"/>
        <v>61.169999999810827</v>
      </c>
      <c r="L44" s="13">
        <f t="shared" si="7"/>
        <v>63</v>
      </c>
      <c r="M44" s="13">
        <f t="shared" si="7"/>
        <v>124.16999999981083</v>
      </c>
    </row>
    <row r="45" spans="1:14" outlineLevel="1" x14ac:dyDescent="0.25">
      <c r="A45" s="5" t="s">
        <v>33</v>
      </c>
      <c r="B45" s="12">
        <v>215261</v>
      </c>
      <c r="C45" s="13">
        <f>E35</f>
        <v>-79800</v>
      </c>
      <c r="D45" s="13">
        <v>-134270</v>
      </c>
      <c r="E45" s="13">
        <f>SUM(C45:D45)</f>
        <v>-214070</v>
      </c>
      <c r="F45" s="13"/>
      <c r="G45" s="13">
        <f>I35</f>
        <v>2983.33</v>
      </c>
      <c r="H45" s="13">
        <v>9796</v>
      </c>
      <c r="I45" s="13">
        <f>SUM(G45:H45)</f>
        <v>12779.33</v>
      </c>
      <c r="J45" s="13"/>
      <c r="K45" s="13">
        <f t="shared" si="7"/>
        <v>-76816.67</v>
      </c>
      <c r="L45" s="13">
        <f t="shared" si="7"/>
        <v>-124474</v>
      </c>
      <c r="M45" s="13">
        <f t="shared" si="7"/>
        <v>-201290.67</v>
      </c>
    </row>
    <row r="46" spans="1:14" outlineLevel="1" x14ac:dyDescent="0.25">
      <c r="A46" s="5" t="s">
        <v>34</v>
      </c>
      <c r="B46" s="12">
        <v>215615</v>
      </c>
      <c r="C46" s="13">
        <f>E36</f>
        <v>-145937.1</v>
      </c>
      <c r="D46" s="13">
        <v>-97552</v>
      </c>
      <c r="E46" s="13">
        <f>SUM(C46:D46)</f>
        <v>-243489.1</v>
      </c>
      <c r="F46" s="13"/>
      <c r="G46" s="13">
        <f>I36</f>
        <v>0</v>
      </c>
      <c r="H46" s="13"/>
      <c r="I46" s="13">
        <f>SUM(G46:H46)</f>
        <v>0</v>
      </c>
      <c r="J46" s="13"/>
      <c r="K46" s="13">
        <f t="shared" si="7"/>
        <v>-145937.1</v>
      </c>
      <c r="L46" s="13">
        <f t="shared" si="7"/>
        <v>-97552</v>
      </c>
      <c r="M46" s="13">
        <f t="shared" si="7"/>
        <v>-243489.1</v>
      </c>
    </row>
    <row r="47" spans="1:14" outlineLevel="1" x14ac:dyDescent="0.25">
      <c r="A47" s="6" t="s">
        <v>28</v>
      </c>
      <c r="B47" s="7"/>
      <c r="C47" s="14">
        <f>SUM(C42:C46)</f>
        <v>507450.38999999978</v>
      </c>
      <c r="D47" s="14">
        <f>SUM(D42:D46)</f>
        <v>87025</v>
      </c>
      <c r="E47" s="14">
        <f>SUM(E42:E46)</f>
        <v>594475.39</v>
      </c>
      <c r="F47" s="13"/>
      <c r="G47" s="14">
        <f>SUM(G42:G46)</f>
        <v>-41694.039999999994</v>
      </c>
      <c r="H47" s="14">
        <f>SUM(H42:H46)</f>
        <v>-34414</v>
      </c>
      <c r="I47" s="14">
        <f>SUM(I42:I46)</f>
        <v>-76108.039999999994</v>
      </c>
      <c r="J47" s="13"/>
      <c r="K47" s="14">
        <f>SUM(K42:K46)</f>
        <v>465756.34999999974</v>
      </c>
      <c r="L47" s="14">
        <f>SUM(L42:L46)</f>
        <v>52611</v>
      </c>
      <c r="M47" s="14">
        <f>SUM(M42:M46)</f>
        <v>518367.34999999974</v>
      </c>
      <c r="N47" s="18"/>
    </row>
    <row r="48" spans="1:14" outlineLevel="1" x14ac:dyDescent="0.25">
      <c r="A48" s="6"/>
      <c r="B48" s="7"/>
      <c r="C48" s="17"/>
      <c r="D48" s="17"/>
      <c r="E48" s="17"/>
      <c r="F48" s="13"/>
      <c r="G48" s="17"/>
      <c r="H48" s="17"/>
      <c r="I48" s="17"/>
      <c r="J48" s="13"/>
      <c r="K48" s="17"/>
      <c r="L48" s="17"/>
      <c r="M48" s="17"/>
      <c r="N48" s="18"/>
    </row>
    <row r="49" spans="1:17" outlineLevel="1" x14ac:dyDescent="0.25">
      <c r="A49" s="6"/>
      <c r="B49" s="7"/>
      <c r="C49" s="175" t="s">
        <v>15</v>
      </c>
      <c r="D49" s="175"/>
      <c r="E49" s="175"/>
      <c r="F49" s="13"/>
      <c r="G49" s="175" t="s">
        <v>29</v>
      </c>
      <c r="H49" s="175"/>
      <c r="I49" s="175"/>
      <c r="J49" s="6"/>
      <c r="K49" s="175" t="s">
        <v>17</v>
      </c>
      <c r="L49" s="175"/>
      <c r="M49" s="175"/>
    </row>
    <row r="50" spans="1:17" outlineLevel="1" x14ac:dyDescent="0.25">
      <c r="A50" s="6"/>
      <c r="B50" s="7"/>
      <c r="C50" s="9" t="s">
        <v>19</v>
      </c>
      <c r="D50" s="9" t="s">
        <v>20</v>
      </c>
      <c r="E50" s="9" t="s">
        <v>21</v>
      </c>
      <c r="F50" s="13"/>
      <c r="G50" s="9" t="s">
        <v>19</v>
      </c>
      <c r="H50" s="9" t="s">
        <v>20</v>
      </c>
      <c r="I50" s="9" t="s">
        <v>21</v>
      </c>
      <c r="J50" s="6"/>
      <c r="K50" s="9" t="s">
        <v>19</v>
      </c>
      <c r="L50" s="9" t="s">
        <v>20</v>
      </c>
      <c r="M50" s="9" t="s">
        <v>21</v>
      </c>
      <c r="O50" s="20"/>
    </row>
    <row r="51" spans="1:17" outlineLevel="1" x14ac:dyDescent="0.25">
      <c r="A51" s="10" t="s">
        <v>38</v>
      </c>
      <c r="B51" s="11"/>
      <c r="C51" s="6"/>
      <c r="D51" s="6"/>
      <c r="E51" s="6"/>
      <c r="F51" s="18"/>
      <c r="G51" s="6"/>
      <c r="H51" s="6"/>
      <c r="I51" s="6"/>
      <c r="J51" s="6"/>
      <c r="K51" s="6"/>
      <c r="L51" s="6"/>
      <c r="M51" s="6"/>
      <c r="O51" s="18"/>
      <c r="P51" s="18"/>
      <c r="Q51" s="18"/>
    </row>
    <row r="52" spans="1:17" outlineLevel="1" x14ac:dyDescent="0.25">
      <c r="A52" s="5" t="s">
        <v>23</v>
      </c>
      <c r="C52" s="21">
        <f>E42</f>
        <v>799832.5</v>
      </c>
      <c r="D52" s="21">
        <v>310319.60000000003</v>
      </c>
      <c r="E52" s="21">
        <f>SUM(C52:D52)</f>
        <v>1110152.1000000001</v>
      </c>
      <c r="F52" s="21"/>
      <c r="G52" s="21">
        <f>I42</f>
        <v>-88887.37</v>
      </c>
      <c r="H52" s="21">
        <v>-63717.24</v>
      </c>
      <c r="I52" s="21">
        <f>SUM(G52:H52)</f>
        <v>-152604.60999999999</v>
      </c>
      <c r="J52" s="22"/>
      <c r="K52" s="13">
        <f t="shared" ref="K52:M56" si="8">C52+G52</f>
        <v>710945.13</v>
      </c>
      <c r="L52" s="13">
        <f t="shared" si="8"/>
        <v>246602.36000000004</v>
      </c>
      <c r="M52" s="13">
        <f t="shared" si="8"/>
        <v>957547.49000000011</v>
      </c>
      <c r="N52" s="18"/>
      <c r="O52" s="18"/>
      <c r="P52" s="18"/>
      <c r="Q52" s="18"/>
    </row>
    <row r="53" spans="1:17" outlineLevel="1" x14ac:dyDescent="0.25">
      <c r="A53" s="5" t="s">
        <v>24</v>
      </c>
      <c r="C53" s="21">
        <f>E43</f>
        <v>252077.81999999998</v>
      </c>
      <c r="D53" s="21">
        <v>-113046.75</v>
      </c>
      <c r="E53" s="21">
        <f>SUM(C53:D53)</f>
        <v>139031.06999999998</v>
      </c>
      <c r="F53" s="21"/>
      <c r="G53" s="21">
        <f>I43</f>
        <v>0</v>
      </c>
      <c r="H53" s="21">
        <v>0</v>
      </c>
      <c r="I53" s="21">
        <f>SUM(G53:H53)</f>
        <v>0</v>
      </c>
      <c r="J53" s="22"/>
      <c r="K53" s="13">
        <f t="shared" si="8"/>
        <v>252077.81999999998</v>
      </c>
      <c r="L53" s="13">
        <f t="shared" si="8"/>
        <v>-113046.75</v>
      </c>
      <c r="M53" s="13">
        <f t="shared" si="8"/>
        <v>139031.06999999998</v>
      </c>
      <c r="N53" s="18"/>
      <c r="O53" s="18"/>
      <c r="P53" s="18"/>
      <c r="Q53" s="18"/>
    </row>
    <row r="54" spans="1:17" outlineLevel="1" x14ac:dyDescent="0.25">
      <c r="A54" s="5" t="s">
        <v>26</v>
      </c>
      <c r="C54" s="21">
        <f>E44</f>
        <v>124.16999999981083</v>
      </c>
      <c r="D54" s="21">
        <v>62.04</v>
      </c>
      <c r="E54" s="21">
        <f>SUM(C54:D54)</f>
        <v>186.20999999981083</v>
      </c>
      <c r="F54" s="23"/>
      <c r="G54" s="21">
        <f>I44</f>
        <v>0</v>
      </c>
      <c r="H54" s="21">
        <v>0</v>
      </c>
      <c r="I54" s="21">
        <f>SUM(G54:H54)</f>
        <v>0</v>
      </c>
      <c r="J54" s="22"/>
      <c r="K54" s="13">
        <f t="shared" si="8"/>
        <v>124.16999999981083</v>
      </c>
      <c r="L54" s="13">
        <f t="shared" si="8"/>
        <v>62.04</v>
      </c>
      <c r="M54" s="13">
        <f t="shared" si="8"/>
        <v>186.20999999981083</v>
      </c>
      <c r="N54" s="18"/>
    </row>
    <row r="55" spans="1:17" outlineLevel="1" x14ac:dyDescent="0.25">
      <c r="A55" s="5" t="s">
        <v>33</v>
      </c>
      <c r="C55" s="21">
        <f>E45</f>
        <v>-214070</v>
      </c>
      <c r="D55" s="21">
        <v>-132840</v>
      </c>
      <c r="E55" s="21">
        <f>SUM(C55:D55)</f>
        <v>-346910</v>
      </c>
      <c r="F55" s="23"/>
      <c r="G55" s="21">
        <f>I45</f>
        <v>12779.33</v>
      </c>
      <c r="H55" s="21">
        <v>18699.330000000002</v>
      </c>
      <c r="I55" s="21">
        <f>SUM(G55:H55)</f>
        <v>31478.660000000003</v>
      </c>
      <c r="J55" s="13"/>
      <c r="K55" s="13">
        <f t="shared" si="8"/>
        <v>-201290.67</v>
      </c>
      <c r="L55" s="13">
        <f t="shared" si="8"/>
        <v>-114140.67</v>
      </c>
      <c r="M55" s="13">
        <f t="shared" si="8"/>
        <v>-315431.33999999997</v>
      </c>
      <c r="N55" s="18"/>
    </row>
    <row r="56" spans="1:17" outlineLevel="1" x14ac:dyDescent="0.25">
      <c r="A56" s="5" t="s">
        <v>34</v>
      </c>
      <c r="C56" s="21">
        <f>E46</f>
        <v>-243489.1</v>
      </c>
      <c r="D56" s="21">
        <v>173077.16</v>
      </c>
      <c r="E56" s="21">
        <f>SUM(C56:D56)</f>
        <v>-70411.94</v>
      </c>
      <c r="F56" s="21"/>
      <c r="G56" s="21">
        <f>I46</f>
        <v>0</v>
      </c>
      <c r="H56" s="21">
        <v>0</v>
      </c>
      <c r="I56" s="21">
        <f>SUM(G56:H56)</f>
        <v>0</v>
      </c>
      <c r="J56" s="22"/>
      <c r="K56" s="13">
        <f t="shared" si="8"/>
        <v>-243489.1</v>
      </c>
      <c r="L56" s="13">
        <f t="shared" si="8"/>
        <v>173077.16</v>
      </c>
      <c r="M56" s="13">
        <f t="shared" si="8"/>
        <v>-70411.94</v>
      </c>
      <c r="N56" s="18"/>
    </row>
    <row r="57" spans="1:17" x14ac:dyDescent="0.25">
      <c r="A57" s="6" t="s">
        <v>28</v>
      </c>
      <c r="B57" s="7"/>
      <c r="C57" s="24">
        <f>SUM(C52:C56)</f>
        <v>594475.39</v>
      </c>
      <c r="D57" s="24">
        <f>SUM(D52:D56)</f>
        <v>237572.05000000005</v>
      </c>
      <c r="E57" s="24">
        <f>SUM(E52:E56)</f>
        <v>832047.44</v>
      </c>
      <c r="F57" s="25"/>
      <c r="G57" s="24">
        <f>SUM(G52:G56)</f>
        <v>-76108.039999999994</v>
      </c>
      <c r="H57" s="24">
        <f>SUM(H52:H56)</f>
        <v>-45017.909999999996</v>
      </c>
      <c r="I57" s="24">
        <f>SUM(I52:I56)</f>
        <v>-121125.94999999998</v>
      </c>
      <c r="J57" s="17"/>
      <c r="K57" s="14">
        <f>SUM(K52:K56)</f>
        <v>518367.34999999974</v>
      </c>
      <c r="L57" s="14">
        <f>SUM(L52:L56)</f>
        <v>192554.14000000007</v>
      </c>
      <c r="M57" s="14">
        <f>SUM(M52:M56)</f>
        <v>710921.48999999976</v>
      </c>
      <c r="N57" s="18"/>
    </row>
    <row r="58" spans="1:17" x14ac:dyDescent="0.25">
      <c r="A58" s="6"/>
      <c r="B58" s="7"/>
      <c r="C58" s="26"/>
      <c r="D58" s="26"/>
      <c r="E58" s="26"/>
      <c r="F58" s="25"/>
      <c r="G58" s="26"/>
      <c r="H58" s="26"/>
      <c r="I58" s="26"/>
      <c r="J58" s="17"/>
      <c r="K58" s="17"/>
      <c r="L58" s="17"/>
      <c r="M58" s="17"/>
      <c r="N58" s="18"/>
    </row>
    <row r="59" spans="1:17" outlineLevel="1" x14ac:dyDescent="0.25">
      <c r="A59" s="6"/>
      <c r="B59" s="7"/>
      <c r="C59" s="174" t="s">
        <v>15</v>
      </c>
      <c r="D59" s="174"/>
      <c r="E59" s="174"/>
      <c r="F59" s="21"/>
      <c r="G59" s="174" t="s">
        <v>29</v>
      </c>
      <c r="H59" s="174"/>
      <c r="I59" s="174"/>
      <c r="J59" s="6"/>
      <c r="K59" s="175" t="s">
        <v>17</v>
      </c>
      <c r="L59" s="175"/>
      <c r="M59" s="175"/>
    </row>
    <row r="60" spans="1:17" outlineLevel="1" x14ac:dyDescent="0.25">
      <c r="A60" s="6"/>
      <c r="B60" s="7"/>
      <c r="C60" s="27" t="s">
        <v>19</v>
      </c>
      <c r="D60" s="27" t="s">
        <v>20</v>
      </c>
      <c r="E60" s="27" t="s">
        <v>21</v>
      </c>
      <c r="F60" s="21"/>
      <c r="G60" s="27" t="s">
        <v>19</v>
      </c>
      <c r="H60" s="27" t="s">
        <v>20</v>
      </c>
      <c r="I60" s="27" t="s">
        <v>21</v>
      </c>
      <c r="J60" s="6"/>
      <c r="K60" s="9" t="s">
        <v>19</v>
      </c>
      <c r="L60" s="9" t="s">
        <v>20</v>
      </c>
      <c r="M60" s="9" t="s">
        <v>21</v>
      </c>
    </row>
    <row r="61" spans="1:17" outlineLevel="1" x14ac:dyDescent="0.25">
      <c r="A61" s="10" t="s">
        <v>39</v>
      </c>
      <c r="B61" s="11"/>
      <c r="C61" s="2"/>
      <c r="D61" s="2"/>
      <c r="E61" s="2"/>
      <c r="F61" s="4"/>
      <c r="G61" s="2"/>
      <c r="H61" s="2"/>
      <c r="I61" s="2"/>
      <c r="J61" s="6"/>
      <c r="K61" s="6"/>
      <c r="L61" s="6"/>
      <c r="M61" s="6"/>
    </row>
    <row r="62" spans="1:17" outlineLevel="1" x14ac:dyDescent="0.25">
      <c r="A62" s="5" t="s">
        <v>23</v>
      </c>
      <c r="C62" s="21">
        <f>E52</f>
        <v>1110152.1000000001</v>
      </c>
      <c r="D62" s="21">
        <v>182362.59</v>
      </c>
      <c r="E62" s="21">
        <f>SUM(C62:D62)</f>
        <v>1292514.6900000002</v>
      </c>
      <c r="F62" s="21"/>
      <c r="G62" s="21">
        <f>I52</f>
        <v>-152604.60999999999</v>
      </c>
      <c r="H62" s="21">
        <v>-80139.97</v>
      </c>
      <c r="I62" s="21">
        <f>SUM(G62:H62)</f>
        <v>-232744.58</v>
      </c>
      <c r="J62" s="13"/>
      <c r="K62" s="13">
        <f t="shared" ref="K62:M66" si="9">C62+G62</f>
        <v>957547.49000000011</v>
      </c>
      <c r="L62" s="21">
        <f t="shared" si="9"/>
        <v>102222.62</v>
      </c>
      <c r="M62" s="13">
        <f t="shared" si="9"/>
        <v>1059770.1100000001</v>
      </c>
    </row>
    <row r="63" spans="1:17" outlineLevel="1" x14ac:dyDescent="0.25">
      <c r="A63" s="5" t="s">
        <v>24</v>
      </c>
      <c r="C63" s="21">
        <f>E53</f>
        <v>139031.06999999998</v>
      </c>
      <c r="D63" s="21">
        <v>-13211.19</v>
      </c>
      <c r="E63" s="21">
        <f>SUM(C63:D63)</f>
        <v>125819.87999999998</v>
      </c>
      <c r="F63" s="21"/>
      <c r="G63" s="21">
        <f>I53</f>
        <v>0</v>
      </c>
      <c r="H63" s="21">
        <v>0</v>
      </c>
      <c r="I63" s="21">
        <f>SUM(G63:H63)</f>
        <v>0</v>
      </c>
      <c r="J63" s="13"/>
      <c r="K63" s="13">
        <f t="shared" si="9"/>
        <v>139031.06999999998</v>
      </c>
      <c r="L63" s="21">
        <f t="shared" si="9"/>
        <v>-13211.19</v>
      </c>
      <c r="M63" s="13">
        <f t="shared" si="9"/>
        <v>125819.87999999998</v>
      </c>
    </row>
    <row r="64" spans="1:17" outlineLevel="1" x14ac:dyDescent="0.25">
      <c r="A64" s="5" t="s">
        <v>26</v>
      </c>
      <c r="C64" s="21">
        <f>E54</f>
        <v>186.20999999981083</v>
      </c>
      <c r="D64" s="21">
        <v>64.77</v>
      </c>
      <c r="E64" s="21">
        <f>SUM(C64:D64)</f>
        <v>250.97999999981084</v>
      </c>
      <c r="F64" s="21"/>
      <c r="G64" s="21">
        <f>I54</f>
        <v>0</v>
      </c>
      <c r="H64" s="21">
        <v>0</v>
      </c>
      <c r="I64" s="21">
        <f>SUM(G64:H64)</f>
        <v>0</v>
      </c>
      <c r="J64" s="13"/>
      <c r="K64" s="13">
        <f t="shared" si="9"/>
        <v>186.20999999981083</v>
      </c>
      <c r="L64" s="21">
        <f t="shared" si="9"/>
        <v>64.77</v>
      </c>
      <c r="M64" s="13">
        <f t="shared" si="9"/>
        <v>250.97999999981084</v>
      </c>
    </row>
    <row r="65" spans="1:15" outlineLevel="1" x14ac:dyDescent="0.25">
      <c r="A65" s="5" t="s">
        <v>33</v>
      </c>
      <c r="C65" s="21">
        <f>E55</f>
        <v>-346910</v>
      </c>
      <c r="D65" s="21">
        <v>-7269.91</v>
      </c>
      <c r="E65" s="21">
        <f>SUM(C65:D65)</f>
        <v>-354179.91</v>
      </c>
      <c r="F65" s="21"/>
      <c r="G65" s="21">
        <f>I55</f>
        <v>31478.660000000003</v>
      </c>
      <c r="H65" s="21">
        <v>23369.66</v>
      </c>
      <c r="I65" s="21">
        <f>SUM(G65:H65)</f>
        <v>54848.320000000007</v>
      </c>
      <c r="J65" s="13"/>
      <c r="K65" s="13">
        <f t="shared" si="9"/>
        <v>-315431.33999999997</v>
      </c>
      <c r="L65" s="21">
        <f t="shared" si="9"/>
        <v>16099.75</v>
      </c>
      <c r="M65" s="13">
        <f t="shared" si="9"/>
        <v>-299331.58999999997</v>
      </c>
    </row>
    <row r="66" spans="1:15" outlineLevel="1" x14ac:dyDescent="0.25">
      <c r="A66" s="5" t="s">
        <v>34</v>
      </c>
      <c r="C66" s="21">
        <f>E56</f>
        <v>-70411.94</v>
      </c>
      <c r="D66" s="21">
        <v>0</v>
      </c>
      <c r="E66" s="21">
        <f>SUM(C66:D66)</f>
        <v>-70411.94</v>
      </c>
      <c r="F66" s="21"/>
      <c r="G66" s="21">
        <f>I56</f>
        <v>0</v>
      </c>
      <c r="H66" s="21">
        <v>0</v>
      </c>
      <c r="I66" s="21">
        <f>SUM(G66:H66)</f>
        <v>0</v>
      </c>
      <c r="J66" s="13"/>
      <c r="K66" s="13">
        <f t="shared" si="9"/>
        <v>-70411.94</v>
      </c>
      <c r="L66" s="21">
        <f t="shared" si="9"/>
        <v>0</v>
      </c>
      <c r="M66" s="13">
        <f t="shared" si="9"/>
        <v>-70411.94</v>
      </c>
    </row>
    <row r="67" spans="1:15" x14ac:dyDescent="0.25">
      <c r="A67" s="6" t="s">
        <v>28</v>
      </c>
      <c r="B67" s="7"/>
      <c r="C67" s="14">
        <f>SUM(C62:C66)</f>
        <v>832047.44</v>
      </c>
      <c r="D67" s="14">
        <f>SUM(D62:D66)</f>
        <v>161946.25999999998</v>
      </c>
      <c r="E67" s="14">
        <f>SUM(E62:E66)</f>
        <v>993993.7</v>
      </c>
      <c r="F67" s="15"/>
      <c r="G67" s="14">
        <f>SUM(G62:G66)</f>
        <v>-121125.94999999998</v>
      </c>
      <c r="H67" s="14">
        <f>SUM(H62:H66)</f>
        <v>-56770.31</v>
      </c>
      <c r="I67" s="14">
        <f>SUM(I62:I66)</f>
        <v>-177896.25999999998</v>
      </c>
      <c r="J67" s="17"/>
      <c r="K67" s="14">
        <f>SUM(K62:K66)</f>
        <v>710921.48999999976</v>
      </c>
      <c r="L67" s="14">
        <f>SUM(L62:L66)</f>
        <v>105175.95</v>
      </c>
      <c r="M67" s="14">
        <f>SUM(M62:M66)</f>
        <v>816097.43999999971</v>
      </c>
      <c r="N67" s="18"/>
    </row>
    <row r="68" spans="1:15" x14ac:dyDescent="0.25">
      <c r="A68" s="6"/>
      <c r="B68" s="7"/>
      <c r="C68" s="17"/>
      <c r="D68" s="17"/>
      <c r="E68" s="17"/>
      <c r="F68" s="15"/>
      <c r="G68" s="17"/>
      <c r="H68" s="17"/>
      <c r="I68" s="17"/>
      <c r="J68" s="17"/>
      <c r="K68" s="17"/>
      <c r="L68" s="17"/>
      <c r="M68" s="17"/>
    </row>
    <row r="69" spans="1:15" x14ac:dyDescent="0.25">
      <c r="A69" s="6"/>
      <c r="B69" s="7"/>
      <c r="C69" s="174" t="s">
        <v>15</v>
      </c>
      <c r="D69" s="174"/>
      <c r="E69" s="174"/>
      <c r="F69" s="21"/>
      <c r="G69" s="174" t="s">
        <v>29</v>
      </c>
      <c r="H69" s="174"/>
      <c r="I69" s="174"/>
      <c r="J69" s="6"/>
      <c r="K69" s="175" t="s">
        <v>17</v>
      </c>
      <c r="L69" s="175"/>
      <c r="M69" s="175"/>
      <c r="O69" s="18"/>
    </row>
    <row r="70" spans="1:15" x14ac:dyDescent="0.25">
      <c r="B70" s="7"/>
      <c r="C70" s="27" t="s">
        <v>19</v>
      </c>
      <c r="D70" s="27" t="s">
        <v>20</v>
      </c>
      <c r="E70" s="27" t="s">
        <v>21</v>
      </c>
      <c r="F70" s="21"/>
      <c r="G70" s="27" t="s">
        <v>19</v>
      </c>
      <c r="H70" s="27" t="s">
        <v>20</v>
      </c>
      <c r="I70" s="27" t="s">
        <v>21</v>
      </c>
      <c r="J70" s="6"/>
      <c r="K70" s="9" t="s">
        <v>19</v>
      </c>
      <c r="L70" s="9" t="s">
        <v>20</v>
      </c>
      <c r="M70" s="9" t="s">
        <v>21</v>
      </c>
      <c r="O70" s="18"/>
    </row>
    <row r="71" spans="1:15" x14ac:dyDescent="0.25">
      <c r="A71" s="10" t="s">
        <v>40</v>
      </c>
      <c r="B71" s="7"/>
      <c r="C71" s="2"/>
      <c r="D71" s="2"/>
      <c r="E71" s="2"/>
      <c r="F71" s="4"/>
      <c r="G71" s="2"/>
      <c r="H71" s="2"/>
      <c r="I71" s="2"/>
      <c r="J71" s="6"/>
      <c r="K71" s="6"/>
      <c r="L71" s="6"/>
      <c r="M71" s="6"/>
    </row>
    <row r="72" spans="1:15" x14ac:dyDescent="0.25">
      <c r="A72" s="5" t="s">
        <v>23</v>
      </c>
      <c r="B72" s="7"/>
      <c r="C72" s="21">
        <f>E62</f>
        <v>1292514.6900000002</v>
      </c>
      <c r="D72" s="21">
        <v>233867.99</v>
      </c>
      <c r="E72" s="21">
        <f>SUM(C72:D72)</f>
        <v>1526382.6800000002</v>
      </c>
      <c r="F72" s="77"/>
      <c r="G72" s="21">
        <f>I62</f>
        <v>-232744.58</v>
      </c>
      <c r="H72" s="21">
        <v>-94014.33</v>
      </c>
      <c r="I72" s="21">
        <f>SUM(G72:H72)</f>
        <v>-326758.90999999997</v>
      </c>
      <c r="J72" s="21"/>
      <c r="K72" s="21">
        <f t="shared" ref="K72:M76" si="10">C72+G72</f>
        <v>1059770.1100000001</v>
      </c>
      <c r="L72" s="21">
        <f>D72+H72</f>
        <v>139853.65999999997</v>
      </c>
      <c r="M72" s="13">
        <f t="shared" si="10"/>
        <v>1199623.7700000003</v>
      </c>
      <c r="O72" s="28"/>
    </row>
    <row r="73" spans="1:15" x14ac:dyDescent="0.25">
      <c r="A73" s="5" t="s">
        <v>24</v>
      </c>
      <c r="B73" s="7"/>
      <c r="C73" s="21">
        <f>E63</f>
        <v>125819.87999999998</v>
      </c>
      <c r="D73" s="21">
        <v>28024.91</v>
      </c>
      <c r="E73" s="21">
        <f>SUM(C73:D73)</f>
        <v>153844.78999999998</v>
      </c>
      <c r="F73" s="21"/>
      <c r="G73" s="21">
        <f>I63</f>
        <v>0</v>
      </c>
      <c r="H73" s="21">
        <v>0</v>
      </c>
      <c r="I73" s="21">
        <f>SUM(G73:H73)</f>
        <v>0</v>
      </c>
      <c r="J73" s="21"/>
      <c r="K73" s="21">
        <f t="shared" si="10"/>
        <v>125819.87999999998</v>
      </c>
      <c r="L73" s="21">
        <f t="shared" si="10"/>
        <v>28024.91</v>
      </c>
      <c r="M73" s="13">
        <f t="shared" si="10"/>
        <v>153844.78999999998</v>
      </c>
    </row>
    <row r="74" spans="1:15" x14ac:dyDescent="0.25">
      <c r="A74" s="5" t="s">
        <v>26</v>
      </c>
      <c r="B74" s="7"/>
      <c r="C74" s="21">
        <f>E64</f>
        <v>250.97999999981084</v>
      </c>
      <c r="D74" s="21">
        <v>-250.62</v>
      </c>
      <c r="E74" s="21">
        <f>SUM(C74:D74)</f>
        <v>0.35999999981083874</v>
      </c>
      <c r="F74" s="21"/>
      <c r="G74" s="21">
        <f>I64</f>
        <v>0</v>
      </c>
      <c r="H74" s="21">
        <v>0</v>
      </c>
      <c r="I74" s="21">
        <f>SUM(G74:H74)</f>
        <v>0</v>
      </c>
      <c r="J74" s="21"/>
      <c r="K74" s="21">
        <f t="shared" si="10"/>
        <v>250.97999999981084</v>
      </c>
      <c r="L74" s="21">
        <f t="shared" si="10"/>
        <v>-250.62</v>
      </c>
      <c r="M74" s="13">
        <f t="shared" si="10"/>
        <v>0.35999999981083874</v>
      </c>
      <c r="N74" s="18"/>
    </row>
    <row r="75" spans="1:15" x14ac:dyDescent="0.25">
      <c r="A75" s="5" t="s">
        <v>33</v>
      </c>
      <c r="B75" s="7"/>
      <c r="C75" s="21">
        <f>E65</f>
        <v>-354179.91</v>
      </c>
      <c r="D75" s="21">
        <v>-47370</v>
      </c>
      <c r="E75" s="21">
        <f>SUM(C75:D75)</f>
        <v>-401549.91</v>
      </c>
      <c r="F75" s="21"/>
      <c r="G75" s="21">
        <f>I65</f>
        <v>54848.320000000007</v>
      </c>
      <c r="H75" s="21">
        <v>25190.99</v>
      </c>
      <c r="I75" s="21">
        <f>SUM(G75:H75)</f>
        <v>80039.310000000012</v>
      </c>
      <c r="J75" s="21"/>
      <c r="K75" s="21">
        <f t="shared" si="10"/>
        <v>-299331.58999999997</v>
      </c>
      <c r="L75" s="21">
        <f t="shared" si="10"/>
        <v>-22179.01</v>
      </c>
      <c r="M75" s="13">
        <f t="shared" si="10"/>
        <v>-321510.59999999998</v>
      </c>
    </row>
    <row r="76" spans="1:15" x14ac:dyDescent="0.25">
      <c r="A76" s="5" t="s">
        <v>34</v>
      </c>
      <c r="B76" s="7"/>
      <c r="C76" s="21">
        <f>E66</f>
        <v>-70411.94</v>
      </c>
      <c r="D76" s="21">
        <v>36370</v>
      </c>
      <c r="E76" s="21">
        <f>SUM(C76:D76)</f>
        <v>-34041.94</v>
      </c>
      <c r="F76" s="21"/>
      <c r="G76" s="21">
        <f>I66</f>
        <v>0</v>
      </c>
      <c r="H76" s="21">
        <v>0</v>
      </c>
      <c r="I76" s="21">
        <f>SUM(G76:H76)</f>
        <v>0</v>
      </c>
      <c r="J76" s="21"/>
      <c r="K76" s="21">
        <f t="shared" si="10"/>
        <v>-70411.94</v>
      </c>
      <c r="L76" s="21">
        <f t="shared" si="10"/>
        <v>36370</v>
      </c>
      <c r="M76" s="13">
        <f t="shared" si="10"/>
        <v>-34041.94</v>
      </c>
    </row>
    <row r="77" spans="1:15" x14ac:dyDescent="0.25">
      <c r="A77" s="6" t="s">
        <v>28</v>
      </c>
      <c r="B77" s="7"/>
      <c r="C77" s="14">
        <f>SUM(C72:C76)</f>
        <v>993993.7</v>
      </c>
      <c r="D77" s="14">
        <f>SUM(D72:D76)</f>
        <v>250642.28</v>
      </c>
      <c r="E77" s="14">
        <f>SUM(E72:E76)</f>
        <v>1244635.9800000002</v>
      </c>
      <c r="F77" s="15"/>
      <c r="G77" s="14">
        <f>SUM(G72:G76)</f>
        <v>-177896.25999999998</v>
      </c>
      <c r="H77" s="14">
        <f>SUM(H72:H76)</f>
        <v>-68823.34</v>
      </c>
      <c r="I77" s="14">
        <f>SUM(I72:I76)</f>
        <v>-246719.59999999998</v>
      </c>
      <c r="J77" s="17"/>
      <c r="K77" s="14">
        <f>SUM(K72:K76)</f>
        <v>816097.43999999971</v>
      </c>
      <c r="L77" s="14">
        <f>SUM(L72:L76)</f>
        <v>181818.93999999997</v>
      </c>
      <c r="M77" s="14">
        <f>SUM(M72:M76)</f>
        <v>997916.38000000012</v>
      </c>
      <c r="N77" s="18"/>
    </row>
    <row r="78" spans="1:15" x14ac:dyDescent="0.25">
      <c r="A78" s="6"/>
      <c r="B78" s="7"/>
      <c r="C78" s="17"/>
      <c r="D78" s="17"/>
      <c r="E78" s="17"/>
      <c r="F78" s="15"/>
      <c r="G78" s="17"/>
      <c r="H78" s="17"/>
      <c r="I78" s="17"/>
      <c r="J78" s="17"/>
      <c r="K78" s="17"/>
      <c r="L78" s="17"/>
      <c r="M78" s="17"/>
    </row>
    <row r="79" spans="1:15" x14ac:dyDescent="0.25">
      <c r="A79" s="6"/>
      <c r="B79" s="7"/>
      <c r="C79" s="174" t="s">
        <v>15</v>
      </c>
      <c r="D79" s="174"/>
      <c r="E79" s="174"/>
      <c r="F79" s="21"/>
      <c r="G79" s="174" t="s">
        <v>29</v>
      </c>
      <c r="H79" s="174"/>
      <c r="I79" s="174"/>
      <c r="J79" s="6"/>
      <c r="K79" s="175" t="s">
        <v>17</v>
      </c>
      <c r="L79" s="175"/>
      <c r="M79" s="175"/>
    </row>
    <row r="80" spans="1:15" x14ac:dyDescent="0.25">
      <c r="B80" s="7"/>
      <c r="C80" s="27" t="s">
        <v>19</v>
      </c>
      <c r="D80" s="27" t="s">
        <v>20</v>
      </c>
      <c r="E80" s="27" t="s">
        <v>21</v>
      </c>
      <c r="F80" s="21"/>
      <c r="G80" s="27" t="s">
        <v>19</v>
      </c>
      <c r="H80" s="27" t="s">
        <v>20</v>
      </c>
      <c r="I80" s="27" t="s">
        <v>21</v>
      </c>
      <c r="J80" s="6"/>
      <c r="K80" s="9" t="s">
        <v>19</v>
      </c>
      <c r="L80" s="9" t="s">
        <v>20</v>
      </c>
      <c r="M80" s="9" t="s">
        <v>21</v>
      </c>
    </row>
    <row r="81" spans="1:15" x14ac:dyDescent="0.25">
      <c r="A81" s="10" t="s">
        <v>83</v>
      </c>
      <c r="B81" s="7"/>
      <c r="C81" s="2"/>
      <c r="D81" s="2"/>
      <c r="E81" s="2"/>
      <c r="F81" s="4"/>
      <c r="G81" s="2"/>
      <c r="H81" s="2"/>
      <c r="I81" s="2"/>
      <c r="J81" s="6"/>
      <c r="K81" s="6"/>
      <c r="L81" s="6"/>
      <c r="M81" s="6"/>
    </row>
    <row r="82" spans="1:15" x14ac:dyDescent="0.25">
      <c r="A82" s="5" t="s">
        <v>23</v>
      </c>
      <c r="B82" s="7"/>
      <c r="C82" s="21">
        <f>E72</f>
        <v>1526382.6800000002</v>
      </c>
      <c r="D82" s="21">
        <v>283060.58</v>
      </c>
      <c r="E82" s="21">
        <f>SUM(C82:D82)</f>
        <v>1809443.2600000002</v>
      </c>
      <c r="F82" s="21"/>
      <c r="G82" s="21">
        <f>I72</f>
        <v>-326758.90999999997</v>
      </c>
      <c r="H82" s="21">
        <v>-111245.29</v>
      </c>
      <c r="I82" s="21">
        <f>SUM(G82:H82)</f>
        <v>-438004.19999999995</v>
      </c>
      <c r="J82" s="21"/>
      <c r="K82" s="21">
        <f t="shared" ref="K82:M86" si="11">C82+G82</f>
        <v>1199623.7700000003</v>
      </c>
      <c r="L82" s="21">
        <f>D82+H82</f>
        <v>171815.29000000004</v>
      </c>
      <c r="M82" s="21">
        <f t="shared" si="11"/>
        <v>1371439.0600000003</v>
      </c>
      <c r="O82" s="18"/>
    </row>
    <row r="83" spans="1:15" x14ac:dyDescent="0.25">
      <c r="A83" s="5" t="s">
        <v>24</v>
      </c>
      <c r="B83" s="7"/>
      <c r="C83" s="21">
        <f>E73</f>
        <v>153844.78999999998</v>
      </c>
      <c r="D83" s="21">
        <v>-150273.76</v>
      </c>
      <c r="E83" s="21">
        <f>SUM(C83:D83)</f>
        <v>3571.0299999999697</v>
      </c>
      <c r="F83" s="21"/>
      <c r="G83" s="21">
        <f>I73</f>
        <v>0</v>
      </c>
      <c r="H83" s="21">
        <v>0</v>
      </c>
      <c r="I83" s="21">
        <f>SUM(G83:H83)</f>
        <v>0</v>
      </c>
      <c r="J83" s="21"/>
      <c r="K83" s="21">
        <f t="shared" si="11"/>
        <v>153844.78999999998</v>
      </c>
      <c r="L83" s="21">
        <f t="shared" si="11"/>
        <v>-150273.76</v>
      </c>
      <c r="M83" s="21">
        <f t="shared" si="11"/>
        <v>3571.0299999999697</v>
      </c>
    </row>
    <row r="84" spans="1:15" x14ac:dyDescent="0.25">
      <c r="A84" s="5" t="s">
        <v>26</v>
      </c>
      <c r="B84" s="7"/>
      <c r="C84" s="21">
        <f>E74</f>
        <v>0.35999999981083874</v>
      </c>
      <c r="D84" s="21">
        <v>0</v>
      </c>
      <c r="E84" s="21">
        <f>SUM(C84:D84)</f>
        <v>0.35999999981083874</v>
      </c>
      <c r="F84" s="21"/>
      <c r="G84" s="21">
        <f>I74</f>
        <v>0</v>
      </c>
      <c r="H84" s="21">
        <v>0</v>
      </c>
      <c r="I84" s="21">
        <f>SUM(G84:H84)</f>
        <v>0</v>
      </c>
      <c r="J84" s="21"/>
      <c r="K84" s="21">
        <f t="shared" si="11"/>
        <v>0.35999999981083874</v>
      </c>
      <c r="L84" s="21">
        <f t="shared" si="11"/>
        <v>0</v>
      </c>
      <c r="M84" s="21">
        <f t="shared" si="11"/>
        <v>0.35999999981083874</v>
      </c>
    </row>
    <row r="85" spans="1:15" x14ac:dyDescent="0.25">
      <c r="A85" s="5" t="s">
        <v>33</v>
      </c>
      <c r="B85" s="7"/>
      <c r="C85" s="21">
        <f>E75</f>
        <v>-401549.91</v>
      </c>
      <c r="D85" s="21">
        <v>-60684.9</v>
      </c>
      <c r="E85" s="21">
        <f>SUM(C85:D85)</f>
        <v>-462234.81</v>
      </c>
      <c r="F85" s="21"/>
      <c r="G85" s="21">
        <f>I75</f>
        <v>80039.310000000012</v>
      </c>
      <c r="H85" s="21">
        <v>28792.820000000003</v>
      </c>
      <c r="I85" s="21">
        <f>SUM(G85:H85)</f>
        <v>108832.13000000002</v>
      </c>
      <c r="J85" s="21"/>
      <c r="K85" s="21">
        <f t="shared" si="11"/>
        <v>-321510.59999999998</v>
      </c>
      <c r="L85" s="21">
        <f t="shared" si="11"/>
        <v>-31892.079999999998</v>
      </c>
      <c r="M85" s="21">
        <f t="shared" si="11"/>
        <v>-353402.68</v>
      </c>
    </row>
    <row r="86" spans="1:15" x14ac:dyDescent="0.25">
      <c r="A86" s="5" t="s">
        <v>34</v>
      </c>
      <c r="B86" s="7"/>
      <c r="C86" s="21">
        <f>E76</f>
        <v>-34041.94</v>
      </c>
      <c r="D86" s="21">
        <v>34042.100000000006</v>
      </c>
      <c r="E86" s="21">
        <f>SUM(C86:D86)</f>
        <v>0.16000000000349246</v>
      </c>
      <c r="F86" s="21"/>
      <c r="G86" s="21">
        <f>I76</f>
        <v>0</v>
      </c>
      <c r="H86" s="21">
        <v>0</v>
      </c>
      <c r="I86" s="21">
        <f>SUM(G86:H86)</f>
        <v>0</v>
      </c>
      <c r="J86" s="21"/>
      <c r="K86" s="21">
        <f t="shared" si="11"/>
        <v>-34041.94</v>
      </c>
      <c r="L86" s="21">
        <f t="shared" si="11"/>
        <v>34042.100000000006</v>
      </c>
      <c r="M86" s="21">
        <f t="shared" si="11"/>
        <v>0.16000000000349246</v>
      </c>
    </row>
    <row r="87" spans="1:15" x14ac:dyDescent="0.25">
      <c r="A87" s="6" t="s">
        <v>28</v>
      </c>
      <c r="B87" s="7"/>
      <c r="C87" s="14">
        <f>SUM(C82:C86)</f>
        <v>1244635.9800000002</v>
      </c>
      <c r="D87" s="14">
        <f>SUM(D82:D86)</f>
        <v>106144.02000000002</v>
      </c>
      <c r="E87" s="14">
        <f>SUM(E82:E86)</f>
        <v>1350780</v>
      </c>
      <c r="F87" s="15"/>
      <c r="G87" s="14">
        <f>SUM(G82:G86)</f>
        <v>-246719.59999999998</v>
      </c>
      <c r="H87" s="14">
        <f>SUM(H82:H86)</f>
        <v>-82452.469999999987</v>
      </c>
      <c r="I87" s="14">
        <f>SUM(I82:I86)</f>
        <v>-329172.06999999995</v>
      </c>
      <c r="J87" s="17"/>
      <c r="K87" s="14">
        <f>SUM(K82:K86)</f>
        <v>997916.38000000012</v>
      </c>
      <c r="L87" s="14">
        <f>SUM(L82:L86)</f>
        <v>23691.550000000036</v>
      </c>
      <c r="M87" s="14">
        <f>SUM(M82:M86)</f>
        <v>1021607.9300000003</v>
      </c>
      <c r="N87" s="18"/>
    </row>
    <row r="88" spans="1:15" x14ac:dyDescent="0.25">
      <c r="A88" s="6"/>
      <c r="B88" s="7"/>
      <c r="C88" s="17"/>
      <c r="D88" s="17"/>
      <c r="E88" s="17"/>
      <c r="F88" s="15"/>
      <c r="G88" s="17"/>
      <c r="H88" s="17"/>
      <c r="I88" s="17"/>
      <c r="J88" s="17"/>
      <c r="K88" s="17"/>
      <c r="L88" s="17"/>
      <c r="M88" s="17"/>
    </row>
    <row r="89" spans="1:15" x14ac:dyDescent="0.25">
      <c r="A89" s="6"/>
      <c r="B89" s="7"/>
      <c r="C89" s="17"/>
      <c r="D89" s="17"/>
      <c r="E89" s="17"/>
      <c r="F89" s="15"/>
      <c r="G89" s="17"/>
      <c r="H89" s="17"/>
      <c r="I89" s="17"/>
      <c r="J89" s="17"/>
      <c r="K89" s="17"/>
      <c r="L89" s="17"/>
      <c r="M89" s="17"/>
    </row>
    <row r="90" spans="1:15" x14ac:dyDescent="0.25">
      <c r="A90" s="6"/>
      <c r="B90" s="7"/>
      <c r="C90" s="174" t="s">
        <v>15</v>
      </c>
      <c r="D90" s="174"/>
      <c r="E90" s="174"/>
      <c r="F90" s="21"/>
      <c r="G90" s="174" t="s">
        <v>29</v>
      </c>
      <c r="H90" s="174"/>
      <c r="I90" s="174"/>
      <c r="J90" s="6"/>
      <c r="K90" s="175" t="s">
        <v>17</v>
      </c>
      <c r="L90" s="175"/>
      <c r="M90" s="175"/>
    </row>
    <row r="91" spans="1:15" x14ac:dyDescent="0.25">
      <c r="B91" s="7"/>
      <c r="C91" s="27" t="s">
        <v>19</v>
      </c>
      <c r="D91" s="27" t="s">
        <v>20</v>
      </c>
      <c r="E91" s="27" t="s">
        <v>21</v>
      </c>
      <c r="F91" s="21"/>
      <c r="G91" s="27" t="s">
        <v>19</v>
      </c>
      <c r="H91" s="27" t="s">
        <v>20</v>
      </c>
      <c r="I91" s="27" t="s">
        <v>21</v>
      </c>
      <c r="J91" s="6"/>
      <c r="K91" s="9" t="s">
        <v>19</v>
      </c>
      <c r="L91" s="9" t="s">
        <v>20</v>
      </c>
      <c r="M91" s="9" t="s">
        <v>21</v>
      </c>
    </row>
    <row r="92" spans="1:15" x14ac:dyDescent="0.25">
      <c r="A92" s="10" t="s">
        <v>85</v>
      </c>
      <c r="B92" s="7"/>
      <c r="C92" s="2"/>
      <c r="D92" s="2"/>
      <c r="E92" s="2"/>
      <c r="F92" s="4"/>
      <c r="G92" s="2"/>
      <c r="H92" s="2"/>
      <c r="I92" s="2"/>
      <c r="J92" s="6"/>
      <c r="K92" s="6"/>
      <c r="L92" s="6"/>
      <c r="M92" s="6"/>
    </row>
    <row r="93" spans="1:15" x14ac:dyDescent="0.25">
      <c r="A93" s="5" t="s">
        <v>23</v>
      </c>
      <c r="B93" s="7"/>
      <c r="C93" s="21">
        <f>E82</f>
        <v>1809443.2600000002</v>
      </c>
      <c r="D93" s="21">
        <v>6180.54</v>
      </c>
      <c r="E93" s="21">
        <f>SUM(C93:D93)</f>
        <v>1815623.8000000003</v>
      </c>
      <c r="F93" s="21"/>
      <c r="G93" s="21">
        <f>I82</f>
        <v>-438004.19999999995</v>
      </c>
      <c r="H93" s="21">
        <v>-121567.90999999999</v>
      </c>
      <c r="I93" s="21">
        <f>SUM(G93:H93)</f>
        <v>-559572.11</v>
      </c>
      <c r="J93" s="13"/>
      <c r="K93" s="13">
        <f t="shared" ref="K93:M97" si="12">C93+G93</f>
        <v>1371439.0600000003</v>
      </c>
      <c r="L93" s="21">
        <f t="shared" si="12"/>
        <v>-115387.37</v>
      </c>
      <c r="M93" s="13">
        <f t="shared" si="12"/>
        <v>1256051.6900000004</v>
      </c>
      <c r="O93" s="18"/>
    </row>
    <row r="94" spans="1:15" x14ac:dyDescent="0.25">
      <c r="A94" s="5" t="s">
        <v>24</v>
      </c>
      <c r="B94" s="7"/>
      <c r="C94" s="21">
        <f>E83</f>
        <v>3571.0299999999697</v>
      </c>
      <c r="D94" s="21">
        <v>49722.449999999255</v>
      </c>
      <c r="E94" s="21">
        <f>SUM(C94:D94)</f>
        <v>53293.479999999225</v>
      </c>
      <c r="F94" s="21"/>
      <c r="G94" s="21">
        <f>I83</f>
        <v>0</v>
      </c>
      <c r="H94" s="21"/>
      <c r="I94" s="21">
        <f>SUM(G94:H94)</f>
        <v>0</v>
      </c>
      <c r="J94" s="13"/>
      <c r="K94" s="13">
        <f t="shared" si="12"/>
        <v>3571.0299999999697</v>
      </c>
      <c r="L94" s="21">
        <f t="shared" si="12"/>
        <v>49722.449999999255</v>
      </c>
      <c r="M94" s="13">
        <f t="shared" si="12"/>
        <v>53293.479999999225</v>
      </c>
    </row>
    <row r="95" spans="1:15" x14ac:dyDescent="0.25">
      <c r="A95" s="5" t="s">
        <v>26</v>
      </c>
      <c r="B95" s="7"/>
      <c r="C95" s="21">
        <f>E84</f>
        <v>0.35999999981083874</v>
      </c>
      <c r="D95" s="21">
        <v>27.66</v>
      </c>
      <c r="E95" s="21">
        <f>SUM(C95:D95)</f>
        <v>28.019999999810839</v>
      </c>
      <c r="F95" s="21"/>
      <c r="G95" s="21">
        <f>I84</f>
        <v>0</v>
      </c>
      <c r="H95" s="21"/>
      <c r="I95" s="21">
        <f>SUM(G95:H95)</f>
        <v>0</v>
      </c>
      <c r="J95" s="13"/>
      <c r="K95" s="13">
        <f t="shared" si="12"/>
        <v>0.35999999981083874</v>
      </c>
      <c r="L95" s="21">
        <f t="shared" si="12"/>
        <v>27.66</v>
      </c>
      <c r="M95" s="13">
        <f t="shared" si="12"/>
        <v>28.019999999810839</v>
      </c>
    </row>
    <row r="96" spans="1:15" x14ac:dyDescent="0.25">
      <c r="A96" s="5" t="s">
        <v>33</v>
      </c>
      <c r="B96" s="7"/>
      <c r="C96" s="21">
        <f>E85</f>
        <v>-462234.81</v>
      </c>
      <c r="D96" s="21">
        <v>0</v>
      </c>
      <c r="E96" s="21">
        <f>SUM(C96:D96)</f>
        <v>-462234.81</v>
      </c>
      <c r="F96" s="21"/>
      <c r="G96" s="21">
        <f>I85</f>
        <v>108832.13000000002</v>
      </c>
      <c r="H96" s="21">
        <v>30950.920000000002</v>
      </c>
      <c r="I96" s="21">
        <f>SUM(G96:H96)</f>
        <v>139783.05000000002</v>
      </c>
      <c r="J96" s="13"/>
      <c r="K96" s="13">
        <f t="shared" si="12"/>
        <v>-353402.68</v>
      </c>
      <c r="L96" s="21">
        <f t="shared" si="12"/>
        <v>30950.920000000002</v>
      </c>
      <c r="M96" s="13">
        <f t="shared" si="12"/>
        <v>-322451.76</v>
      </c>
    </row>
    <row r="97" spans="1:15" x14ac:dyDescent="0.25">
      <c r="A97" s="5" t="s">
        <v>34</v>
      </c>
      <c r="B97" s="7"/>
      <c r="C97" s="21">
        <f>E86</f>
        <v>0.16000000000349246</v>
      </c>
      <c r="D97" s="21">
        <v>0</v>
      </c>
      <c r="E97" s="21">
        <f>SUM(C97:D97)</f>
        <v>0.16000000000349246</v>
      </c>
      <c r="F97" s="21"/>
      <c r="G97" s="21">
        <f>I86</f>
        <v>0</v>
      </c>
      <c r="H97" s="21"/>
      <c r="I97" s="21">
        <f>SUM(G97:H97)</f>
        <v>0</v>
      </c>
      <c r="J97" s="13"/>
      <c r="K97" s="13">
        <f t="shared" si="12"/>
        <v>0.16000000000349246</v>
      </c>
      <c r="L97" s="21">
        <f t="shared" si="12"/>
        <v>0</v>
      </c>
      <c r="M97" s="13">
        <f t="shared" si="12"/>
        <v>0.16000000000349246</v>
      </c>
    </row>
    <row r="98" spans="1:15" x14ac:dyDescent="0.25">
      <c r="A98" s="6" t="s">
        <v>28</v>
      </c>
      <c r="B98" s="7"/>
      <c r="C98" s="14">
        <f>SUM(C93:C97)</f>
        <v>1350780</v>
      </c>
      <c r="D98" s="14">
        <f>SUM(D93:D97)</f>
        <v>55930.649999999259</v>
      </c>
      <c r="E98" s="14">
        <f>SUM(E93:E97)</f>
        <v>1406710.6499999992</v>
      </c>
      <c r="F98" s="15"/>
      <c r="G98" s="14">
        <f>SUM(G93:G97)</f>
        <v>-329172.06999999995</v>
      </c>
      <c r="H98" s="14">
        <f>SUM(H93:H97)</f>
        <v>-90616.989999999991</v>
      </c>
      <c r="I98" s="14">
        <f>SUM(I93:I97)</f>
        <v>-419789.05999999994</v>
      </c>
      <c r="J98" s="17"/>
      <c r="K98" s="14">
        <f>SUM(K93:K97)</f>
        <v>1021607.9300000003</v>
      </c>
      <c r="L98" s="14">
        <f>SUM(L93:L97)</f>
        <v>-34686.340000000739</v>
      </c>
      <c r="M98" s="14">
        <f>SUM(M93:M97)</f>
        <v>986921.5899999995</v>
      </c>
      <c r="N98" s="18"/>
    </row>
    <row r="99" spans="1:15" x14ac:dyDescent="0.25">
      <c r="A99" s="6"/>
      <c r="B99" s="7"/>
      <c r="C99" s="17"/>
      <c r="D99" s="17"/>
      <c r="E99" s="17"/>
      <c r="F99" s="15"/>
      <c r="G99" s="17"/>
      <c r="H99" s="17"/>
      <c r="I99" s="17"/>
      <c r="J99" s="17"/>
      <c r="K99" s="17"/>
      <c r="L99" s="17"/>
      <c r="M99" s="17"/>
    </row>
    <row r="100" spans="1:15" x14ac:dyDescent="0.25">
      <c r="A100" s="6"/>
      <c r="B100" s="75"/>
      <c r="C100" s="17"/>
      <c r="D100" s="17"/>
      <c r="E100" s="17"/>
      <c r="F100" s="15"/>
      <c r="G100" s="17"/>
      <c r="H100" s="17"/>
      <c r="I100" s="17"/>
      <c r="J100" s="17"/>
      <c r="K100" s="17"/>
      <c r="L100" s="17"/>
      <c r="M100" s="17"/>
    </row>
    <row r="101" spans="1:15" x14ac:dyDescent="0.25">
      <c r="A101" s="6"/>
      <c r="B101" s="75"/>
      <c r="C101" s="174" t="s">
        <v>15</v>
      </c>
      <c r="D101" s="174"/>
      <c r="E101" s="174"/>
      <c r="F101" s="21"/>
      <c r="G101" s="174" t="s">
        <v>29</v>
      </c>
      <c r="H101" s="174"/>
      <c r="I101" s="174"/>
      <c r="J101" s="6"/>
      <c r="K101" s="175" t="s">
        <v>17</v>
      </c>
      <c r="L101" s="175"/>
      <c r="M101" s="175"/>
    </row>
    <row r="102" spans="1:15" x14ac:dyDescent="0.25">
      <c r="B102" s="75"/>
      <c r="C102" s="27" t="s">
        <v>19</v>
      </c>
      <c r="D102" s="27" t="s">
        <v>20</v>
      </c>
      <c r="E102" s="27" t="s">
        <v>21</v>
      </c>
      <c r="F102" s="21"/>
      <c r="G102" s="27" t="s">
        <v>19</v>
      </c>
      <c r="H102" s="27" t="s">
        <v>20</v>
      </c>
      <c r="I102" s="27" t="s">
        <v>21</v>
      </c>
      <c r="J102" s="6"/>
      <c r="K102" s="9" t="s">
        <v>19</v>
      </c>
      <c r="L102" s="9" t="s">
        <v>20</v>
      </c>
      <c r="M102" s="9" t="s">
        <v>21</v>
      </c>
    </row>
    <row r="103" spans="1:15" x14ac:dyDescent="0.25">
      <c r="A103" s="10" t="s">
        <v>81</v>
      </c>
      <c r="B103" s="75"/>
      <c r="C103" s="2"/>
      <c r="D103" s="2"/>
      <c r="E103" s="2"/>
      <c r="F103" s="4"/>
      <c r="G103" s="2"/>
      <c r="H103" s="2"/>
      <c r="I103" s="2"/>
      <c r="J103" s="6"/>
      <c r="K103" s="6"/>
      <c r="L103" s="6"/>
      <c r="M103" s="6"/>
    </row>
    <row r="104" spans="1:15" x14ac:dyDescent="0.25">
      <c r="A104" s="5" t="s">
        <v>23</v>
      </c>
      <c r="B104" s="75"/>
      <c r="C104" s="21">
        <f>E93</f>
        <v>1815623.8000000003</v>
      </c>
      <c r="D104" s="21">
        <v>0</v>
      </c>
      <c r="E104" s="21">
        <f>SUM(C104:D104)</f>
        <v>1815623.8000000003</v>
      </c>
      <c r="F104" s="21"/>
      <c r="G104" s="21">
        <f>I93</f>
        <v>-559572.11</v>
      </c>
      <c r="H104" s="21">
        <v>-121670.63999999998</v>
      </c>
      <c r="I104" s="21">
        <f>SUM(G104:H104)</f>
        <v>-681242.75</v>
      </c>
      <c r="J104" s="13"/>
      <c r="K104" s="13">
        <f t="shared" ref="K104:K108" si="13">C104+G104</f>
        <v>1256051.6900000004</v>
      </c>
      <c r="L104" s="21">
        <f t="shared" ref="L104:L108" si="14">D104+H104</f>
        <v>-121670.63999999998</v>
      </c>
      <c r="M104" s="13">
        <f t="shared" ref="M104:M108" si="15">E104+I104</f>
        <v>1134381.0500000003</v>
      </c>
      <c r="O104" s="18"/>
    </row>
    <row r="105" spans="1:15" x14ac:dyDescent="0.25">
      <c r="A105" s="5" t="s">
        <v>24</v>
      </c>
      <c r="B105" s="75"/>
      <c r="C105" s="21">
        <f>E94</f>
        <v>53293.479999999225</v>
      </c>
      <c r="D105" s="21">
        <v>37287.710000000006</v>
      </c>
      <c r="E105" s="21">
        <f>SUM(C105:D105)</f>
        <v>90581.189999999231</v>
      </c>
      <c r="F105" s="21"/>
      <c r="G105" s="21">
        <f>I94</f>
        <v>0</v>
      </c>
      <c r="H105" s="21"/>
      <c r="I105" s="21">
        <f>SUM(G105:H105)</f>
        <v>0</v>
      </c>
      <c r="J105" s="13"/>
      <c r="K105" s="13">
        <f t="shared" si="13"/>
        <v>53293.479999999225</v>
      </c>
      <c r="L105" s="21">
        <f t="shared" si="14"/>
        <v>37287.710000000006</v>
      </c>
      <c r="M105" s="13">
        <f t="shared" si="15"/>
        <v>90581.189999999231</v>
      </c>
    </row>
    <row r="106" spans="1:15" x14ac:dyDescent="0.25">
      <c r="A106" s="5" t="s">
        <v>26</v>
      </c>
      <c r="B106" s="75"/>
      <c r="C106" s="21">
        <f>E95</f>
        <v>28.019999999810839</v>
      </c>
      <c r="D106" s="21">
        <v>0</v>
      </c>
      <c r="E106" s="21">
        <f>SUM(C106:D106)</f>
        <v>28.019999999810839</v>
      </c>
      <c r="F106" s="21"/>
      <c r="G106" s="21">
        <f>I95</f>
        <v>0</v>
      </c>
      <c r="H106" s="21"/>
      <c r="I106" s="21">
        <f>SUM(G106:H106)</f>
        <v>0</v>
      </c>
      <c r="J106" s="13"/>
      <c r="K106" s="13">
        <f t="shared" si="13"/>
        <v>28.019999999810839</v>
      </c>
      <c r="L106" s="21">
        <f t="shared" si="14"/>
        <v>0</v>
      </c>
      <c r="M106" s="13">
        <f t="shared" si="15"/>
        <v>28.019999999810839</v>
      </c>
    </row>
    <row r="107" spans="1:15" x14ac:dyDescent="0.25">
      <c r="A107" s="5" t="s">
        <v>33</v>
      </c>
      <c r="B107" s="75"/>
      <c r="C107" s="21">
        <f>E96</f>
        <v>-462234.81</v>
      </c>
      <c r="D107" s="21">
        <v>0</v>
      </c>
      <c r="E107" s="21">
        <f>SUM(C107:D107)</f>
        <v>-462234.81</v>
      </c>
      <c r="F107" s="21"/>
      <c r="G107" s="21">
        <f>I96</f>
        <v>139783.05000000002</v>
      </c>
      <c r="H107" s="21">
        <v>30950.920000000002</v>
      </c>
      <c r="I107" s="21">
        <f>SUM(G107:H107)</f>
        <v>170733.97000000003</v>
      </c>
      <c r="J107" s="13"/>
      <c r="K107" s="13">
        <f t="shared" si="13"/>
        <v>-322451.76</v>
      </c>
      <c r="L107" s="21">
        <f t="shared" si="14"/>
        <v>30950.920000000002</v>
      </c>
      <c r="M107" s="13">
        <f t="shared" si="15"/>
        <v>-291500.83999999997</v>
      </c>
    </row>
    <row r="108" spans="1:15" x14ac:dyDescent="0.25">
      <c r="A108" s="5" t="s">
        <v>34</v>
      </c>
      <c r="B108" s="75"/>
      <c r="C108" s="21">
        <f>E97</f>
        <v>0.16000000000349246</v>
      </c>
      <c r="D108" s="21">
        <v>0</v>
      </c>
      <c r="E108" s="21">
        <f>SUM(C108:D108)</f>
        <v>0.16000000000349246</v>
      </c>
      <c r="F108" s="21"/>
      <c r="G108" s="21">
        <f>I97</f>
        <v>0</v>
      </c>
      <c r="H108" s="21"/>
      <c r="I108" s="21">
        <f>SUM(G108:H108)</f>
        <v>0</v>
      </c>
      <c r="J108" s="13"/>
      <c r="K108" s="13">
        <f t="shared" si="13"/>
        <v>0.16000000000349246</v>
      </c>
      <c r="L108" s="21">
        <f t="shared" si="14"/>
        <v>0</v>
      </c>
      <c r="M108" s="13">
        <f t="shared" si="15"/>
        <v>0.16000000000349246</v>
      </c>
    </row>
    <row r="109" spans="1:15" x14ac:dyDescent="0.25">
      <c r="A109" s="6" t="s">
        <v>28</v>
      </c>
      <c r="B109" s="75"/>
      <c r="C109" s="14">
        <f>SUM(C104:C108)</f>
        <v>1406710.6499999992</v>
      </c>
      <c r="D109" s="14">
        <f>SUM(D104:D108)</f>
        <v>37287.710000000006</v>
      </c>
      <c r="E109" s="14">
        <f>SUM(E104:E108)</f>
        <v>1443998.3599999992</v>
      </c>
      <c r="F109" s="15"/>
      <c r="G109" s="14">
        <f>SUM(G104:G108)</f>
        <v>-419789.05999999994</v>
      </c>
      <c r="H109" s="14">
        <f>SUM(H104:H108)</f>
        <v>-90719.719999999987</v>
      </c>
      <c r="I109" s="14">
        <f>SUM(I104:I108)</f>
        <v>-510508.77999999997</v>
      </c>
      <c r="J109" s="17"/>
      <c r="K109" s="14">
        <f>SUM(K104:K108)</f>
        <v>986921.5899999995</v>
      </c>
      <c r="L109" s="14">
        <f>SUM(L104:L108)</f>
        <v>-53432.00999999998</v>
      </c>
      <c r="M109" s="14">
        <f>SUM(M104:M108)</f>
        <v>933489.57999999938</v>
      </c>
    </row>
    <row r="110" spans="1:15" x14ac:dyDescent="0.25">
      <c r="A110" s="6"/>
      <c r="B110" s="8"/>
      <c r="C110" s="17"/>
      <c r="D110" s="17"/>
      <c r="E110" s="17"/>
      <c r="F110" s="15"/>
      <c r="G110" s="17"/>
      <c r="H110" s="17"/>
      <c r="I110" s="17"/>
      <c r="J110" s="17"/>
      <c r="K110" s="17"/>
      <c r="L110" s="17"/>
      <c r="M110" s="17"/>
    </row>
    <row r="111" spans="1:15" x14ac:dyDescent="0.25">
      <c r="A111" s="6"/>
      <c r="B111" s="7"/>
      <c r="C111" s="17"/>
      <c r="D111" s="17"/>
      <c r="E111" s="17"/>
      <c r="F111" s="15"/>
      <c r="G111" s="17"/>
      <c r="H111" s="17"/>
      <c r="I111" s="17"/>
      <c r="J111" s="17"/>
      <c r="K111" s="17"/>
      <c r="L111" s="17"/>
      <c r="M111" s="17"/>
    </row>
    <row r="112" spans="1:15" x14ac:dyDescent="0.25">
      <c r="A112" s="6"/>
      <c r="B112" s="78"/>
      <c r="C112" s="174" t="s">
        <v>15</v>
      </c>
      <c r="D112" s="174"/>
      <c r="E112" s="174"/>
      <c r="F112" s="21"/>
      <c r="G112" s="174" t="s">
        <v>29</v>
      </c>
      <c r="H112" s="174"/>
      <c r="I112" s="174"/>
      <c r="J112" s="6"/>
      <c r="K112" s="175" t="s">
        <v>17</v>
      </c>
      <c r="L112" s="175"/>
      <c r="M112" s="175"/>
    </row>
    <row r="113" spans="1:15" x14ac:dyDescent="0.25">
      <c r="B113" s="78"/>
      <c r="C113" s="27" t="s">
        <v>19</v>
      </c>
      <c r="D113" s="27" t="s">
        <v>20</v>
      </c>
      <c r="E113" s="27" t="s">
        <v>21</v>
      </c>
      <c r="F113" s="21"/>
      <c r="G113" s="27" t="s">
        <v>19</v>
      </c>
      <c r="H113" s="27" t="s">
        <v>20</v>
      </c>
      <c r="I113" s="27" t="s">
        <v>21</v>
      </c>
      <c r="J113" s="6"/>
      <c r="K113" s="9" t="s">
        <v>19</v>
      </c>
      <c r="L113" s="9" t="s">
        <v>20</v>
      </c>
      <c r="M113" s="9" t="s">
        <v>21</v>
      </c>
    </row>
    <row r="114" spans="1:15" x14ac:dyDescent="0.25">
      <c r="A114" s="10" t="s">
        <v>84</v>
      </c>
      <c r="B114" s="78"/>
      <c r="C114" s="2"/>
      <c r="D114" s="2"/>
      <c r="E114" s="2"/>
      <c r="F114" s="4"/>
      <c r="G114" s="2"/>
      <c r="H114" s="2"/>
      <c r="I114" s="2"/>
      <c r="J114" s="6"/>
      <c r="K114" s="6"/>
      <c r="L114" s="6"/>
      <c r="M114" s="6"/>
    </row>
    <row r="115" spans="1:15" x14ac:dyDescent="0.25">
      <c r="A115" s="5" t="s">
        <v>23</v>
      </c>
      <c r="B115" s="78"/>
      <c r="C115" s="21">
        <f>E104</f>
        <v>1815623.8000000003</v>
      </c>
      <c r="D115" s="21">
        <v>0</v>
      </c>
      <c r="E115" s="21">
        <f>SUM(C115:D115)</f>
        <v>1815623.8000000003</v>
      </c>
      <c r="F115" s="21"/>
      <c r="G115" s="21">
        <f>I104</f>
        <v>-681242.75</v>
      </c>
      <c r="H115" s="21">
        <v>-121670.63999999998</v>
      </c>
      <c r="I115" s="21">
        <f>SUM(G115:H115)</f>
        <v>-802913.39</v>
      </c>
      <c r="J115" s="13"/>
      <c r="K115" s="13">
        <f t="shared" ref="K115:K119" si="16">C115+G115</f>
        <v>1134381.0500000003</v>
      </c>
      <c r="L115" s="21">
        <f t="shared" ref="L115:L119" si="17">D115+H115</f>
        <v>-121670.63999999998</v>
      </c>
      <c r="M115" s="13">
        <f t="shared" ref="M115:M119" si="18">E115+I115</f>
        <v>1012710.4100000003</v>
      </c>
    </row>
    <row r="116" spans="1:15" x14ac:dyDescent="0.25">
      <c r="A116" s="5" t="s">
        <v>24</v>
      </c>
      <c r="B116" s="78"/>
      <c r="C116" s="21">
        <f>E105</f>
        <v>90581.189999999231</v>
      </c>
      <c r="D116" s="21">
        <v>0</v>
      </c>
      <c r="E116" s="21">
        <f>SUM(C116:D116)</f>
        <v>90581.189999999231</v>
      </c>
      <c r="F116" s="21"/>
      <c r="G116" s="21">
        <f>I105</f>
        <v>0</v>
      </c>
      <c r="H116" s="21"/>
      <c r="I116" s="21">
        <f>SUM(G116:H116)</f>
        <v>0</v>
      </c>
      <c r="J116" s="13"/>
      <c r="K116" s="13">
        <f t="shared" si="16"/>
        <v>90581.189999999231</v>
      </c>
      <c r="L116" s="21">
        <f t="shared" si="17"/>
        <v>0</v>
      </c>
      <c r="M116" s="13">
        <f t="shared" si="18"/>
        <v>90581.189999999231</v>
      </c>
    </row>
    <row r="117" spans="1:15" x14ac:dyDescent="0.25">
      <c r="A117" s="5" t="s">
        <v>26</v>
      </c>
      <c r="B117" s="78"/>
      <c r="C117" s="21">
        <f>E106</f>
        <v>28.019999999810839</v>
      </c>
      <c r="D117" s="21">
        <v>0</v>
      </c>
      <c r="E117" s="21">
        <f>SUM(C117:D117)</f>
        <v>28.019999999810839</v>
      </c>
      <c r="F117" s="21"/>
      <c r="G117" s="21">
        <f>I106</f>
        <v>0</v>
      </c>
      <c r="H117" s="21"/>
      <c r="I117" s="21">
        <f>SUM(G117:H117)</f>
        <v>0</v>
      </c>
      <c r="J117" s="13"/>
      <c r="K117" s="13">
        <f t="shared" si="16"/>
        <v>28.019999999810839</v>
      </c>
      <c r="L117" s="21">
        <f t="shared" si="17"/>
        <v>0</v>
      </c>
      <c r="M117" s="13">
        <f t="shared" si="18"/>
        <v>28.019999999810839</v>
      </c>
    </row>
    <row r="118" spans="1:15" x14ac:dyDescent="0.25">
      <c r="A118" s="5" t="s">
        <v>33</v>
      </c>
      <c r="B118" s="78"/>
      <c r="C118" s="21">
        <f>E107</f>
        <v>-462234.81</v>
      </c>
      <c r="D118" s="21">
        <v>0</v>
      </c>
      <c r="E118" s="21">
        <f>SUM(C118:D118)</f>
        <v>-462234.81</v>
      </c>
      <c r="F118" s="21"/>
      <c r="G118" s="21">
        <f>I107</f>
        <v>170733.97000000003</v>
      </c>
      <c r="H118" s="21">
        <v>30950.920000000002</v>
      </c>
      <c r="I118" s="21">
        <f>SUM(G118:H118)</f>
        <v>201684.89000000004</v>
      </c>
      <c r="J118" s="13"/>
      <c r="K118" s="13">
        <f t="shared" si="16"/>
        <v>-291500.83999999997</v>
      </c>
      <c r="L118" s="21">
        <f t="shared" si="17"/>
        <v>30950.920000000002</v>
      </c>
      <c r="M118" s="13">
        <f t="shared" si="18"/>
        <v>-260549.91999999995</v>
      </c>
    </row>
    <row r="119" spans="1:15" x14ac:dyDescent="0.25">
      <c r="A119" s="5" t="s">
        <v>34</v>
      </c>
      <c r="B119" s="78"/>
      <c r="C119" s="21">
        <f>E108</f>
        <v>0.16000000000349246</v>
      </c>
      <c r="D119" s="21">
        <v>0</v>
      </c>
      <c r="E119" s="21">
        <f>SUM(C119:D119)</f>
        <v>0.16000000000349246</v>
      </c>
      <c r="F119" s="21"/>
      <c r="G119" s="21">
        <f>I108</f>
        <v>0</v>
      </c>
      <c r="H119" s="21"/>
      <c r="I119" s="21">
        <f>SUM(G119:H119)</f>
        <v>0</v>
      </c>
      <c r="J119" s="13"/>
      <c r="K119" s="13">
        <f t="shared" si="16"/>
        <v>0.16000000000349246</v>
      </c>
      <c r="L119" s="21">
        <f t="shared" si="17"/>
        <v>0</v>
      </c>
      <c r="M119" s="13">
        <f t="shared" si="18"/>
        <v>0.16000000000349246</v>
      </c>
    </row>
    <row r="120" spans="1:15" x14ac:dyDescent="0.25">
      <c r="A120" s="6" t="s">
        <v>28</v>
      </c>
      <c r="B120" s="78"/>
      <c r="C120" s="14">
        <f>SUM(C115:C119)</f>
        <v>1443998.3599999992</v>
      </c>
      <c r="D120" s="14">
        <f>SUM(D115:D119)</f>
        <v>0</v>
      </c>
      <c r="E120" s="14">
        <f>SUM(E115:E119)</f>
        <v>1443998.3599999992</v>
      </c>
      <c r="F120" s="15"/>
      <c r="G120" s="14">
        <f>SUM(G115:G119)</f>
        <v>-510508.77999999997</v>
      </c>
      <c r="H120" s="14">
        <f>SUM(H115:H119)</f>
        <v>-90719.719999999987</v>
      </c>
      <c r="I120" s="14">
        <f>SUM(I115:I119)</f>
        <v>-601228.5</v>
      </c>
      <c r="J120" s="17"/>
      <c r="K120" s="14">
        <f>SUM(K115:K119)</f>
        <v>933489.57999999938</v>
      </c>
      <c r="L120" s="14">
        <f>SUM(L115:L119)</f>
        <v>-90719.719999999987</v>
      </c>
      <c r="M120" s="14">
        <f>SUM(M115:M119)</f>
        <v>842769.85999999929</v>
      </c>
    </row>
    <row r="121" spans="1:15" x14ac:dyDescent="0.25">
      <c r="A121" s="6"/>
      <c r="B121" s="7"/>
      <c r="C121" s="17"/>
      <c r="D121" s="17"/>
      <c r="E121" s="17"/>
      <c r="F121" s="15"/>
      <c r="G121" s="17"/>
      <c r="H121" s="17"/>
      <c r="I121" s="17"/>
      <c r="J121" s="17"/>
      <c r="K121" s="17"/>
      <c r="L121" s="17"/>
      <c r="M121" s="17"/>
      <c r="N121" s="17"/>
    </row>
    <row r="122" spans="1:15" x14ac:dyDescent="0.25">
      <c r="C122" s="29">
        <v>2010</v>
      </c>
      <c r="D122" s="29">
        <v>2011</v>
      </c>
      <c r="E122" s="29">
        <v>2012</v>
      </c>
      <c r="F122" s="176">
        <v>2013</v>
      </c>
      <c r="G122" s="29">
        <v>2014</v>
      </c>
      <c r="H122" s="29">
        <v>2015</v>
      </c>
      <c r="I122" s="29">
        <v>2016</v>
      </c>
      <c r="J122" s="29">
        <v>2017</v>
      </c>
      <c r="K122" s="29">
        <v>2018</v>
      </c>
      <c r="L122" s="29">
        <v>2019</v>
      </c>
      <c r="M122" s="29">
        <v>2020</v>
      </c>
      <c r="N122" s="29">
        <v>2021</v>
      </c>
      <c r="O122" s="29" t="s">
        <v>41</v>
      </c>
    </row>
    <row r="123" spans="1:15" x14ac:dyDescent="0.25">
      <c r="A123" s="31" t="s">
        <v>42</v>
      </c>
      <c r="B123" s="30"/>
      <c r="C123" s="32">
        <f>+D8</f>
        <v>61296.569999999992</v>
      </c>
      <c r="D123" s="32">
        <f>+D17</f>
        <v>197413.02999999997</v>
      </c>
      <c r="E123" s="32">
        <f>+D27</f>
        <v>140228.93</v>
      </c>
      <c r="F123" s="32">
        <f>D37</f>
        <v>109278.09</v>
      </c>
      <c r="G123" s="32">
        <f>D47</f>
        <v>87025</v>
      </c>
      <c r="H123" s="32">
        <f>D57</f>
        <v>237572.05000000005</v>
      </c>
      <c r="I123" s="32">
        <f>D67</f>
        <v>161946.25999999998</v>
      </c>
      <c r="J123" s="32">
        <f>D77</f>
        <v>250642.28</v>
      </c>
      <c r="K123" s="32">
        <f>D87</f>
        <v>106144.02000000002</v>
      </c>
      <c r="L123" s="32">
        <f>D98</f>
        <v>55930.649999999259</v>
      </c>
      <c r="M123" s="32">
        <f>+D109</f>
        <v>37287.710000000006</v>
      </c>
      <c r="N123" s="32">
        <f>D120</f>
        <v>0</v>
      </c>
      <c r="O123" s="32">
        <f>SUM(C123:N123)</f>
        <v>1444764.5899999992</v>
      </c>
    </row>
    <row r="124" spans="1:15" x14ac:dyDescent="0.25">
      <c r="A124" s="31" t="s">
        <v>43</v>
      </c>
      <c r="B124" s="30"/>
      <c r="C124" s="32">
        <f>+H8</f>
        <v>-766.23</v>
      </c>
      <c r="D124" s="32">
        <f>+H17</f>
        <v>-4476.28</v>
      </c>
      <c r="E124" s="32">
        <f>+H27</f>
        <v>-13032.12</v>
      </c>
      <c r="F124" s="32">
        <f>H37</f>
        <v>-24185.64</v>
      </c>
      <c r="G124" s="32">
        <f>H47</f>
        <v>-34414</v>
      </c>
      <c r="H124" s="32">
        <f>H57</f>
        <v>-45017.909999999996</v>
      </c>
      <c r="I124" s="32">
        <f>H67</f>
        <v>-56770.31</v>
      </c>
      <c r="J124" s="32">
        <f>H77</f>
        <v>-68823.34</v>
      </c>
      <c r="K124" s="32">
        <f>H87</f>
        <v>-82452.469999999987</v>
      </c>
      <c r="L124" s="32">
        <f>H98</f>
        <v>-90616.989999999991</v>
      </c>
      <c r="M124" s="32">
        <f>+H109</f>
        <v>-90719.719999999987</v>
      </c>
      <c r="N124" s="32">
        <f>H120</f>
        <v>-90719.719999999987</v>
      </c>
      <c r="O124" s="32">
        <f>SUM(C124:N124)</f>
        <v>-601994.73</v>
      </c>
    </row>
    <row r="126" spans="1:15" ht="30" x14ac:dyDescent="0.25">
      <c r="A126" s="31"/>
      <c r="B126" s="30"/>
      <c r="C126" s="29">
        <v>2010</v>
      </c>
      <c r="D126" s="29">
        <v>2011</v>
      </c>
      <c r="E126" s="33" t="s">
        <v>44</v>
      </c>
      <c r="F126" s="30">
        <v>2012</v>
      </c>
      <c r="G126" s="29">
        <v>2013</v>
      </c>
      <c r="H126" s="29">
        <v>2014</v>
      </c>
      <c r="I126" s="29">
        <v>2015</v>
      </c>
      <c r="J126" s="29">
        <v>2016</v>
      </c>
      <c r="K126" s="29">
        <v>2017</v>
      </c>
      <c r="L126" s="29">
        <v>2018</v>
      </c>
      <c r="M126" s="29">
        <v>2019</v>
      </c>
      <c r="N126" s="29">
        <v>2020</v>
      </c>
      <c r="O126" s="29">
        <v>2021</v>
      </c>
    </row>
    <row r="127" spans="1:15" x14ac:dyDescent="0.25">
      <c r="A127" s="31" t="s">
        <v>45</v>
      </c>
      <c r="B127" s="30"/>
      <c r="C127" s="34">
        <f>+C123</f>
        <v>61296.569999999992</v>
      </c>
      <c r="D127" s="34">
        <f>+C127+D123</f>
        <v>258709.59999999998</v>
      </c>
      <c r="E127" s="34">
        <f>+E14</f>
        <v>-766.23</v>
      </c>
      <c r="F127" s="34">
        <f>+D127+E123+E127</f>
        <v>398172.3</v>
      </c>
      <c r="G127" s="34">
        <f>+F127+F123</f>
        <v>507450.39</v>
      </c>
      <c r="H127" s="34">
        <f t="shared" ref="H127:L127" si="19">G127+G123</f>
        <v>594475.39</v>
      </c>
      <c r="I127" s="34">
        <f t="shared" si="19"/>
        <v>832047.44000000006</v>
      </c>
      <c r="J127" s="34">
        <f t="shared" si="19"/>
        <v>993993.70000000007</v>
      </c>
      <c r="K127" s="34">
        <f t="shared" si="19"/>
        <v>1244635.98</v>
      </c>
      <c r="L127" s="34">
        <f t="shared" si="19"/>
        <v>1350780</v>
      </c>
      <c r="M127" s="34">
        <f>L127+L123</f>
        <v>1406710.6499999992</v>
      </c>
      <c r="N127" s="34">
        <f>M127+M123</f>
        <v>1443998.3599999992</v>
      </c>
      <c r="O127" s="34">
        <f>N127+N123</f>
        <v>1443998.3599999992</v>
      </c>
    </row>
    <row r="128" spans="1:15" x14ac:dyDescent="0.25">
      <c r="A128" s="31" t="s">
        <v>46</v>
      </c>
      <c r="B128" s="30"/>
      <c r="C128" s="34">
        <f>-E6-E7</f>
        <v>-38309.629999999808</v>
      </c>
      <c r="D128" s="34">
        <f>-E15-E16</f>
        <v>-147408.16999999981</v>
      </c>
      <c r="E128" s="34">
        <f>-F15-F16</f>
        <v>0</v>
      </c>
      <c r="F128" s="34">
        <f>-E23-E24-E26</f>
        <v>-119276.13999999978</v>
      </c>
      <c r="G128" s="34">
        <f>-E33-E34-E36</f>
        <v>-62309.889999999781</v>
      </c>
      <c r="H128" s="34">
        <f>-E43-E44-E46</f>
        <v>-8712.8899999997811</v>
      </c>
      <c r="I128" s="34">
        <f>-E53-E54-E56</f>
        <v>-68805.339999999793</v>
      </c>
      <c r="J128" s="34">
        <f>-E63-E64-E66</f>
        <v>-55658.91999999978</v>
      </c>
      <c r="K128" s="34">
        <f>-E73-E74-E76</f>
        <v>-119803.20999999979</v>
      </c>
      <c r="L128" s="34">
        <f>-E83-E84-E86</f>
        <v>-3571.5499999997842</v>
      </c>
      <c r="M128" s="34">
        <f>-E94-E95-E97</f>
        <v>-53321.659999999036</v>
      </c>
      <c r="N128" s="34">
        <f>-E105-E106-E108</f>
        <v>-90609.369999999049</v>
      </c>
      <c r="O128" s="34">
        <f>-E116-E117-E119</f>
        <v>-90609.369999999049</v>
      </c>
    </row>
    <row r="129" spans="1:15" x14ac:dyDescent="0.25">
      <c r="A129" s="31" t="s">
        <v>47</v>
      </c>
      <c r="B129" s="30"/>
      <c r="C129" s="34">
        <f>+C124</f>
        <v>-766.23</v>
      </c>
      <c r="D129" s="34">
        <f>+C129+D124</f>
        <v>-5242.51</v>
      </c>
      <c r="E129" s="34">
        <f>-E127</f>
        <v>766.23</v>
      </c>
      <c r="F129" s="34">
        <f>+D129+E124+E129</f>
        <v>-17508.400000000001</v>
      </c>
      <c r="G129" s="34">
        <f>+F129+F124</f>
        <v>-41694.04</v>
      </c>
      <c r="H129" s="34">
        <f t="shared" ref="H129:L129" si="20">G129+G124</f>
        <v>-76108.040000000008</v>
      </c>
      <c r="I129" s="34">
        <f t="shared" si="20"/>
        <v>-121125.95000000001</v>
      </c>
      <c r="J129" s="34">
        <f t="shared" si="20"/>
        <v>-177896.26</v>
      </c>
      <c r="K129" s="34">
        <f t="shared" si="20"/>
        <v>-246719.6</v>
      </c>
      <c r="L129" s="34">
        <f t="shared" si="20"/>
        <v>-329172.07</v>
      </c>
      <c r="M129" s="34">
        <f>L129+L124</f>
        <v>-419789.06</v>
      </c>
      <c r="N129" s="34">
        <f>M129+M124</f>
        <v>-510508.77999999997</v>
      </c>
      <c r="O129" s="34">
        <f>N129+N124</f>
        <v>-601228.5</v>
      </c>
    </row>
    <row r="130" spans="1:15" x14ac:dyDescent="0.25">
      <c r="A130" s="35"/>
      <c r="B130" s="36"/>
      <c r="C130" s="37"/>
      <c r="D130" s="37"/>
      <c r="E130" s="37"/>
      <c r="F130" s="37"/>
      <c r="G130" s="37"/>
      <c r="H130" s="37"/>
      <c r="I130" s="37"/>
      <c r="J130" s="37"/>
    </row>
    <row r="131" spans="1:15" ht="30" x14ac:dyDescent="0.25">
      <c r="A131" s="15"/>
      <c r="B131" s="38"/>
      <c r="C131" s="33" t="s">
        <v>48</v>
      </c>
      <c r="D131" s="33" t="s">
        <v>49</v>
      </c>
      <c r="E131" s="12"/>
      <c r="F131" s="39" t="s">
        <v>50</v>
      </c>
      <c r="G131" s="33" t="s">
        <v>51</v>
      </c>
      <c r="H131" s="33" t="s">
        <v>52</v>
      </c>
      <c r="I131" s="33" t="s">
        <v>53</v>
      </c>
      <c r="J131" s="33" t="s">
        <v>54</v>
      </c>
      <c r="K131" s="33" t="s">
        <v>55</v>
      </c>
      <c r="L131" s="33" t="s">
        <v>56</v>
      </c>
      <c r="M131" s="33" t="s">
        <v>57</v>
      </c>
      <c r="N131" s="33" t="s">
        <v>82</v>
      </c>
      <c r="O131" s="33" t="s">
        <v>86</v>
      </c>
    </row>
    <row r="132" spans="1:15" x14ac:dyDescent="0.25">
      <c r="C132" s="40">
        <f>+C127/2</f>
        <v>30648.284999999996</v>
      </c>
      <c r="D132" s="40">
        <f>+(C127+D127+E127)/2</f>
        <v>159619.97</v>
      </c>
      <c r="F132" s="40">
        <f>+(D127+E127+F127)/2</f>
        <v>328057.83499999996</v>
      </c>
      <c r="G132" s="40">
        <f t="shared" ref="G132:M134" si="21">+(F127+G127)/2</f>
        <v>452811.34499999997</v>
      </c>
      <c r="H132" s="40">
        <f t="shared" si="21"/>
        <v>550962.89</v>
      </c>
      <c r="I132" s="40">
        <f t="shared" si="21"/>
        <v>713261.41500000004</v>
      </c>
      <c r="J132" s="40">
        <f t="shared" ref="J132:O132" si="22">+(I127+J127)/2</f>
        <v>913020.57000000007</v>
      </c>
      <c r="K132" s="40">
        <f t="shared" si="22"/>
        <v>1119314.8400000001</v>
      </c>
      <c r="L132" s="40">
        <f t="shared" si="22"/>
        <v>1297707.99</v>
      </c>
      <c r="M132" s="40">
        <f t="shared" si="22"/>
        <v>1378745.3249999997</v>
      </c>
      <c r="N132" s="40">
        <f t="shared" si="22"/>
        <v>1425354.5049999992</v>
      </c>
      <c r="O132" s="40">
        <f t="shared" si="22"/>
        <v>1443998.3599999992</v>
      </c>
    </row>
    <row r="133" spans="1:15" x14ac:dyDescent="0.25">
      <c r="C133" s="40">
        <f>+C128/2</f>
        <v>-19154.814999999904</v>
      </c>
      <c r="D133" s="40">
        <f>+(C128+D128+E128)/2</f>
        <v>-92858.899999999805</v>
      </c>
      <c r="F133" s="40">
        <f>+(D128+E128+F128)/2</f>
        <v>-133342.1549999998</v>
      </c>
      <c r="G133" s="40">
        <f t="shared" si="21"/>
        <v>-90793.014999999781</v>
      </c>
      <c r="H133" s="40">
        <f t="shared" si="21"/>
        <v>-35511.389999999781</v>
      </c>
      <c r="I133" s="40">
        <f t="shared" si="21"/>
        <v>-38759.114999999787</v>
      </c>
      <c r="J133" s="40">
        <f t="shared" si="21"/>
        <v>-62232.129999999786</v>
      </c>
      <c r="K133" s="40">
        <f t="shared" si="21"/>
        <v>-87731.064999999784</v>
      </c>
      <c r="L133" s="40">
        <f t="shared" si="21"/>
        <v>-61687.379999999786</v>
      </c>
      <c r="M133" s="40">
        <f t="shared" si="21"/>
        <v>-28446.60499999941</v>
      </c>
      <c r="N133" s="40">
        <f t="shared" ref="N133:N134" si="23">+(M128+N128)/2</f>
        <v>-71965.514999999039</v>
      </c>
      <c r="O133" s="40">
        <f>+(N128+O128)/2</f>
        <v>-90609.369999999049</v>
      </c>
    </row>
    <row r="134" spans="1:15" x14ac:dyDescent="0.25">
      <c r="C134" s="40">
        <f>+C129/2</f>
        <v>-383.11500000000001</v>
      </c>
      <c r="D134" s="40">
        <f>+(C129+D129+E129)/2</f>
        <v>-2621.2550000000001</v>
      </c>
      <c r="F134" s="40">
        <f>+(D129+E129+F129)/2</f>
        <v>-10992.34</v>
      </c>
      <c r="G134" s="40">
        <f t="shared" si="21"/>
        <v>-29601.22</v>
      </c>
      <c r="H134" s="40">
        <f t="shared" si="21"/>
        <v>-58901.040000000008</v>
      </c>
      <c r="I134" s="40">
        <f t="shared" si="21"/>
        <v>-98616.99500000001</v>
      </c>
      <c r="J134" s="40">
        <f t="shared" si="21"/>
        <v>-149511.10500000001</v>
      </c>
      <c r="K134" s="40">
        <f t="shared" si="21"/>
        <v>-212307.93</v>
      </c>
      <c r="L134" s="40">
        <f t="shared" si="21"/>
        <v>-287945.83500000002</v>
      </c>
      <c r="M134" s="40">
        <f t="shared" si="21"/>
        <v>-374480.565</v>
      </c>
      <c r="N134" s="40">
        <f t="shared" si="23"/>
        <v>-465148.92</v>
      </c>
      <c r="O134" s="40">
        <f>+(N129+O129)/2</f>
        <v>-555868.64</v>
      </c>
    </row>
    <row r="135" spans="1:15" x14ac:dyDescent="0.25">
      <c r="C135" s="41">
        <f>SUM(C132:C134)</f>
        <v>11110.355000000092</v>
      </c>
      <c r="D135" s="41">
        <f>SUM(D132:D134)</f>
        <v>64139.815000000199</v>
      </c>
      <c r="F135" s="40">
        <f t="shared" ref="F135:N135" si="24">SUM(F132:F134)</f>
        <v>183723.34000000017</v>
      </c>
      <c r="G135" s="41">
        <f t="shared" si="24"/>
        <v>332417.11000000022</v>
      </c>
      <c r="H135" s="41">
        <f t="shared" si="24"/>
        <v>456550.4600000002</v>
      </c>
      <c r="I135" s="41">
        <f t="shared" si="24"/>
        <v>575885.30500000028</v>
      </c>
      <c r="J135" s="41">
        <f t="shared" si="24"/>
        <v>701277.33500000031</v>
      </c>
      <c r="K135" s="41">
        <f t="shared" si="24"/>
        <v>819275.8450000002</v>
      </c>
      <c r="L135" s="41">
        <f t="shared" si="24"/>
        <v>948074.77500000014</v>
      </c>
      <c r="M135" s="41">
        <f t="shared" ref="M135" si="25">SUM(M132:M134)</f>
        <v>975818.15500000026</v>
      </c>
      <c r="N135" s="41">
        <f t="shared" si="24"/>
        <v>888240.0700000003</v>
      </c>
      <c r="O135" s="41">
        <f>SUM(O132:O134)</f>
        <v>797520.35000000021</v>
      </c>
    </row>
    <row r="136" spans="1:15" x14ac:dyDescent="0.25">
      <c r="N136" s="18"/>
    </row>
    <row r="137" spans="1:15" x14ac:dyDescent="0.25">
      <c r="N137" s="76"/>
    </row>
  </sheetData>
  <mergeCells count="36">
    <mergeCell ref="C19:E19"/>
    <mergeCell ref="G19:I19"/>
    <mergeCell ref="K19:M19"/>
    <mergeCell ref="C29:E29"/>
    <mergeCell ref="G29:I29"/>
    <mergeCell ref="K29:M29"/>
    <mergeCell ref="C2:E2"/>
    <mergeCell ref="G2:I2"/>
    <mergeCell ref="K2:M2"/>
    <mergeCell ref="C10:E10"/>
    <mergeCell ref="G10:I10"/>
    <mergeCell ref="K10:M10"/>
    <mergeCell ref="G39:I39"/>
    <mergeCell ref="K39:M39"/>
    <mergeCell ref="C49:E49"/>
    <mergeCell ref="G49:I49"/>
    <mergeCell ref="K49:M49"/>
    <mergeCell ref="C39:E39"/>
    <mergeCell ref="C59:E59"/>
    <mergeCell ref="G59:I59"/>
    <mergeCell ref="K59:M59"/>
    <mergeCell ref="C69:E69"/>
    <mergeCell ref="G69:I69"/>
    <mergeCell ref="K69:M69"/>
    <mergeCell ref="C112:E112"/>
    <mergeCell ref="G112:I112"/>
    <mergeCell ref="K112:M112"/>
    <mergeCell ref="C79:E79"/>
    <mergeCell ref="G79:I79"/>
    <mergeCell ref="K79:M79"/>
    <mergeCell ref="C90:E90"/>
    <mergeCell ref="G90:I90"/>
    <mergeCell ref="K90:M90"/>
    <mergeCell ref="C101:E101"/>
    <mergeCell ref="G101:I101"/>
    <mergeCell ref="K101:M101"/>
  </mergeCells>
  <pageMargins left="0.70866141732283472" right="0.70866141732283472" top="0.74803149606299213" bottom="0.74803149606299213" header="0.31496062992125984" footer="0.31496062992125984"/>
  <pageSetup scale="4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3:O21"/>
  <sheetViews>
    <sheetView topLeftCell="B1" workbookViewId="0">
      <selection activeCell="B2" sqref="B2"/>
    </sheetView>
  </sheetViews>
  <sheetFormatPr defaultRowHeight="15" x14ac:dyDescent="0.25"/>
  <cols>
    <col min="1" max="1" width="9.140625" style="1"/>
    <col min="2" max="2" width="37.42578125" style="1" bestFit="1" customWidth="1"/>
    <col min="3" max="3" width="9.42578125" style="1" customWidth="1"/>
    <col min="4" max="4" width="12.42578125" style="42" bestFit="1" customWidth="1"/>
    <col min="5" max="6" width="13.28515625" style="42" bestFit="1" customWidth="1"/>
    <col min="7" max="7" width="14.140625" style="1" bestFit="1" customWidth="1"/>
    <col min="8" max="8" width="12.85546875" style="1" bestFit="1" customWidth="1"/>
    <col min="9" max="10" width="10" style="1" bestFit="1" customWidth="1"/>
    <col min="11" max="13" width="11.85546875" style="1" bestFit="1" customWidth="1"/>
    <col min="14" max="14" width="10" style="1" bestFit="1" customWidth="1"/>
    <col min="15" max="15" width="11.5703125" style="1" bestFit="1" customWidth="1"/>
    <col min="16" max="257" width="9.140625" style="1"/>
    <col min="258" max="258" width="37.42578125" style="1" bestFit="1" customWidth="1"/>
    <col min="259" max="259" width="9.42578125" style="1" customWidth="1"/>
    <col min="260" max="260" width="12.42578125" style="1" bestFit="1" customWidth="1"/>
    <col min="261" max="262" width="13.28515625" style="1" bestFit="1" customWidth="1"/>
    <col min="263" max="263" width="14.140625" style="1" bestFit="1" customWidth="1"/>
    <col min="264" max="264" width="12.85546875" style="1" bestFit="1" customWidth="1"/>
    <col min="265" max="266" width="9.140625" style="1"/>
    <col min="267" max="269" width="11.85546875" style="1" bestFit="1" customWidth="1"/>
    <col min="270" max="513" width="9.140625" style="1"/>
    <col min="514" max="514" width="37.42578125" style="1" bestFit="1" customWidth="1"/>
    <col min="515" max="515" width="9.42578125" style="1" customWidth="1"/>
    <col min="516" max="516" width="12.42578125" style="1" bestFit="1" customWidth="1"/>
    <col min="517" max="518" width="13.28515625" style="1" bestFit="1" customWidth="1"/>
    <col min="519" max="519" width="14.140625" style="1" bestFit="1" customWidth="1"/>
    <col min="520" max="520" width="12.85546875" style="1" bestFit="1" customWidth="1"/>
    <col min="521" max="522" width="9.140625" style="1"/>
    <col min="523" max="525" width="11.85546875" style="1" bestFit="1" customWidth="1"/>
    <col min="526" max="769" width="9.140625" style="1"/>
    <col min="770" max="770" width="37.42578125" style="1" bestFit="1" customWidth="1"/>
    <col min="771" max="771" width="9.42578125" style="1" customWidth="1"/>
    <col min="772" max="772" width="12.42578125" style="1" bestFit="1" customWidth="1"/>
    <col min="773" max="774" width="13.28515625" style="1" bestFit="1" customWidth="1"/>
    <col min="775" max="775" width="14.140625" style="1" bestFit="1" customWidth="1"/>
    <col min="776" max="776" width="12.85546875" style="1" bestFit="1" customWidth="1"/>
    <col min="777" max="778" width="9.140625" style="1"/>
    <col min="779" max="781" width="11.85546875" style="1" bestFit="1" customWidth="1"/>
    <col min="782" max="1025" width="9.140625" style="1"/>
    <col min="1026" max="1026" width="37.42578125" style="1" bestFit="1" customWidth="1"/>
    <col min="1027" max="1027" width="9.42578125" style="1" customWidth="1"/>
    <col min="1028" max="1028" width="12.42578125" style="1" bestFit="1" customWidth="1"/>
    <col min="1029" max="1030" width="13.28515625" style="1" bestFit="1" customWidth="1"/>
    <col min="1031" max="1031" width="14.140625" style="1" bestFit="1" customWidth="1"/>
    <col min="1032" max="1032" width="12.85546875" style="1" bestFit="1" customWidth="1"/>
    <col min="1033" max="1034" width="9.140625" style="1"/>
    <col min="1035" max="1037" width="11.85546875" style="1" bestFit="1" customWidth="1"/>
    <col min="1038" max="1281" width="9.140625" style="1"/>
    <col min="1282" max="1282" width="37.42578125" style="1" bestFit="1" customWidth="1"/>
    <col min="1283" max="1283" width="9.42578125" style="1" customWidth="1"/>
    <col min="1284" max="1284" width="12.42578125" style="1" bestFit="1" customWidth="1"/>
    <col min="1285" max="1286" width="13.28515625" style="1" bestFit="1" customWidth="1"/>
    <col min="1287" max="1287" width="14.140625" style="1" bestFit="1" customWidth="1"/>
    <col min="1288" max="1288" width="12.85546875" style="1" bestFit="1" customWidth="1"/>
    <col min="1289" max="1290" width="9.140625" style="1"/>
    <col min="1291" max="1293" width="11.85546875" style="1" bestFit="1" customWidth="1"/>
    <col min="1294" max="1537" width="9.140625" style="1"/>
    <col min="1538" max="1538" width="37.42578125" style="1" bestFit="1" customWidth="1"/>
    <col min="1539" max="1539" width="9.42578125" style="1" customWidth="1"/>
    <col min="1540" max="1540" width="12.42578125" style="1" bestFit="1" customWidth="1"/>
    <col min="1541" max="1542" width="13.28515625" style="1" bestFit="1" customWidth="1"/>
    <col min="1543" max="1543" width="14.140625" style="1" bestFit="1" customWidth="1"/>
    <col min="1544" max="1544" width="12.85546875" style="1" bestFit="1" customWidth="1"/>
    <col min="1545" max="1546" width="9.140625" style="1"/>
    <col min="1547" max="1549" width="11.85546875" style="1" bestFit="1" customWidth="1"/>
    <col min="1550" max="1793" width="9.140625" style="1"/>
    <col min="1794" max="1794" width="37.42578125" style="1" bestFit="1" customWidth="1"/>
    <col min="1795" max="1795" width="9.42578125" style="1" customWidth="1"/>
    <col min="1796" max="1796" width="12.42578125" style="1" bestFit="1" customWidth="1"/>
    <col min="1797" max="1798" width="13.28515625" style="1" bestFit="1" customWidth="1"/>
    <col min="1799" max="1799" width="14.140625" style="1" bestFit="1" customWidth="1"/>
    <col min="1800" max="1800" width="12.85546875" style="1" bestFit="1" customWidth="1"/>
    <col min="1801" max="1802" width="9.140625" style="1"/>
    <col min="1803" max="1805" width="11.85546875" style="1" bestFit="1" customWidth="1"/>
    <col min="1806" max="2049" width="9.140625" style="1"/>
    <col min="2050" max="2050" width="37.42578125" style="1" bestFit="1" customWidth="1"/>
    <col min="2051" max="2051" width="9.42578125" style="1" customWidth="1"/>
    <col min="2052" max="2052" width="12.42578125" style="1" bestFit="1" customWidth="1"/>
    <col min="2053" max="2054" width="13.28515625" style="1" bestFit="1" customWidth="1"/>
    <col min="2055" max="2055" width="14.140625" style="1" bestFit="1" customWidth="1"/>
    <col min="2056" max="2056" width="12.85546875" style="1" bestFit="1" customWidth="1"/>
    <col min="2057" max="2058" width="9.140625" style="1"/>
    <col min="2059" max="2061" width="11.85546875" style="1" bestFit="1" customWidth="1"/>
    <col min="2062" max="2305" width="9.140625" style="1"/>
    <col min="2306" max="2306" width="37.42578125" style="1" bestFit="1" customWidth="1"/>
    <col min="2307" max="2307" width="9.42578125" style="1" customWidth="1"/>
    <col min="2308" max="2308" width="12.42578125" style="1" bestFit="1" customWidth="1"/>
    <col min="2309" max="2310" width="13.28515625" style="1" bestFit="1" customWidth="1"/>
    <col min="2311" max="2311" width="14.140625" style="1" bestFit="1" customWidth="1"/>
    <col min="2312" max="2312" width="12.85546875" style="1" bestFit="1" customWidth="1"/>
    <col min="2313" max="2314" width="9.140625" style="1"/>
    <col min="2315" max="2317" width="11.85546875" style="1" bestFit="1" customWidth="1"/>
    <col min="2318" max="2561" width="9.140625" style="1"/>
    <col min="2562" max="2562" width="37.42578125" style="1" bestFit="1" customWidth="1"/>
    <col min="2563" max="2563" width="9.42578125" style="1" customWidth="1"/>
    <col min="2564" max="2564" width="12.42578125" style="1" bestFit="1" customWidth="1"/>
    <col min="2565" max="2566" width="13.28515625" style="1" bestFit="1" customWidth="1"/>
    <col min="2567" max="2567" width="14.140625" style="1" bestFit="1" customWidth="1"/>
    <col min="2568" max="2568" width="12.85546875" style="1" bestFit="1" customWidth="1"/>
    <col min="2569" max="2570" width="9.140625" style="1"/>
    <col min="2571" max="2573" width="11.85546875" style="1" bestFit="1" customWidth="1"/>
    <col min="2574" max="2817" width="9.140625" style="1"/>
    <col min="2818" max="2818" width="37.42578125" style="1" bestFit="1" customWidth="1"/>
    <col min="2819" max="2819" width="9.42578125" style="1" customWidth="1"/>
    <col min="2820" max="2820" width="12.42578125" style="1" bestFit="1" customWidth="1"/>
    <col min="2821" max="2822" width="13.28515625" style="1" bestFit="1" customWidth="1"/>
    <col min="2823" max="2823" width="14.140625" style="1" bestFit="1" customWidth="1"/>
    <col min="2824" max="2824" width="12.85546875" style="1" bestFit="1" customWidth="1"/>
    <col min="2825" max="2826" width="9.140625" style="1"/>
    <col min="2827" max="2829" width="11.85546875" style="1" bestFit="1" customWidth="1"/>
    <col min="2830" max="3073" width="9.140625" style="1"/>
    <col min="3074" max="3074" width="37.42578125" style="1" bestFit="1" customWidth="1"/>
    <col min="3075" max="3075" width="9.42578125" style="1" customWidth="1"/>
    <col min="3076" max="3076" width="12.42578125" style="1" bestFit="1" customWidth="1"/>
    <col min="3077" max="3078" width="13.28515625" style="1" bestFit="1" customWidth="1"/>
    <col min="3079" max="3079" width="14.140625" style="1" bestFit="1" customWidth="1"/>
    <col min="3080" max="3080" width="12.85546875" style="1" bestFit="1" customWidth="1"/>
    <col min="3081" max="3082" width="9.140625" style="1"/>
    <col min="3083" max="3085" width="11.85546875" style="1" bestFit="1" customWidth="1"/>
    <col min="3086" max="3329" width="9.140625" style="1"/>
    <col min="3330" max="3330" width="37.42578125" style="1" bestFit="1" customWidth="1"/>
    <col min="3331" max="3331" width="9.42578125" style="1" customWidth="1"/>
    <col min="3332" max="3332" width="12.42578125" style="1" bestFit="1" customWidth="1"/>
    <col min="3333" max="3334" width="13.28515625" style="1" bestFit="1" customWidth="1"/>
    <col min="3335" max="3335" width="14.140625" style="1" bestFit="1" customWidth="1"/>
    <col min="3336" max="3336" width="12.85546875" style="1" bestFit="1" customWidth="1"/>
    <col min="3337" max="3338" width="9.140625" style="1"/>
    <col min="3339" max="3341" width="11.85546875" style="1" bestFit="1" customWidth="1"/>
    <col min="3342" max="3585" width="9.140625" style="1"/>
    <col min="3586" max="3586" width="37.42578125" style="1" bestFit="1" customWidth="1"/>
    <col min="3587" max="3587" width="9.42578125" style="1" customWidth="1"/>
    <col min="3588" max="3588" width="12.42578125" style="1" bestFit="1" customWidth="1"/>
    <col min="3589" max="3590" width="13.28515625" style="1" bestFit="1" customWidth="1"/>
    <col min="3591" max="3591" width="14.140625" style="1" bestFit="1" customWidth="1"/>
    <col min="3592" max="3592" width="12.85546875" style="1" bestFit="1" customWidth="1"/>
    <col min="3593" max="3594" width="9.140625" style="1"/>
    <col min="3595" max="3597" width="11.85546875" style="1" bestFit="1" customWidth="1"/>
    <col min="3598" max="3841" width="9.140625" style="1"/>
    <col min="3842" max="3842" width="37.42578125" style="1" bestFit="1" customWidth="1"/>
    <col min="3843" max="3843" width="9.42578125" style="1" customWidth="1"/>
    <col min="3844" max="3844" width="12.42578125" style="1" bestFit="1" customWidth="1"/>
    <col min="3845" max="3846" width="13.28515625" style="1" bestFit="1" customWidth="1"/>
    <col min="3847" max="3847" width="14.140625" style="1" bestFit="1" customWidth="1"/>
    <col min="3848" max="3848" width="12.85546875" style="1" bestFit="1" customWidth="1"/>
    <col min="3849" max="3850" width="9.140625" style="1"/>
    <col min="3851" max="3853" width="11.85546875" style="1" bestFit="1" customWidth="1"/>
    <col min="3854" max="4097" width="9.140625" style="1"/>
    <col min="4098" max="4098" width="37.42578125" style="1" bestFit="1" customWidth="1"/>
    <col min="4099" max="4099" width="9.42578125" style="1" customWidth="1"/>
    <col min="4100" max="4100" width="12.42578125" style="1" bestFit="1" customWidth="1"/>
    <col min="4101" max="4102" width="13.28515625" style="1" bestFit="1" customWidth="1"/>
    <col min="4103" max="4103" width="14.140625" style="1" bestFit="1" customWidth="1"/>
    <col min="4104" max="4104" width="12.85546875" style="1" bestFit="1" customWidth="1"/>
    <col min="4105" max="4106" width="9.140625" style="1"/>
    <col min="4107" max="4109" width="11.85546875" style="1" bestFit="1" customWidth="1"/>
    <col min="4110" max="4353" width="9.140625" style="1"/>
    <col min="4354" max="4354" width="37.42578125" style="1" bestFit="1" customWidth="1"/>
    <col min="4355" max="4355" width="9.42578125" style="1" customWidth="1"/>
    <col min="4356" max="4356" width="12.42578125" style="1" bestFit="1" customWidth="1"/>
    <col min="4357" max="4358" width="13.28515625" style="1" bestFit="1" customWidth="1"/>
    <col min="4359" max="4359" width="14.140625" style="1" bestFit="1" customWidth="1"/>
    <col min="4360" max="4360" width="12.85546875" style="1" bestFit="1" customWidth="1"/>
    <col min="4361" max="4362" width="9.140625" style="1"/>
    <col min="4363" max="4365" width="11.85546875" style="1" bestFit="1" customWidth="1"/>
    <col min="4366" max="4609" width="9.140625" style="1"/>
    <col min="4610" max="4610" width="37.42578125" style="1" bestFit="1" customWidth="1"/>
    <col min="4611" max="4611" width="9.42578125" style="1" customWidth="1"/>
    <col min="4612" max="4612" width="12.42578125" style="1" bestFit="1" customWidth="1"/>
    <col min="4613" max="4614" width="13.28515625" style="1" bestFit="1" customWidth="1"/>
    <col min="4615" max="4615" width="14.140625" style="1" bestFit="1" customWidth="1"/>
    <col min="4616" max="4616" width="12.85546875" style="1" bestFit="1" customWidth="1"/>
    <col min="4617" max="4618" width="9.140625" style="1"/>
    <col min="4619" max="4621" width="11.85546875" style="1" bestFit="1" customWidth="1"/>
    <col min="4622" max="4865" width="9.140625" style="1"/>
    <col min="4866" max="4866" width="37.42578125" style="1" bestFit="1" customWidth="1"/>
    <col min="4867" max="4867" width="9.42578125" style="1" customWidth="1"/>
    <col min="4868" max="4868" width="12.42578125" style="1" bestFit="1" customWidth="1"/>
    <col min="4869" max="4870" width="13.28515625" style="1" bestFit="1" customWidth="1"/>
    <col min="4871" max="4871" width="14.140625" style="1" bestFit="1" customWidth="1"/>
    <col min="4872" max="4872" width="12.85546875" style="1" bestFit="1" customWidth="1"/>
    <col min="4873" max="4874" width="9.140625" style="1"/>
    <col min="4875" max="4877" width="11.85546875" style="1" bestFit="1" customWidth="1"/>
    <col min="4878" max="5121" width="9.140625" style="1"/>
    <col min="5122" max="5122" width="37.42578125" style="1" bestFit="1" customWidth="1"/>
    <col min="5123" max="5123" width="9.42578125" style="1" customWidth="1"/>
    <col min="5124" max="5124" width="12.42578125" style="1" bestFit="1" customWidth="1"/>
    <col min="5125" max="5126" width="13.28515625" style="1" bestFit="1" customWidth="1"/>
    <col min="5127" max="5127" width="14.140625" style="1" bestFit="1" customWidth="1"/>
    <col min="5128" max="5128" width="12.85546875" style="1" bestFit="1" customWidth="1"/>
    <col min="5129" max="5130" width="9.140625" style="1"/>
    <col min="5131" max="5133" width="11.85546875" style="1" bestFit="1" customWidth="1"/>
    <col min="5134" max="5377" width="9.140625" style="1"/>
    <col min="5378" max="5378" width="37.42578125" style="1" bestFit="1" customWidth="1"/>
    <col min="5379" max="5379" width="9.42578125" style="1" customWidth="1"/>
    <col min="5380" max="5380" width="12.42578125" style="1" bestFit="1" customWidth="1"/>
    <col min="5381" max="5382" width="13.28515625" style="1" bestFit="1" customWidth="1"/>
    <col min="5383" max="5383" width="14.140625" style="1" bestFit="1" customWidth="1"/>
    <col min="5384" max="5384" width="12.85546875" style="1" bestFit="1" customWidth="1"/>
    <col min="5385" max="5386" width="9.140625" style="1"/>
    <col min="5387" max="5389" width="11.85546875" style="1" bestFit="1" customWidth="1"/>
    <col min="5390" max="5633" width="9.140625" style="1"/>
    <col min="5634" max="5634" width="37.42578125" style="1" bestFit="1" customWidth="1"/>
    <col min="5635" max="5635" width="9.42578125" style="1" customWidth="1"/>
    <col min="5636" max="5636" width="12.42578125" style="1" bestFit="1" customWidth="1"/>
    <col min="5637" max="5638" width="13.28515625" style="1" bestFit="1" customWidth="1"/>
    <col min="5639" max="5639" width="14.140625" style="1" bestFit="1" customWidth="1"/>
    <col min="5640" max="5640" width="12.85546875" style="1" bestFit="1" customWidth="1"/>
    <col min="5641" max="5642" width="9.140625" style="1"/>
    <col min="5643" max="5645" width="11.85546875" style="1" bestFit="1" customWidth="1"/>
    <col min="5646" max="5889" width="9.140625" style="1"/>
    <col min="5890" max="5890" width="37.42578125" style="1" bestFit="1" customWidth="1"/>
    <col min="5891" max="5891" width="9.42578125" style="1" customWidth="1"/>
    <col min="5892" max="5892" width="12.42578125" style="1" bestFit="1" customWidth="1"/>
    <col min="5893" max="5894" width="13.28515625" style="1" bestFit="1" customWidth="1"/>
    <col min="5895" max="5895" width="14.140625" style="1" bestFit="1" customWidth="1"/>
    <col min="5896" max="5896" width="12.85546875" style="1" bestFit="1" customWidth="1"/>
    <col min="5897" max="5898" width="9.140625" style="1"/>
    <col min="5899" max="5901" width="11.85546875" style="1" bestFit="1" customWidth="1"/>
    <col min="5902" max="6145" width="9.140625" style="1"/>
    <col min="6146" max="6146" width="37.42578125" style="1" bestFit="1" customWidth="1"/>
    <col min="6147" max="6147" width="9.42578125" style="1" customWidth="1"/>
    <col min="6148" max="6148" width="12.42578125" style="1" bestFit="1" customWidth="1"/>
    <col min="6149" max="6150" width="13.28515625" style="1" bestFit="1" customWidth="1"/>
    <col min="6151" max="6151" width="14.140625" style="1" bestFit="1" customWidth="1"/>
    <col min="6152" max="6152" width="12.85546875" style="1" bestFit="1" customWidth="1"/>
    <col min="6153" max="6154" width="9.140625" style="1"/>
    <col min="6155" max="6157" width="11.85546875" style="1" bestFit="1" customWidth="1"/>
    <col min="6158" max="6401" width="9.140625" style="1"/>
    <col min="6402" max="6402" width="37.42578125" style="1" bestFit="1" customWidth="1"/>
    <col min="6403" max="6403" width="9.42578125" style="1" customWidth="1"/>
    <col min="6404" max="6404" width="12.42578125" style="1" bestFit="1" customWidth="1"/>
    <col min="6405" max="6406" width="13.28515625" style="1" bestFit="1" customWidth="1"/>
    <col min="6407" max="6407" width="14.140625" style="1" bestFit="1" customWidth="1"/>
    <col min="6408" max="6408" width="12.85546875" style="1" bestFit="1" customWidth="1"/>
    <col min="6409" max="6410" width="9.140625" style="1"/>
    <col min="6411" max="6413" width="11.85546875" style="1" bestFit="1" customWidth="1"/>
    <col min="6414" max="6657" width="9.140625" style="1"/>
    <col min="6658" max="6658" width="37.42578125" style="1" bestFit="1" customWidth="1"/>
    <col min="6659" max="6659" width="9.42578125" style="1" customWidth="1"/>
    <col min="6660" max="6660" width="12.42578125" style="1" bestFit="1" customWidth="1"/>
    <col min="6661" max="6662" width="13.28515625" style="1" bestFit="1" customWidth="1"/>
    <col min="6663" max="6663" width="14.140625" style="1" bestFit="1" customWidth="1"/>
    <col min="6664" max="6664" width="12.85546875" style="1" bestFit="1" customWidth="1"/>
    <col min="6665" max="6666" width="9.140625" style="1"/>
    <col min="6667" max="6669" width="11.85546875" style="1" bestFit="1" customWidth="1"/>
    <col min="6670" max="6913" width="9.140625" style="1"/>
    <col min="6914" max="6914" width="37.42578125" style="1" bestFit="1" customWidth="1"/>
    <col min="6915" max="6915" width="9.42578125" style="1" customWidth="1"/>
    <col min="6916" max="6916" width="12.42578125" style="1" bestFit="1" customWidth="1"/>
    <col min="6917" max="6918" width="13.28515625" style="1" bestFit="1" customWidth="1"/>
    <col min="6919" max="6919" width="14.140625" style="1" bestFit="1" customWidth="1"/>
    <col min="6920" max="6920" width="12.85546875" style="1" bestFit="1" customWidth="1"/>
    <col min="6921" max="6922" width="9.140625" style="1"/>
    <col min="6923" max="6925" width="11.85546875" style="1" bestFit="1" customWidth="1"/>
    <col min="6926" max="7169" width="9.140625" style="1"/>
    <col min="7170" max="7170" width="37.42578125" style="1" bestFit="1" customWidth="1"/>
    <col min="7171" max="7171" width="9.42578125" style="1" customWidth="1"/>
    <col min="7172" max="7172" width="12.42578125" style="1" bestFit="1" customWidth="1"/>
    <col min="7173" max="7174" width="13.28515625" style="1" bestFit="1" customWidth="1"/>
    <col min="7175" max="7175" width="14.140625" style="1" bestFit="1" customWidth="1"/>
    <col min="7176" max="7176" width="12.85546875" style="1" bestFit="1" customWidth="1"/>
    <col min="7177" max="7178" width="9.140625" style="1"/>
    <col min="7179" max="7181" width="11.85546875" style="1" bestFit="1" customWidth="1"/>
    <col min="7182" max="7425" width="9.140625" style="1"/>
    <col min="7426" max="7426" width="37.42578125" style="1" bestFit="1" customWidth="1"/>
    <col min="7427" max="7427" width="9.42578125" style="1" customWidth="1"/>
    <col min="7428" max="7428" width="12.42578125" style="1" bestFit="1" customWidth="1"/>
    <col min="7429" max="7430" width="13.28515625" style="1" bestFit="1" customWidth="1"/>
    <col min="7431" max="7431" width="14.140625" style="1" bestFit="1" customWidth="1"/>
    <col min="7432" max="7432" width="12.85546875" style="1" bestFit="1" customWidth="1"/>
    <col min="7433" max="7434" width="9.140625" style="1"/>
    <col min="7435" max="7437" width="11.85546875" style="1" bestFit="1" customWidth="1"/>
    <col min="7438" max="7681" width="9.140625" style="1"/>
    <col min="7682" max="7682" width="37.42578125" style="1" bestFit="1" customWidth="1"/>
    <col min="7683" max="7683" width="9.42578125" style="1" customWidth="1"/>
    <col min="7684" max="7684" width="12.42578125" style="1" bestFit="1" customWidth="1"/>
    <col min="7685" max="7686" width="13.28515625" style="1" bestFit="1" customWidth="1"/>
    <col min="7687" max="7687" width="14.140625" style="1" bestFit="1" customWidth="1"/>
    <col min="7688" max="7688" width="12.85546875" style="1" bestFit="1" customWidth="1"/>
    <col min="7689" max="7690" width="9.140625" style="1"/>
    <col min="7691" max="7693" width="11.85546875" style="1" bestFit="1" customWidth="1"/>
    <col min="7694" max="7937" width="9.140625" style="1"/>
    <col min="7938" max="7938" width="37.42578125" style="1" bestFit="1" customWidth="1"/>
    <col min="7939" max="7939" width="9.42578125" style="1" customWidth="1"/>
    <col min="7940" max="7940" width="12.42578125" style="1" bestFit="1" customWidth="1"/>
    <col min="7941" max="7942" width="13.28515625" style="1" bestFit="1" customWidth="1"/>
    <col min="7943" max="7943" width="14.140625" style="1" bestFit="1" customWidth="1"/>
    <col min="7944" max="7944" width="12.85546875" style="1" bestFit="1" customWidth="1"/>
    <col min="7945" max="7946" width="9.140625" style="1"/>
    <col min="7947" max="7949" width="11.85546875" style="1" bestFit="1" customWidth="1"/>
    <col min="7950" max="8193" width="9.140625" style="1"/>
    <col min="8194" max="8194" width="37.42578125" style="1" bestFit="1" customWidth="1"/>
    <col min="8195" max="8195" width="9.42578125" style="1" customWidth="1"/>
    <col min="8196" max="8196" width="12.42578125" style="1" bestFit="1" customWidth="1"/>
    <col min="8197" max="8198" width="13.28515625" style="1" bestFit="1" customWidth="1"/>
    <col min="8199" max="8199" width="14.140625" style="1" bestFit="1" customWidth="1"/>
    <col min="8200" max="8200" width="12.85546875" style="1" bestFit="1" customWidth="1"/>
    <col min="8201" max="8202" width="9.140625" style="1"/>
    <col min="8203" max="8205" width="11.85546875" style="1" bestFit="1" customWidth="1"/>
    <col min="8206" max="8449" width="9.140625" style="1"/>
    <col min="8450" max="8450" width="37.42578125" style="1" bestFit="1" customWidth="1"/>
    <col min="8451" max="8451" width="9.42578125" style="1" customWidth="1"/>
    <col min="8452" max="8452" width="12.42578125" style="1" bestFit="1" customWidth="1"/>
    <col min="8453" max="8454" width="13.28515625" style="1" bestFit="1" customWidth="1"/>
    <col min="8455" max="8455" width="14.140625" style="1" bestFit="1" customWidth="1"/>
    <col min="8456" max="8456" width="12.85546875" style="1" bestFit="1" customWidth="1"/>
    <col min="8457" max="8458" width="9.140625" style="1"/>
    <col min="8459" max="8461" width="11.85546875" style="1" bestFit="1" customWidth="1"/>
    <col min="8462" max="8705" width="9.140625" style="1"/>
    <col min="8706" max="8706" width="37.42578125" style="1" bestFit="1" customWidth="1"/>
    <col min="8707" max="8707" width="9.42578125" style="1" customWidth="1"/>
    <col min="8708" max="8708" width="12.42578125" style="1" bestFit="1" customWidth="1"/>
    <col min="8709" max="8710" width="13.28515625" style="1" bestFit="1" customWidth="1"/>
    <col min="8711" max="8711" width="14.140625" style="1" bestFit="1" customWidth="1"/>
    <col min="8712" max="8712" width="12.85546875" style="1" bestFit="1" customWidth="1"/>
    <col min="8713" max="8714" width="9.140625" style="1"/>
    <col min="8715" max="8717" width="11.85546875" style="1" bestFit="1" customWidth="1"/>
    <col min="8718" max="8961" width="9.140625" style="1"/>
    <col min="8962" max="8962" width="37.42578125" style="1" bestFit="1" customWidth="1"/>
    <col min="8963" max="8963" width="9.42578125" style="1" customWidth="1"/>
    <col min="8964" max="8964" width="12.42578125" style="1" bestFit="1" customWidth="1"/>
    <col min="8965" max="8966" width="13.28515625" style="1" bestFit="1" customWidth="1"/>
    <col min="8967" max="8967" width="14.140625" style="1" bestFit="1" customWidth="1"/>
    <col min="8968" max="8968" width="12.85546875" style="1" bestFit="1" customWidth="1"/>
    <col min="8969" max="8970" width="9.140625" style="1"/>
    <col min="8971" max="8973" width="11.85546875" style="1" bestFit="1" customWidth="1"/>
    <col min="8974" max="9217" width="9.140625" style="1"/>
    <col min="9218" max="9218" width="37.42578125" style="1" bestFit="1" customWidth="1"/>
    <col min="9219" max="9219" width="9.42578125" style="1" customWidth="1"/>
    <col min="9220" max="9220" width="12.42578125" style="1" bestFit="1" customWidth="1"/>
    <col min="9221" max="9222" width="13.28515625" style="1" bestFit="1" customWidth="1"/>
    <col min="9223" max="9223" width="14.140625" style="1" bestFit="1" customWidth="1"/>
    <col min="9224" max="9224" width="12.85546875" style="1" bestFit="1" customWidth="1"/>
    <col min="9225" max="9226" width="9.140625" style="1"/>
    <col min="9227" max="9229" width="11.85546875" style="1" bestFit="1" customWidth="1"/>
    <col min="9230" max="9473" width="9.140625" style="1"/>
    <col min="9474" max="9474" width="37.42578125" style="1" bestFit="1" customWidth="1"/>
    <col min="9475" max="9475" width="9.42578125" style="1" customWidth="1"/>
    <col min="9476" max="9476" width="12.42578125" style="1" bestFit="1" customWidth="1"/>
    <col min="9477" max="9478" width="13.28515625" style="1" bestFit="1" customWidth="1"/>
    <col min="9479" max="9479" width="14.140625" style="1" bestFit="1" customWidth="1"/>
    <col min="9480" max="9480" width="12.85546875" style="1" bestFit="1" customWidth="1"/>
    <col min="9481" max="9482" width="9.140625" style="1"/>
    <col min="9483" max="9485" width="11.85546875" style="1" bestFit="1" customWidth="1"/>
    <col min="9486" max="9729" width="9.140625" style="1"/>
    <col min="9730" max="9730" width="37.42578125" style="1" bestFit="1" customWidth="1"/>
    <col min="9731" max="9731" width="9.42578125" style="1" customWidth="1"/>
    <col min="9732" max="9732" width="12.42578125" style="1" bestFit="1" customWidth="1"/>
    <col min="9733" max="9734" width="13.28515625" style="1" bestFit="1" customWidth="1"/>
    <col min="9735" max="9735" width="14.140625" style="1" bestFit="1" customWidth="1"/>
    <col min="9736" max="9736" width="12.85546875" style="1" bestFit="1" customWidth="1"/>
    <col min="9737" max="9738" width="9.140625" style="1"/>
    <col min="9739" max="9741" width="11.85546875" style="1" bestFit="1" customWidth="1"/>
    <col min="9742" max="9985" width="9.140625" style="1"/>
    <col min="9986" max="9986" width="37.42578125" style="1" bestFit="1" customWidth="1"/>
    <col min="9987" max="9987" width="9.42578125" style="1" customWidth="1"/>
    <col min="9988" max="9988" width="12.42578125" style="1" bestFit="1" customWidth="1"/>
    <col min="9989" max="9990" width="13.28515625" style="1" bestFit="1" customWidth="1"/>
    <col min="9991" max="9991" width="14.140625" style="1" bestFit="1" customWidth="1"/>
    <col min="9992" max="9992" width="12.85546875" style="1" bestFit="1" customWidth="1"/>
    <col min="9993" max="9994" width="9.140625" style="1"/>
    <col min="9995" max="9997" width="11.85546875" style="1" bestFit="1" customWidth="1"/>
    <col min="9998" max="10241" width="9.140625" style="1"/>
    <col min="10242" max="10242" width="37.42578125" style="1" bestFit="1" customWidth="1"/>
    <col min="10243" max="10243" width="9.42578125" style="1" customWidth="1"/>
    <col min="10244" max="10244" width="12.42578125" style="1" bestFit="1" customWidth="1"/>
    <col min="10245" max="10246" width="13.28515625" style="1" bestFit="1" customWidth="1"/>
    <col min="10247" max="10247" width="14.140625" style="1" bestFit="1" customWidth="1"/>
    <col min="10248" max="10248" width="12.85546875" style="1" bestFit="1" customWidth="1"/>
    <col min="10249" max="10250" width="9.140625" style="1"/>
    <col min="10251" max="10253" width="11.85546875" style="1" bestFit="1" customWidth="1"/>
    <col min="10254" max="10497" width="9.140625" style="1"/>
    <col min="10498" max="10498" width="37.42578125" style="1" bestFit="1" customWidth="1"/>
    <col min="10499" max="10499" width="9.42578125" style="1" customWidth="1"/>
    <col min="10500" max="10500" width="12.42578125" style="1" bestFit="1" customWidth="1"/>
    <col min="10501" max="10502" width="13.28515625" style="1" bestFit="1" customWidth="1"/>
    <col min="10503" max="10503" width="14.140625" style="1" bestFit="1" customWidth="1"/>
    <col min="10504" max="10504" width="12.85546875" style="1" bestFit="1" customWidth="1"/>
    <col min="10505" max="10506" width="9.140625" style="1"/>
    <col min="10507" max="10509" width="11.85546875" style="1" bestFit="1" customWidth="1"/>
    <col min="10510" max="10753" width="9.140625" style="1"/>
    <col min="10754" max="10754" width="37.42578125" style="1" bestFit="1" customWidth="1"/>
    <col min="10755" max="10755" width="9.42578125" style="1" customWidth="1"/>
    <col min="10756" max="10756" width="12.42578125" style="1" bestFit="1" customWidth="1"/>
    <col min="10757" max="10758" width="13.28515625" style="1" bestFit="1" customWidth="1"/>
    <col min="10759" max="10759" width="14.140625" style="1" bestFit="1" customWidth="1"/>
    <col min="10760" max="10760" width="12.85546875" style="1" bestFit="1" customWidth="1"/>
    <col min="10761" max="10762" width="9.140625" style="1"/>
    <col min="10763" max="10765" width="11.85546875" style="1" bestFit="1" customWidth="1"/>
    <col min="10766" max="11009" width="9.140625" style="1"/>
    <col min="11010" max="11010" width="37.42578125" style="1" bestFit="1" customWidth="1"/>
    <col min="11011" max="11011" width="9.42578125" style="1" customWidth="1"/>
    <col min="11012" max="11012" width="12.42578125" style="1" bestFit="1" customWidth="1"/>
    <col min="11013" max="11014" width="13.28515625" style="1" bestFit="1" customWidth="1"/>
    <col min="11015" max="11015" width="14.140625" style="1" bestFit="1" customWidth="1"/>
    <col min="11016" max="11016" width="12.85546875" style="1" bestFit="1" customWidth="1"/>
    <col min="11017" max="11018" width="9.140625" style="1"/>
    <col min="11019" max="11021" width="11.85546875" style="1" bestFit="1" customWidth="1"/>
    <col min="11022" max="11265" width="9.140625" style="1"/>
    <col min="11266" max="11266" width="37.42578125" style="1" bestFit="1" customWidth="1"/>
    <col min="11267" max="11267" width="9.42578125" style="1" customWidth="1"/>
    <col min="11268" max="11268" width="12.42578125" style="1" bestFit="1" customWidth="1"/>
    <col min="11269" max="11270" width="13.28515625" style="1" bestFit="1" customWidth="1"/>
    <col min="11271" max="11271" width="14.140625" style="1" bestFit="1" customWidth="1"/>
    <col min="11272" max="11272" width="12.85546875" style="1" bestFit="1" customWidth="1"/>
    <col min="11273" max="11274" width="9.140625" style="1"/>
    <col min="11275" max="11277" width="11.85546875" style="1" bestFit="1" customWidth="1"/>
    <col min="11278" max="11521" width="9.140625" style="1"/>
    <col min="11522" max="11522" width="37.42578125" style="1" bestFit="1" customWidth="1"/>
    <col min="11523" max="11523" width="9.42578125" style="1" customWidth="1"/>
    <col min="11524" max="11524" width="12.42578125" style="1" bestFit="1" customWidth="1"/>
    <col min="11525" max="11526" width="13.28515625" style="1" bestFit="1" customWidth="1"/>
    <col min="11527" max="11527" width="14.140625" style="1" bestFit="1" customWidth="1"/>
    <col min="11528" max="11528" width="12.85546875" style="1" bestFit="1" customWidth="1"/>
    <col min="11529" max="11530" width="9.140625" style="1"/>
    <col min="11531" max="11533" width="11.85546875" style="1" bestFit="1" customWidth="1"/>
    <col min="11534" max="11777" width="9.140625" style="1"/>
    <col min="11778" max="11778" width="37.42578125" style="1" bestFit="1" customWidth="1"/>
    <col min="11779" max="11779" width="9.42578125" style="1" customWidth="1"/>
    <col min="11780" max="11780" width="12.42578125" style="1" bestFit="1" customWidth="1"/>
    <col min="11781" max="11782" width="13.28515625" style="1" bestFit="1" customWidth="1"/>
    <col min="11783" max="11783" width="14.140625" style="1" bestFit="1" customWidth="1"/>
    <col min="11784" max="11784" width="12.85546875" style="1" bestFit="1" customWidth="1"/>
    <col min="11785" max="11786" width="9.140625" style="1"/>
    <col min="11787" max="11789" width="11.85546875" style="1" bestFit="1" customWidth="1"/>
    <col min="11790" max="12033" width="9.140625" style="1"/>
    <col min="12034" max="12034" width="37.42578125" style="1" bestFit="1" customWidth="1"/>
    <col min="12035" max="12035" width="9.42578125" style="1" customWidth="1"/>
    <col min="12036" max="12036" width="12.42578125" style="1" bestFit="1" customWidth="1"/>
    <col min="12037" max="12038" width="13.28515625" style="1" bestFit="1" customWidth="1"/>
    <col min="12039" max="12039" width="14.140625" style="1" bestFit="1" customWidth="1"/>
    <col min="12040" max="12040" width="12.85546875" style="1" bestFit="1" customWidth="1"/>
    <col min="12041" max="12042" width="9.140625" style="1"/>
    <col min="12043" max="12045" width="11.85546875" style="1" bestFit="1" customWidth="1"/>
    <col min="12046" max="12289" width="9.140625" style="1"/>
    <col min="12290" max="12290" width="37.42578125" style="1" bestFit="1" customWidth="1"/>
    <col min="12291" max="12291" width="9.42578125" style="1" customWidth="1"/>
    <col min="12292" max="12292" width="12.42578125" style="1" bestFit="1" customWidth="1"/>
    <col min="12293" max="12294" width="13.28515625" style="1" bestFit="1" customWidth="1"/>
    <col min="12295" max="12295" width="14.140625" style="1" bestFit="1" customWidth="1"/>
    <col min="12296" max="12296" width="12.85546875" style="1" bestFit="1" customWidth="1"/>
    <col min="12297" max="12298" width="9.140625" style="1"/>
    <col min="12299" max="12301" width="11.85546875" style="1" bestFit="1" customWidth="1"/>
    <col min="12302" max="12545" width="9.140625" style="1"/>
    <col min="12546" max="12546" width="37.42578125" style="1" bestFit="1" customWidth="1"/>
    <col min="12547" max="12547" width="9.42578125" style="1" customWidth="1"/>
    <col min="12548" max="12548" width="12.42578125" style="1" bestFit="1" customWidth="1"/>
    <col min="12549" max="12550" width="13.28515625" style="1" bestFit="1" customWidth="1"/>
    <col min="12551" max="12551" width="14.140625" style="1" bestFit="1" customWidth="1"/>
    <col min="12552" max="12552" width="12.85546875" style="1" bestFit="1" customWidth="1"/>
    <col min="12553" max="12554" width="9.140625" style="1"/>
    <col min="12555" max="12557" width="11.85546875" style="1" bestFit="1" customWidth="1"/>
    <col min="12558" max="12801" width="9.140625" style="1"/>
    <col min="12802" max="12802" width="37.42578125" style="1" bestFit="1" customWidth="1"/>
    <col min="12803" max="12803" width="9.42578125" style="1" customWidth="1"/>
    <col min="12804" max="12804" width="12.42578125" style="1" bestFit="1" customWidth="1"/>
    <col min="12805" max="12806" width="13.28515625" style="1" bestFit="1" customWidth="1"/>
    <col min="12807" max="12807" width="14.140625" style="1" bestFit="1" customWidth="1"/>
    <col min="12808" max="12808" width="12.85546875" style="1" bestFit="1" customWidth="1"/>
    <col min="12809" max="12810" width="9.140625" style="1"/>
    <col min="12811" max="12813" width="11.85546875" style="1" bestFit="1" customWidth="1"/>
    <col min="12814" max="13057" width="9.140625" style="1"/>
    <col min="13058" max="13058" width="37.42578125" style="1" bestFit="1" customWidth="1"/>
    <col min="13059" max="13059" width="9.42578125" style="1" customWidth="1"/>
    <col min="13060" max="13060" width="12.42578125" style="1" bestFit="1" customWidth="1"/>
    <col min="13061" max="13062" width="13.28515625" style="1" bestFit="1" customWidth="1"/>
    <col min="13063" max="13063" width="14.140625" style="1" bestFit="1" customWidth="1"/>
    <col min="13064" max="13064" width="12.85546875" style="1" bestFit="1" customWidth="1"/>
    <col min="13065" max="13066" width="9.140625" style="1"/>
    <col min="13067" max="13069" width="11.85546875" style="1" bestFit="1" customWidth="1"/>
    <col min="13070" max="13313" width="9.140625" style="1"/>
    <col min="13314" max="13314" width="37.42578125" style="1" bestFit="1" customWidth="1"/>
    <col min="13315" max="13315" width="9.42578125" style="1" customWidth="1"/>
    <col min="13316" max="13316" width="12.42578125" style="1" bestFit="1" customWidth="1"/>
    <col min="13317" max="13318" width="13.28515625" style="1" bestFit="1" customWidth="1"/>
    <col min="13319" max="13319" width="14.140625" style="1" bestFit="1" customWidth="1"/>
    <col min="13320" max="13320" width="12.85546875" style="1" bestFit="1" customWidth="1"/>
    <col min="13321" max="13322" width="9.140625" style="1"/>
    <col min="13323" max="13325" width="11.85546875" style="1" bestFit="1" customWidth="1"/>
    <col min="13326" max="13569" width="9.140625" style="1"/>
    <col min="13570" max="13570" width="37.42578125" style="1" bestFit="1" customWidth="1"/>
    <col min="13571" max="13571" width="9.42578125" style="1" customWidth="1"/>
    <col min="13572" max="13572" width="12.42578125" style="1" bestFit="1" customWidth="1"/>
    <col min="13573" max="13574" width="13.28515625" style="1" bestFit="1" customWidth="1"/>
    <col min="13575" max="13575" width="14.140625" style="1" bestFit="1" customWidth="1"/>
    <col min="13576" max="13576" width="12.85546875" style="1" bestFit="1" customWidth="1"/>
    <col min="13577" max="13578" width="9.140625" style="1"/>
    <col min="13579" max="13581" width="11.85546875" style="1" bestFit="1" customWidth="1"/>
    <col min="13582" max="13825" width="9.140625" style="1"/>
    <col min="13826" max="13826" width="37.42578125" style="1" bestFit="1" customWidth="1"/>
    <col min="13827" max="13827" width="9.42578125" style="1" customWidth="1"/>
    <col min="13828" max="13828" width="12.42578125" style="1" bestFit="1" customWidth="1"/>
    <col min="13829" max="13830" width="13.28515625" style="1" bestFit="1" customWidth="1"/>
    <col min="13831" max="13831" width="14.140625" style="1" bestFit="1" customWidth="1"/>
    <col min="13832" max="13832" width="12.85546875" style="1" bestFit="1" customWidth="1"/>
    <col min="13833" max="13834" width="9.140625" style="1"/>
    <col min="13835" max="13837" width="11.85546875" style="1" bestFit="1" customWidth="1"/>
    <col min="13838" max="14081" width="9.140625" style="1"/>
    <col min="14082" max="14082" width="37.42578125" style="1" bestFit="1" customWidth="1"/>
    <col min="14083" max="14083" width="9.42578125" style="1" customWidth="1"/>
    <col min="14084" max="14084" width="12.42578125" style="1" bestFit="1" customWidth="1"/>
    <col min="14085" max="14086" width="13.28515625" style="1" bestFit="1" customWidth="1"/>
    <col min="14087" max="14087" width="14.140625" style="1" bestFit="1" customWidth="1"/>
    <col min="14088" max="14088" width="12.85546875" style="1" bestFit="1" customWidth="1"/>
    <col min="14089" max="14090" width="9.140625" style="1"/>
    <col min="14091" max="14093" width="11.85546875" style="1" bestFit="1" customWidth="1"/>
    <col min="14094" max="14337" width="9.140625" style="1"/>
    <col min="14338" max="14338" width="37.42578125" style="1" bestFit="1" customWidth="1"/>
    <col min="14339" max="14339" width="9.42578125" style="1" customWidth="1"/>
    <col min="14340" max="14340" width="12.42578125" style="1" bestFit="1" customWidth="1"/>
    <col min="14341" max="14342" width="13.28515625" style="1" bestFit="1" customWidth="1"/>
    <col min="14343" max="14343" width="14.140625" style="1" bestFit="1" customWidth="1"/>
    <col min="14344" max="14344" width="12.85546875" style="1" bestFit="1" customWidth="1"/>
    <col min="14345" max="14346" width="9.140625" style="1"/>
    <col min="14347" max="14349" width="11.85546875" style="1" bestFit="1" customWidth="1"/>
    <col min="14350" max="14593" width="9.140625" style="1"/>
    <col min="14594" max="14594" width="37.42578125" style="1" bestFit="1" customWidth="1"/>
    <col min="14595" max="14595" width="9.42578125" style="1" customWidth="1"/>
    <col min="14596" max="14596" width="12.42578125" style="1" bestFit="1" customWidth="1"/>
    <col min="14597" max="14598" width="13.28515625" style="1" bestFit="1" customWidth="1"/>
    <col min="14599" max="14599" width="14.140625" style="1" bestFit="1" customWidth="1"/>
    <col min="14600" max="14600" width="12.85546875" style="1" bestFit="1" customWidth="1"/>
    <col min="14601" max="14602" width="9.140625" style="1"/>
    <col min="14603" max="14605" width="11.85546875" style="1" bestFit="1" customWidth="1"/>
    <col min="14606" max="14849" width="9.140625" style="1"/>
    <col min="14850" max="14850" width="37.42578125" style="1" bestFit="1" customWidth="1"/>
    <col min="14851" max="14851" width="9.42578125" style="1" customWidth="1"/>
    <col min="14852" max="14852" width="12.42578125" style="1" bestFit="1" customWidth="1"/>
    <col min="14853" max="14854" width="13.28515625" style="1" bestFit="1" customWidth="1"/>
    <col min="14855" max="14855" width="14.140625" style="1" bestFit="1" customWidth="1"/>
    <col min="14856" max="14856" width="12.85546875" style="1" bestFit="1" customWidth="1"/>
    <col min="14857" max="14858" width="9.140625" style="1"/>
    <col min="14859" max="14861" width="11.85546875" style="1" bestFit="1" customWidth="1"/>
    <col min="14862" max="15105" width="9.140625" style="1"/>
    <col min="15106" max="15106" width="37.42578125" style="1" bestFit="1" customWidth="1"/>
    <col min="15107" max="15107" width="9.42578125" style="1" customWidth="1"/>
    <col min="15108" max="15108" width="12.42578125" style="1" bestFit="1" customWidth="1"/>
    <col min="15109" max="15110" width="13.28515625" style="1" bestFit="1" customWidth="1"/>
    <col min="15111" max="15111" width="14.140625" style="1" bestFit="1" customWidth="1"/>
    <col min="15112" max="15112" width="12.85546875" style="1" bestFit="1" customWidth="1"/>
    <col min="15113" max="15114" width="9.140625" style="1"/>
    <col min="15115" max="15117" width="11.85546875" style="1" bestFit="1" customWidth="1"/>
    <col min="15118" max="15361" width="9.140625" style="1"/>
    <col min="15362" max="15362" width="37.42578125" style="1" bestFit="1" customWidth="1"/>
    <col min="15363" max="15363" width="9.42578125" style="1" customWidth="1"/>
    <col min="15364" max="15364" width="12.42578125" style="1" bestFit="1" customWidth="1"/>
    <col min="15365" max="15366" width="13.28515625" style="1" bestFit="1" customWidth="1"/>
    <col min="15367" max="15367" width="14.140625" style="1" bestFit="1" customWidth="1"/>
    <col min="15368" max="15368" width="12.85546875" style="1" bestFit="1" customWidth="1"/>
    <col min="15369" max="15370" width="9.140625" style="1"/>
    <col min="15371" max="15373" width="11.85546875" style="1" bestFit="1" customWidth="1"/>
    <col min="15374" max="15617" width="9.140625" style="1"/>
    <col min="15618" max="15618" width="37.42578125" style="1" bestFit="1" customWidth="1"/>
    <col min="15619" max="15619" width="9.42578125" style="1" customWidth="1"/>
    <col min="15620" max="15620" width="12.42578125" style="1" bestFit="1" customWidth="1"/>
    <col min="15621" max="15622" width="13.28515625" style="1" bestFit="1" customWidth="1"/>
    <col min="15623" max="15623" width="14.140625" style="1" bestFit="1" customWidth="1"/>
    <col min="15624" max="15624" width="12.85546875" style="1" bestFit="1" customWidth="1"/>
    <col min="15625" max="15626" width="9.140625" style="1"/>
    <col min="15627" max="15629" width="11.85546875" style="1" bestFit="1" customWidth="1"/>
    <col min="15630" max="15873" width="9.140625" style="1"/>
    <col min="15874" max="15874" width="37.42578125" style="1" bestFit="1" customWidth="1"/>
    <col min="15875" max="15875" width="9.42578125" style="1" customWidth="1"/>
    <col min="15876" max="15876" width="12.42578125" style="1" bestFit="1" customWidth="1"/>
    <col min="15877" max="15878" width="13.28515625" style="1" bestFit="1" customWidth="1"/>
    <col min="15879" max="15879" width="14.140625" style="1" bestFit="1" customWidth="1"/>
    <col min="15880" max="15880" width="12.85546875" style="1" bestFit="1" customWidth="1"/>
    <col min="15881" max="15882" width="9.140625" style="1"/>
    <col min="15883" max="15885" width="11.85546875" style="1" bestFit="1" customWidth="1"/>
    <col min="15886" max="16129" width="9.140625" style="1"/>
    <col min="16130" max="16130" width="37.42578125" style="1" bestFit="1" customWidth="1"/>
    <col min="16131" max="16131" width="9.42578125" style="1" customWidth="1"/>
    <col min="16132" max="16132" width="12.42578125" style="1" bestFit="1" customWidth="1"/>
    <col min="16133" max="16134" width="13.28515625" style="1" bestFit="1" customWidth="1"/>
    <col min="16135" max="16135" width="14.140625" style="1" bestFit="1" customWidth="1"/>
    <col min="16136" max="16136" width="12.85546875" style="1" bestFit="1" customWidth="1"/>
    <col min="16137" max="16138" width="9.140625" style="1"/>
    <col min="16139" max="16141" width="11.85546875" style="1" bestFit="1" customWidth="1"/>
    <col min="16142" max="16384" width="9.140625" style="1"/>
  </cols>
  <sheetData>
    <row r="3" spans="1:15" x14ac:dyDescent="0.25">
      <c r="A3" s="43"/>
      <c r="B3" s="43"/>
      <c r="C3" s="43"/>
      <c r="D3" s="44"/>
      <c r="E3" s="44"/>
      <c r="F3" s="44"/>
    </row>
    <row r="4" spans="1:15" ht="26.25" x14ac:dyDescent="0.4">
      <c r="A4" s="43"/>
      <c r="B4" s="45" t="s">
        <v>58</v>
      </c>
      <c r="C4" s="46"/>
      <c r="D4" s="44"/>
      <c r="E4" s="44"/>
      <c r="F4" s="44"/>
    </row>
    <row r="5" spans="1:15" x14ac:dyDescent="0.25">
      <c r="A5" s="43"/>
      <c r="B5" s="47"/>
      <c r="C5" s="47"/>
      <c r="D5" s="48"/>
      <c r="E5" s="48"/>
      <c r="F5" s="48"/>
      <c r="G5" s="4"/>
      <c r="H5" s="4"/>
      <c r="I5" s="4"/>
      <c r="J5" s="4"/>
      <c r="K5" s="4"/>
      <c r="L5" s="4"/>
    </row>
    <row r="6" spans="1:15" x14ac:dyDescent="0.25">
      <c r="B6" s="47"/>
      <c r="C6" s="47"/>
      <c r="D6" s="49">
        <v>2010</v>
      </c>
      <c r="E6" s="49">
        <v>2011</v>
      </c>
      <c r="F6" s="49">
        <v>2012</v>
      </c>
      <c r="G6" s="49">
        <v>2013</v>
      </c>
      <c r="H6" s="49">
        <v>2014</v>
      </c>
      <c r="I6" s="49">
        <v>2015</v>
      </c>
      <c r="J6" s="49">
        <v>2016</v>
      </c>
      <c r="K6" s="49">
        <v>2017</v>
      </c>
      <c r="L6" s="49">
        <v>2018</v>
      </c>
      <c r="M6" s="49">
        <v>2019</v>
      </c>
      <c r="N6" s="49">
        <v>2020</v>
      </c>
      <c r="O6" s="49">
        <v>2021</v>
      </c>
    </row>
    <row r="7" spans="1:15" x14ac:dyDescent="0.25">
      <c r="B7" s="50"/>
      <c r="C7" s="50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x14ac:dyDescent="0.25">
      <c r="B8" s="50" t="s">
        <v>59</v>
      </c>
      <c r="C8" s="50"/>
      <c r="D8" s="51">
        <v>0</v>
      </c>
      <c r="E8" s="51">
        <f t="shared" ref="E8:O8" si="0">D16</f>
        <v>58844.70719999999</v>
      </c>
      <c r="F8" s="51">
        <f t="shared" si="0"/>
        <v>243653.63942399996</v>
      </c>
      <c r="G8" s="51">
        <f t="shared" si="0"/>
        <v>358781.12107007997</v>
      </c>
      <c r="H8" s="51">
        <f t="shared" si="0"/>
        <v>434985.59778447356</v>
      </c>
      <c r="I8" s="51">
        <f t="shared" si="0"/>
        <v>483730.74996171566</v>
      </c>
      <c r="J8" s="51">
        <f t="shared" si="0"/>
        <v>673101.45796477841</v>
      </c>
      <c r="K8" s="51">
        <f t="shared" si="0"/>
        <v>774721.75092759612</v>
      </c>
      <c r="L8" s="51">
        <f t="shared" si="0"/>
        <v>953360.59965338849</v>
      </c>
      <c r="M8" s="51">
        <f t="shared" si="0"/>
        <v>978990.01088111731</v>
      </c>
      <c r="N8" s="51">
        <f t="shared" si="0"/>
        <v>954364.23401062714</v>
      </c>
      <c r="O8" s="51">
        <f t="shared" si="0"/>
        <v>913811.29688977695</v>
      </c>
    </row>
    <row r="9" spans="1:15" x14ac:dyDescent="0.25">
      <c r="B9" s="50" t="s">
        <v>60</v>
      </c>
      <c r="C9" s="50"/>
      <c r="D9" s="48">
        <f>+'Avg NFA'!D8</f>
        <v>61296.569999999992</v>
      </c>
      <c r="E9" s="48">
        <f>+'Avg NFA'!D17</f>
        <v>197413.02999999997</v>
      </c>
      <c r="F9" s="48">
        <f>+'Avg NFA'!D27</f>
        <v>140228.93</v>
      </c>
      <c r="G9" s="48">
        <f>+'Avg NFA'!D37</f>
        <v>109278.09</v>
      </c>
      <c r="H9" s="48">
        <f>+'Avg NFA'!D47</f>
        <v>87025</v>
      </c>
      <c r="I9" s="48">
        <f>+'Avg NFA'!D57</f>
        <v>237572.05000000005</v>
      </c>
      <c r="J9" s="48">
        <f>+'Avg NFA'!D67</f>
        <v>161946.25999999998</v>
      </c>
      <c r="K9" s="48">
        <f>+'Avg NFA'!D77</f>
        <v>250642.28</v>
      </c>
      <c r="L9" s="48">
        <f>+'Avg NFA'!D87</f>
        <v>106144.02000000002</v>
      </c>
      <c r="M9" s="48">
        <f>+'Avg NFA'!D98</f>
        <v>55930.649999999259</v>
      </c>
      <c r="N9" s="48">
        <f>+'Avg NFA'!D109</f>
        <v>37287.710000000006</v>
      </c>
      <c r="O9" s="48">
        <f>'Avg NFA'!D120</f>
        <v>0</v>
      </c>
    </row>
    <row r="10" spans="1:15" x14ac:dyDescent="0.25">
      <c r="B10" s="50" t="s">
        <v>61</v>
      </c>
      <c r="C10" s="50"/>
      <c r="D10" s="51">
        <f t="shared" ref="D10:I10" si="1">SUM(D8:D9)</f>
        <v>61296.569999999992</v>
      </c>
      <c r="E10" s="51">
        <f t="shared" si="1"/>
        <v>256257.73719999997</v>
      </c>
      <c r="F10" s="51">
        <f t="shared" si="1"/>
        <v>383882.56942399999</v>
      </c>
      <c r="G10" s="51">
        <f t="shared" si="1"/>
        <v>468059.21107007994</v>
      </c>
      <c r="H10" s="51">
        <f t="shared" si="1"/>
        <v>522010.59778447356</v>
      </c>
      <c r="I10" s="51">
        <f t="shared" si="1"/>
        <v>721302.7999617157</v>
      </c>
      <c r="J10" s="51">
        <f t="shared" ref="J10:O10" si="2">SUM(J8:J9)</f>
        <v>835047.71796477842</v>
      </c>
      <c r="K10" s="51">
        <f t="shared" si="2"/>
        <v>1025364.0309275961</v>
      </c>
      <c r="L10" s="51">
        <f t="shared" si="2"/>
        <v>1059504.6196533884</v>
      </c>
      <c r="M10" s="51">
        <f t="shared" si="2"/>
        <v>1034920.6608811165</v>
      </c>
      <c r="N10" s="51">
        <f t="shared" si="2"/>
        <v>991651.94401062711</v>
      </c>
      <c r="O10" s="51">
        <f t="shared" si="2"/>
        <v>913811.29688977695</v>
      </c>
    </row>
    <row r="11" spans="1:15" x14ac:dyDescent="0.25">
      <c r="B11" s="50" t="s">
        <v>62</v>
      </c>
      <c r="C11" s="50"/>
      <c r="D11" s="48">
        <f t="shared" ref="D11:I11" si="3">D9/2</f>
        <v>30648.284999999996</v>
      </c>
      <c r="E11" s="48">
        <f t="shared" si="3"/>
        <v>98706.514999999985</v>
      </c>
      <c r="F11" s="48">
        <f t="shared" si="3"/>
        <v>70114.464999999997</v>
      </c>
      <c r="G11" s="48">
        <f t="shared" si="3"/>
        <v>54639.044999999998</v>
      </c>
      <c r="H11" s="48">
        <f t="shared" si="3"/>
        <v>43512.5</v>
      </c>
      <c r="I11" s="48">
        <f t="shared" si="3"/>
        <v>118786.02500000002</v>
      </c>
      <c r="J11" s="48">
        <f t="shared" ref="J11:O11" si="4">J9/2</f>
        <v>80973.12999999999</v>
      </c>
      <c r="K11" s="48">
        <f t="shared" si="4"/>
        <v>125321.14</v>
      </c>
      <c r="L11" s="48">
        <f t="shared" si="4"/>
        <v>53072.010000000009</v>
      </c>
      <c r="M11" s="48">
        <f t="shared" si="4"/>
        <v>27965.32499999963</v>
      </c>
      <c r="N11" s="48">
        <f t="shared" si="4"/>
        <v>18643.855000000003</v>
      </c>
      <c r="O11" s="48">
        <f t="shared" si="4"/>
        <v>0</v>
      </c>
    </row>
    <row r="12" spans="1:15" x14ac:dyDescent="0.25">
      <c r="B12" s="50" t="s">
        <v>63</v>
      </c>
      <c r="C12" s="50"/>
      <c r="D12" s="51">
        <f t="shared" ref="D12:I12" si="5">D10-D11</f>
        <v>30648.284999999996</v>
      </c>
      <c r="E12" s="51">
        <f t="shared" si="5"/>
        <v>157551.22219999999</v>
      </c>
      <c r="F12" s="51">
        <f t="shared" si="5"/>
        <v>313768.10442400002</v>
      </c>
      <c r="G12" s="51">
        <f t="shared" si="5"/>
        <v>413420.16607007995</v>
      </c>
      <c r="H12" s="51">
        <f t="shared" si="5"/>
        <v>478498.09778447356</v>
      </c>
      <c r="I12" s="51">
        <f t="shared" si="5"/>
        <v>602516.77496171568</v>
      </c>
      <c r="J12" s="51">
        <f t="shared" ref="J12:O12" si="6">J10-J11</f>
        <v>754074.58796477842</v>
      </c>
      <c r="K12" s="51">
        <f t="shared" si="6"/>
        <v>900042.89092759613</v>
      </c>
      <c r="L12" s="51">
        <f t="shared" si="6"/>
        <v>1006432.6096533884</v>
      </c>
      <c r="M12" s="51">
        <f t="shared" si="6"/>
        <v>1006955.3358811169</v>
      </c>
      <c r="N12" s="51">
        <f t="shared" si="6"/>
        <v>973008.08901062713</v>
      </c>
      <c r="O12" s="51">
        <f t="shared" si="6"/>
        <v>913811.29688977695</v>
      </c>
    </row>
    <row r="13" spans="1:15" x14ac:dyDescent="0.25">
      <c r="B13" s="47" t="s">
        <v>64</v>
      </c>
      <c r="C13" s="52">
        <v>47</v>
      </c>
      <c r="D13" s="52">
        <v>47</v>
      </c>
      <c r="E13" s="52">
        <v>47</v>
      </c>
      <c r="F13" s="52">
        <v>47</v>
      </c>
      <c r="G13" s="52">
        <v>47</v>
      </c>
      <c r="H13" s="52">
        <v>47</v>
      </c>
      <c r="I13" s="52">
        <v>47</v>
      </c>
      <c r="J13" s="52">
        <v>47</v>
      </c>
      <c r="K13" s="52">
        <v>47</v>
      </c>
      <c r="L13" s="52">
        <v>47</v>
      </c>
      <c r="M13" s="52">
        <v>47</v>
      </c>
      <c r="N13" s="52">
        <v>47</v>
      </c>
      <c r="O13" s="52">
        <v>47</v>
      </c>
    </row>
    <row r="14" spans="1:15" x14ac:dyDescent="0.25">
      <c r="B14" s="47" t="s">
        <v>65</v>
      </c>
      <c r="C14" s="53">
        <v>0.08</v>
      </c>
      <c r="D14" s="53">
        <v>0.08</v>
      </c>
      <c r="E14" s="53">
        <v>0.08</v>
      </c>
      <c r="F14" s="53">
        <v>0.08</v>
      </c>
      <c r="G14" s="53">
        <v>0.08</v>
      </c>
      <c r="H14" s="53">
        <v>0.08</v>
      </c>
      <c r="I14" s="53">
        <v>0.08</v>
      </c>
      <c r="J14" s="53">
        <v>0.08</v>
      </c>
      <c r="K14" s="53">
        <v>0.08</v>
      </c>
      <c r="L14" s="53">
        <v>0.08</v>
      </c>
      <c r="M14" s="53">
        <v>0.08</v>
      </c>
      <c r="N14" s="53">
        <v>0.08</v>
      </c>
      <c r="O14" s="53">
        <v>0.08</v>
      </c>
    </row>
    <row r="15" spans="1:15" x14ac:dyDescent="0.25">
      <c r="B15" s="50" t="s">
        <v>66</v>
      </c>
      <c r="C15" s="50"/>
      <c r="D15" s="51">
        <f t="shared" ref="D15:I15" si="7">D12*$C$14</f>
        <v>2451.8627999999999</v>
      </c>
      <c r="E15" s="51">
        <f t="shared" si="7"/>
        <v>12604.097775999999</v>
      </c>
      <c r="F15" s="51">
        <f t="shared" si="7"/>
        <v>25101.448353920001</v>
      </c>
      <c r="G15" s="51">
        <f t="shared" si="7"/>
        <v>33073.6132856064</v>
      </c>
      <c r="H15" s="51">
        <f t="shared" si="7"/>
        <v>38279.847822757889</v>
      </c>
      <c r="I15" s="51">
        <f t="shared" si="7"/>
        <v>48201.341996937255</v>
      </c>
      <c r="J15" s="51">
        <f t="shared" ref="J15:O15" si="8">J12*$C$14</f>
        <v>60325.967037182272</v>
      </c>
      <c r="K15" s="51">
        <f t="shared" si="8"/>
        <v>72003.431274207687</v>
      </c>
      <c r="L15" s="51">
        <f t="shared" si="8"/>
        <v>80514.608772271065</v>
      </c>
      <c r="M15" s="51">
        <f t="shared" si="8"/>
        <v>80556.426870489362</v>
      </c>
      <c r="N15" s="51">
        <f t="shared" si="8"/>
        <v>77840.647120850175</v>
      </c>
      <c r="O15" s="51">
        <f t="shared" si="8"/>
        <v>73104.903751182152</v>
      </c>
    </row>
    <row r="16" spans="1:15" ht="15.75" thickBot="1" x14ac:dyDescent="0.3">
      <c r="B16" s="50" t="s">
        <v>67</v>
      </c>
      <c r="C16" s="50"/>
      <c r="D16" s="54">
        <f t="shared" ref="D16:I16" si="9">D10-D15</f>
        <v>58844.70719999999</v>
      </c>
      <c r="E16" s="54">
        <f t="shared" si="9"/>
        <v>243653.63942399996</v>
      </c>
      <c r="F16" s="54">
        <f t="shared" si="9"/>
        <v>358781.12107007997</v>
      </c>
      <c r="G16" s="54">
        <f t="shared" si="9"/>
        <v>434985.59778447356</v>
      </c>
      <c r="H16" s="54">
        <f t="shared" si="9"/>
        <v>483730.74996171566</v>
      </c>
      <c r="I16" s="54">
        <f t="shared" si="9"/>
        <v>673101.45796477841</v>
      </c>
      <c r="J16" s="54">
        <f t="shared" ref="J16:O16" si="10">J10-J15</f>
        <v>774721.75092759612</v>
      </c>
      <c r="K16" s="54">
        <f t="shared" si="10"/>
        <v>953360.59965338849</v>
      </c>
      <c r="L16" s="54">
        <f t="shared" si="10"/>
        <v>978990.01088111731</v>
      </c>
      <c r="M16" s="54">
        <f t="shared" si="10"/>
        <v>954364.23401062714</v>
      </c>
      <c r="N16" s="54">
        <f t="shared" si="10"/>
        <v>913811.29688977695</v>
      </c>
      <c r="O16" s="54">
        <f t="shared" si="10"/>
        <v>840706.39313859481</v>
      </c>
    </row>
    <row r="17" spans="2:12" x14ac:dyDescent="0.25">
      <c r="B17" s="50"/>
      <c r="C17" s="50"/>
      <c r="D17" s="48"/>
      <c r="E17" s="48"/>
      <c r="F17" s="48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55"/>
      <c r="E18" s="55"/>
      <c r="F18" s="55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55"/>
      <c r="E19" s="55"/>
      <c r="F19" s="55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55"/>
      <c r="E20" s="55"/>
      <c r="F20" s="55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55"/>
      <c r="E21" s="55"/>
      <c r="F21" s="55"/>
      <c r="G21" s="4"/>
      <c r="H21" s="4"/>
      <c r="I21" s="4"/>
      <c r="J21" s="4"/>
      <c r="K21" s="4"/>
      <c r="L21" s="4"/>
    </row>
  </sheetData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4:O35"/>
  <sheetViews>
    <sheetView workbookViewId="0">
      <selection activeCell="B2" sqref="B2"/>
    </sheetView>
  </sheetViews>
  <sheetFormatPr defaultColWidth="11.28515625" defaultRowHeight="15" x14ac:dyDescent="0.25"/>
  <cols>
    <col min="1" max="1" width="3.7109375" style="1" customWidth="1"/>
    <col min="2" max="2" width="32.7109375" style="1" bestFit="1" customWidth="1"/>
    <col min="3" max="3" width="16.85546875" style="1" hidden="1" customWidth="1"/>
    <col min="4" max="4" width="18" style="1" customWidth="1"/>
    <col min="5" max="5" width="17.5703125" style="1" customWidth="1"/>
    <col min="6" max="6" width="14.85546875" style="1" customWidth="1"/>
    <col min="7" max="8" width="17.85546875" style="1" customWidth="1"/>
    <col min="9" max="9" width="16.28515625" style="1" customWidth="1"/>
    <col min="10" max="13" width="16.42578125" style="1" customWidth="1"/>
    <col min="14" max="14" width="16" style="1" customWidth="1"/>
    <col min="15" max="256" width="11.28515625" style="1"/>
    <col min="257" max="257" width="3.7109375" style="1" customWidth="1"/>
    <col min="258" max="258" width="32.7109375" style="1" bestFit="1" customWidth="1"/>
    <col min="259" max="259" width="0" style="1" hidden="1" customWidth="1"/>
    <col min="260" max="260" width="18" style="1" customWidth="1"/>
    <col min="261" max="261" width="17.5703125" style="1" customWidth="1"/>
    <col min="262" max="262" width="14.85546875" style="1" customWidth="1"/>
    <col min="263" max="264" width="17.85546875" style="1" customWidth="1"/>
    <col min="265" max="265" width="16.28515625" style="1" customWidth="1"/>
    <col min="266" max="269" width="16.42578125" style="1" customWidth="1"/>
    <col min="270" max="512" width="11.28515625" style="1"/>
    <col min="513" max="513" width="3.7109375" style="1" customWidth="1"/>
    <col min="514" max="514" width="32.7109375" style="1" bestFit="1" customWidth="1"/>
    <col min="515" max="515" width="0" style="1" hidden="1" customWidth="1"/>
    <col min="516" max="516" width="18" style="1" customWidth="1"/>
    <col min="517" max="517" width="17.5703125" style="1" customWidth="1"/>
    <col min="518" max="518" width="14.85546875" style="1" customWidth="1"/>
    <col min="519" max="520" width="17.85546875" style="1" customWidth="1"/>
    <col min="521" max="521" width="16.28515625" style="1" customWidth="1"/>
    <col min="522" max="525" width="16.42578125" style="1" customWidth="1"/>
    <col min="526" max="768" width="11.28515625" style="1"/>
    <col min="769" max="769" width="3.7109375" style="1" customWidth="1"/>
    <col min="770" max="770" width="32.7109375" style="1" bestFit="1" customWidth="1"/>
    <col min="771" max="771" width="0" style="1" hidden="1" customWidth="1"/>
    <col min="772" max="772" width="18" style="1" customWidth="1"/>
    <col min="773" max="773" width="17.5703125" style="1" customWidth="1"/>
    <col min="774" max="774" width="14.85546875" style="1" customWidth="1"/>
    <col min="775" max="776" width="17.85546875" style="1" customWidth="1"/>
    <col min="777" max="777" width="16.28515625" style="1" customWidth="1"/>
    <col min="778" max="781" width="16.42578125" style="1" customWidth="1"/>
    <col min="782" max="1024" width="11.28515625" style="1"/>
    <col min="1025" max="1025" width="3.7109375" style="1" customWidth="1"/>
    <col min="1026" max="1026" width="32.7109375" style="1" bestFit="1" customWidth="1"/>
    <col min="1027" max="1027" width="0" style="1" hidden="1" customWidth="1"/>
    <col min="1028" max="1028" width="18" style="1" customWidth="1"/>
    <col min="1029" max="1029" width="17.5703125" style="1" customWidth="1"/>
    <col min="1030" max="1030" width="14.85546875" style="1" customWidth="1"/>
    <col min="1031" max="1032" width="17.85546875" style="1" customWidth="1"/>
    <col min="1033" max="1033" width="16.28515625" style="1" customWidth="1"/>
    <col min="1034" max="1037" width="16.42578125" style="1" customWidth="1"/>
    <col min="1038" max="1280" width="11.28515625" style="1"/>
    <col min="1281" max="1281" width="3.7109375" style="1" customWidth="1"/>
    <col min="1282" max="1282" width="32.7109375" style="1" bestFit="1" customWidth="1"/>
    <col min="1283" max="1283" width="0" style="1" hidden="1" customWidth="1"/>
    <col min="1284" max="1284" width="18" style="1" customWidth="1"/>
    <col min="1285" max="1285" width="17.5703125" style="1" customWidth="1"/>
    <col min="1286" max="1286" width="14.85546875" style="1" customWidth="1"/>
    <col min="1287" max="1288" width="17.85546875" style="1" customWidth="1"/>
    <col min="1289" max="1289" width="16.28515625" style="1" customWidth="1"/>
    <col min="1290" max="1293" width="16.42578125" style="1" customWidth="1"/>
    <col min="1294" max="1536" width="11.28515625" style="1"/>
    <col min="1537" max="1537" width="3.7109375" style="1" customWidth="1"/>
    <col min="1538" max="1538" width="32.7109375" style="1" bestFit="1" customWidth="1"/>
    <col min="1539" max="1539" width="0" style="1" hidden="1" customWidth="1"/>
    <col min="1540" max="1540" width="18" style="1" customWidth="1"/>
    <col min="1541" max="1541" width="17.5703125" style="1" customWidth="1"/>
    <col min="1542" max="1542" width="14.85546875" style="1" customWidth="1"/>
    <col min="1543" max="1544" width="17.85546875" style="1" customWidth="1"/>
    <col min="1545" max="1545" width="16.28515625" style="1" customWidth="1"/>
    <col min="1546" max="1549" width="16.42578125" style="1" customWidth="1"/>
    <col min="1550" max="1792" width="11.28515625" style="1"/>
    <col min="1793" max="1793" width="3.7109375" style="1" customWidth="1"/>
    <col min="1794" max="1794" width="32.7109375" style="1" bestFit="1" customWidth="1"/>
    <col min="1795" max="1795" width="0" style="1" hidden="1" customWidth="1"/>
    <col min="1796" max="1796" width="18" style="1" customWidth="1"/>
    <col min="1797" max="1797" width="17.5703125" style="1" customWidth="1"/>
    <col min="1798" max="1798" width="14.85546875" style="1" customWidth="1"/>
    <col min="1799" max="1800" width="17.85546875" style="1" customWidth="1"/>
    <col min="1801" max="1801" width="16.28515625" style="1" customWidth="1"/>
    <col min="1802" max="1805" width="16.42578125" style="1" customWidth="1"/>
    <col min="1806" max="2048" width="11.28515625" style="1"/>
    <col min="2049" max="2049" width="3.7109375" style="1" customWidth="1"/>
    <col min="2050" max="2050" width="32.7109375" style="1" bestFit="1" customWidth="1"/>
    <col min="2051" max="2051" width="0" style="1" hidden="1" customWidth="1"/>
    <col min="2052" max="2052" width="18" style="1" customWidth="1"/>
    <col min="2053" max="2053" width="17.5703125" style="1" customWidth="1"/>
    <col min="2054" max="2054" width="14.85546875" style="1" customWidth="1"/>
    <col min="2055" max="2056" width="17.85546875" style="1" customWidth="1"/>
    <col min="2057" max="2057" width="16.28515625" style="1" customWidth="1"/>
    <col min="2058" max="2061" width="16.42578125" style="1" customWidth="1"/>
    <col min="2062" max="2304" width="11.28515625" style="1"/>
    <col min="2305" max="2305" width="3.7109375" style="1" customWidth="1"/>
    <col min="2306" max="2306" width="32.7109375" style="1" bestFit="1" customWidth="1"/>
    <col min="2307" max="2307" width="0" style="1" hidden="1" customWidth="1"/>
    <col min="2308" max="2308" width="18" style="1" customWidth="1"/>
    <col min="2309" max="2309" width="17.5703125" style="1" customWidth="1"/>
    <col min="2310" max="2310" width="14.85546875" style="1" customWidth="1"/>
    <col min="2311" max="2312" width="17.85546875" style="1" customWidth="1"/>
    <col min="2313" max="2313" width="16.28515625" style="1" customWidth="1"/>
    <col min="2314" max="2317" width="16.42578125" style="1" customWidth="1"/>
    <col min="2318" max="2560" width="11.28515625" style="1"/>
    <col min="2561" max="2561" width="3.7109375" style="1" customWidth="1"/>
    <col min="2562" max="2562" width="32.7109375" style="1" bestFit="1" customWidth="1"/>
    <col min="2563" max="2563" width="0" style="1" hidden="1" customWidth="1"/>
    <col min="2564" max="2564" width="18" style="1" customWidth="1"/>
    <col min="2565" max="2565" width="17.5703125" style="1" customWidth="1"/>
    <col min="2566" max="2566" width="14.85546875" style="1" customWidth="1"/>
    <col min="2567" max="2568" width="17.85546875" style="1" customWidth="1"/>
    <col min="2569" max="2569" width="16.28515625" style="1" customWidth="1"/>
    <col min="2570" max="2573" width="16.42578125" style="1" customWidth="1"/>
    <col min="2574" max="2816" width="11.28515625" style="1"/>
    <col min="2817" max="2817" width="3.7109375" style="1" customWidth="1"/>
    <col min="2818" max="2818" width="32.7109375" style="1" bestFit="1" customWidth="1"/>
    <col min="2819" max="2819" width="0" style="1" hidden="1" customWidth="1"/>
    <col min="2820" max="2820" width="18" style="1" customWidth="1"/>
    <col min="2821" max="2821" width="17.5703125" style="1" customWidth="1"/>
    <col min="2822" max="2822" width="14.85546875" style="1" customWidth="1"/>
    <col min="2823" max="2824" width="17.85546875" style="1" customWidth="1"/>
    <col min="2825" max="2825" width="16.28515625" style="1" customWidth="1"/>
    <col min="2826" max="2829" width="16.42578125" style="1" customWidth="1"/>
    <col min="2830" max="3072" width="11.28515625" style="1"/>
    <col min="3073" max="3073" width="3.7109375" style="1" customWidth="1"/>
    <col min="3074" max="3074" width="32.7109375" style="1" bestFit="1" customWidth="1"/>
    <col min="3075" max="3075" width="0" style="1" hidden="1" customWidth="1"/>
    <col min="3076" max="3076" width="18" style="1" customWidth="1"/>
    <col min="3077" max="3077" width="17.5703125" style="1" customWidth="1"/>
    <col min="3078" max="3078" width="14.85546875" style="1" customWidth="1"/>
    <col min="3079" max="3080" width="17.85546875" style="1" customWidth="1"/>
    <col min="3081" max="3081" width="16.28515625" style="1" customWidth="1"/>
    <col min="3082" max="3085" width="16.42578125" style="1" customWidth="1"/>
    <col min="3086" max="3328" width="11.28515625" style="1"/>
    <col min="3329" max="3329" width="3.7109375" style="1" customWidth="1"/>
    <col min="3330" max="3330" width="32.7109375" style="1" bestFit="1" customWidth="1"/>
    <col min="3331" max="3331" width="0" style="1" hidden="1" customWidth="1"/>
    <col min="3332" max="3332" width="18" style="1" customWidth="1"/>
    <col min="3333" max="3333" width="17.5703125" style="1" customWidth="1"/>
    <col min="3334" max="3334" width="14.85546875" style="1" customWidth="1"/>
    <col min="3335" max="3336" width="17.85546875" style="1" customWidth="1"/>
    <col min="3337" max="3337" width="16.28515625" style="1" customWidth="1"/>
    <col min="3338" max="3341" width="16.42578125" style="1" customWidth="1"/>
    <col min="3342" max="3584" width="11.28515625" style="1"/>
    <col min="3585" max="3585" width="3.7109375" style="1" customWidth="1"/>
    <col min="3586" max="3586" width="32.7109375" style="1" bestFit="1" customWidth="1"/>
    <col min="3587" max="3587" width="0" style="1" hidden="1" customWidth="1"/>
    <col min="3588" max="3588" width="18" style="1" customWidth="1"/>
    <col min="3589" max="3589" width="17.5703125" style="1" customWidth="1"/>
    <col min="3590" max="3590" width="14.85546875" style="1" customWidth="1"/>
    <col min="3591" max="3592" width="17.85546875" style="1" customWidth="1"/>
    <col min="3593" max="3593" width="16.28515625" style="1" customWidth="1"/>
    <col min="3594" max="3597" width="16.42578125" style="1" customWidth="1"/>
    <col min="3598" max="3840" width="11.28515625" style="1"/>
    <col min="3841" max="3841" width="3.7109375" style="1" customWidth="1"/>
    <col min="3842" max="3842" width="32.7109375" style="1" bestFit="1" customWidth="1"/>
    <col min="3843" max="3843" width="0" style="1" hidden="1" customWidth="1"/>
    <col min="3844" max="3844" width="18" style="1" customWidth="1"/>
    <col min="3845" max="3845" width="17.5703125" style="1" customWidth="1"/>
    <col min="3846" max="3846" width="14.85546875" style="1" customWidth="1"/>
    <col min="3847" max="3848" width="17.85546875" style="1" customWidth="1"/>
    <col min="3849" max="3849" width="16.28515625" style="1" customWidth="1"/>
    <col min="3850" max="3853" width="16.42578125" style="1" customWidth="1"/>
    <col min="3854" max="4096" width="11.28515625" style="1"/>
    <col min="4097" max="4097" width="3.7109375" style="1" customWidth="1"/>
    <col min="4098" max="4098" width="32.7109375" style="1" bestFit="1" customWidth="1"/>
    <col min="4099" max="4099" width="0" style="1" hidden="1" customWidth="1"/>
    <col min="4100" max="4100" width="18" style="1" customWidth="1"/>
    <col min="4101" max="4101" width="17.5703125" style="1" customWidth="1"/>
    <col min="4102" max="4102" width="14.85546875" style="1" customWidth="1"/>
    <col min="4103" max="4104" width="17.85546875" style="1" customWidth="1"/>
    <col min="4105" max="4105" width="16.28515625" style="1" customWidth="1"/>
    <col min="4106" max="4109" width="16.42578125" style="1" customWidth="1"/>
    <col min="4110" max="4352" width="11.28515625" style="1"/>
    <col min="4353" max="4353" width="3.7109375" style="1" customWidth="1"/>
    <col min="4354" max="4354" width="32.7109375" style="1" bestFit="1" customWidth="1"/>
    <col min="4355" max="4355" width="0" style="1" hidden="1" customWidth="1"/>
    <col min="4356" max="4356" width="18" style="1" customWidth="1"/>
    <col min="4357" max="4357" width="17.5703125" style="1" customWidth="1"/>
    <col min="4358" max="4358" width="14.85546875" style="1" customWidth="1"/>
    <col min="4359" max="4360" width="17.85546875" style="1" customWidth="1"/>
    <col min="4361" max="4361" width="16.28515625" style="1" customWidth="1"/>
    <col min="4362" max="4365" width="16.42578125" style="1" customWidth="1"/>
    <col min="4366" max="4608" width="11.28515625" style="1"/>
    <col min="4609" max="4609" width="3.7109375" style="1" customWidth="1"/>
    <col min="4610" max="4610" width="32.7109375" style="1" bestFit="1" customWidth="1"/>
    <col min="4611" max="4611" width="0" style="1" hidden="1" customWidth="1"/>
    <col min="4612" max="4612" width="18" style="1" customWidth="1"/>
    <col min="4613" max="4613" width="17.5703125" style="1" customWidth="1"/>
    <col min="4614" max="4614" width="14.85546875" style="1" customWidth="1"/>
    <col min="4615" max="4616" width="17.85546875" style="1" customWidth="1"/>
    <col min="4617" max="4617" width="16.28515625" style="1" customWidth="1"/>
    <col min="4618" max="4621" width="16.42578125" style="1" customWidth="1"/>
    <col min="4622" max="4864" width="11.28515625" style="1"/>
    <col min="4865" max="4865" width="3.7109375" style="1" customWidth="1"/>
    <col min="4866" max="4866" width="32.7109375" style="1" bestFit="1" customWidth="1"/>
    <col min="4867" max="4867" width="0" style="1" hidden="1" customWidth="1"/>
    <col min="4868" max="4868" width="18" style="1" customWidth="1"/>
    <col min="4869" max="4869" width="17.5703125" style="1" customWidth="1"/>
    <col min="4870" max="4870" width="14.85546875" style="1" customWidth="1"/>
    <col min="4871" max="4872" width="17.85546875" style="1" customWidth="1"/>
    <col min="4873" max="4873" width="16.28515625" style="1" customWidth="1"/>
    <col min="4874" max="4877" width="16.42578125" style="1" customWidth="1"/>
    <col min="4878" max="5120" width="11.28515625" style="1"/>
    <col min="5121" max="5121" width="3.7109375" style="1" customWidth="1"/>
    <col min="5122" max="5122" width="32.7109375" style="1" bestFit="1" customWidth="1"/>
    <col min="5123" max="5123" width="0" style="1" hidden="1" customWidth="1"/>
    <col min="5124" max="5124" width="18" style="1" customWidth="1"/>
    <col min="5125" max="5125" width="17.5703125" style="1" customWidth="1"/>
    <col min="5126" max="5126" width="14.85546875" style="1" customWidth="1"/>
    <col min="5127" max="5128" width="17.85546875" style="1" customWidth="1"/>
    <col min="5129" max="5129" width="16.28515625" style="1" customWidth="1"/>
    <col min="5130" max="5133" width="16.42578125" style="1" customWidth="1"/>
    <col min="5134" max="5376" width="11.28515625" style="1"/>
    <col min="5377" max="5377" width="3.7109375" style="1" customWidth="1"/>
    <col min="5378" max="5378" width="32.7109375" style="1" bestFit="1" customWidth="1"/>
    <col min="5379" max="5379" width="0" style="1" hidden="1" customWidth="1"/>
    <col min="5380" max="5380" width="18" style="1" customWidth="1"/>
    <col min="5381" max="5381" width="17.5703125" style="1" customWidth="1"/>
    <col min="5382" max="5382" width="14.85546875" style="1" customWidth="1"/>
    <col min="5383" max="5384" width="17.85546875" style="1" customWidth="1"/>
    <col min="5385" max="5385" width="16.28515625" style="1" customWidth="1"/>
    <col min="5386" max="5389" width="16.42578125" style="1" customWidth="1"/>
    <col min="5390" max="5632" width="11.28515625" style="1"/>
    <col min="5633" max="5633" width="3.7109375" style="1" customWidth="1"/>
    <col min="5634" max="5634" width="32.7109375" style="1" bestFit="1" customWidth="1"/>
    <col min="5635" max="5635" width="0" style="1" hidden="1" customWidth="1"/>
    <col min="5636" max="5636" width="18" style="1" customWidth="1"/>
    <col min="5637" max="5637" width="17.5703125" style="1" customWidth="1"/>
    <col min="5638" max="5638" width="14.85546875" style="1" customWidth="1"/>
    <col min="5639" max="5640" width="17.85546875" style="1" customWidth="1"/>
    <col min="5641" max="5641" width="16.28515625" style="1" customWidth="1"/>
    <col min="5642" max="5645" width="16.42578125" style="1" customWidth="1"/>
    <col min="5646" max="5888" width="11.28515625" style="1"/>
    <col min="5889" max="5889" width="3.7109375" style="1" customWidth="1"/>
    <col min="5890" max="5890" width="32.7109375" style="1" bestFit="1" customWidth="1"/>
    <col min="5891" max="5891" width="0" style="1" hidden="1" customWidth="1"/>
    <col min="5892" max="5892" width="18" style="1" customWidth="1"/>
    <col min="5893" max="5893" width="17.5703125" style="1" customWidth="1"/>
    <col min="5894" max="5894" width="14.85546875" style="1" customWidth="1"/>
    <col min="5895" max="5896" width="17.85546875" style="1" customWidth="1"/>
    <col min="5897" max="5897" width="16.28515625" style="1" customWidth="1"/>
    <col min="5898" max="5901" width="16.42578125" style="1" customWidth="1"/>
    <col min="5902" max="6144" width="11.28515625" style="1"/>
    <col min="6145" max="6145" width="3.7109375" style="1" customWidth="1"/>
    <col min="6146" max="6146" width="32.7109375" style="1" bestFit="1" customWidth="1"/>
    <col min="6147" max="6147" width="0" style="1" hidden="1" customWidth="1"/>
    <col min="6148" max="6148" width="18" style="1" customWidth="1"/>
    <col min="6149" max="6149" width="17.5703125" style="1" customWidth="1"/>
    <col min="6150" max="6150" width="14.85546875" style="1" customWidth="1"/>
    <col min="6151" max="6152" width="17.85546875" style="1" customWidth="1"/>
    <col min="6153" max="6153" width="16.28515625" style="1" customWidth="1"/>
    <col min="6154" max="6157" width="16.42578125" style="1" customWidth="1"/>
    <col min="6158" max="6400" width="11.28515625" style="1"/>
    <col min="6401" max="6401" width="3.7109375" style="1" customWidth="1"/>
    <col min="6402" max="6402" width="32.7109375" style="1" bestFit="1" customWidth="1"/>
    <col min="6403" max="6403" width="0" style="1" hidden="1" customWidth="1"/>
    <col min="6404" max="6404" width="18" style="1" customWidth="1"/>
    <col min="6405" max="6405" width="17.5703125" style="1" customWidth="1"/>
    <col min="6406" max="6406" width="14.85546875" style="1" customWidth="1"/>
    <col min="6407" max="6408" width="17.85546875" style="1" customWidth="1"/>
    <col min="6409" max="6409" width="16.28515625" style="1" customWidth="1"/>
    <col min="6410" max="6413" width="16.42578125" style="1" customWidth="1"/>
    <col min="6414" max="6656" width="11.28515625" style="1"/>
    <col min="6657" max="6657" width="3.7109375" style="1" customWidth="1"/>
    <col min="6658" max="6658" width="32.7109375" style="1" bestFit="1" customWidth="1"/>
    <col min="6659" max="6659" width="0" style="1" hidden="1" customWidth="1"/>
    <col min="6660" max="6660" width="18" style="1" customWidth="1"/>
    <col min="6661" max="6661" width="17.5703125" style="1" customWidth="1"/>
    <col min="6662" max="6662" width="14.85546875" style="1" customWidth="1"/>
    <col min="6663" max="6664" width="17.85546875" style="1" customWidth="1"/>
    <col min="6665" max="6665" width="16.28515625" style="1" customWidth="1"/>
    <col min="6666" max="6669" width="16.42578125" style="1" customWidth="1"/>
    <col min="6670" max="6912" width="11.28515625" style="1"/>
    <col min="6913" max="6913" width="3.7109375" style="1" customWidth="1"/>
    <col min="6914" max="6914" width="32.7109375" style="1" bestFit="1" customWidth="1"/>
    <col min="6915" max="6915" width="0" style="1" hidden="1" customWidth="1"/>
    <col min="6916" max="6916" width="18" style="1" customWidth="1"/>
    <col min="6917" max="6917" width="17.5703125" style="1" customWidth="1"/>
    <col min="6918" max="6918" width="14.85546875" style="1" customWidth="1"/>
    <col min="6919" max="6920" width="17.85546875" style="1" customWidth="1"/>
    <col min="6921" max="6921" width="16.28515625" style="1" customWidth="1"/>
    <col min="6922" max="6925" width="16.42578125" style="1" customWidth="1"/>
    <col min="6926" max="7168" width="11.28515625" style="1"/>
    <col min="7169" max="7169" width="3.7109375" style="1" customWidth="1"/>
    <col min="7170" max="7170" width="32.7109375" style="1" bestFit="1" customWidth="1"/>
    <col min="7171" max="7171" width="0" style="1" hidden="1" customWidth="1"/>
    <col min="7172" max="7172" width="18" style="1" customWidth="1"/>
    <col min="7173" max="7173" width="17.5703125" style="1" customWidth="1"/>
    <col min="7174" max="7174" width="14.85546875" style="1" customWidth="1"/>
    <col min="7175" max="7176" width="17.85546875" style="1" customWidth="1"/>
    <col min="7177" max="7177" width="16.28515625" style="1" customWidth="1"/>
    <col min="7178" max="7181" width="16.42578125" style="1" customWidth="1"/>
    <col min="7182" max="7424" width="11.28515625" style="1"/>
    <col min="7425" max="7425" width="3.7109375" style="1" customWidth="1"/>
    <col min="7426" max="7426" width="32.7109375" style="1" bestFit="1" customWidth="1"/>
    <col min="7427" max="7427" width="0" style="1" hidden="1" customWidth="1"/>
    <col min="7428" max="7428" width="18" style="1" customWidth="1"/>
    <col min="7429" max="7429" width="17.5703125" style="1" customWidth="1"/>
    <col min="7430" max="7430" width="14.85546875" style="1" customWidth="1"/>
    <col min="7431" max="7432" width="17.85546875" style="1" customWidth="1"/>
    <col min="7433" max="7433" width="16.28515625" style="1" customWidth="1"/>
    <col min="7434" max="7437" width="16.42578125" style="1" customWidth="1"/>
    <col min="7438" max="7680" width="11.28515625" style="1"/>
    <col min="7681" max="7681" width="3.7109375" style="1" customWidth="1"/>
    <col min="7682" max="7682" width="32.7109375" style="1" bestFit="1" customWidth="1"/>
    <col min="7683" max="7683" width="0" style="1" hidden="1" customWidth="1"/>
    <col min="7684" max="7684" width="18" style="1" customWidth="1"/>
    <col min="7685" max="7685" width="17.5703125" style="1" customWidth="1"/>
    <col min="7686" max="7686" width="14.85546875" style="1" customWidth="1"/>
    <col min="7687" max="7688" width="17.85546875" style="1" customWidth="1"/>
    <col min="7689" max="7689" width="16.28515625" style="1" customWidth="1"/>
    <col min="7690" max="7693" width="16.42578125" style="1" customWidth="1"/>
    <col min="7694" max="7936" width="11.28515625" style="1"/>
    <col min="7937" max="7937" width="3.7109375" style="1" customWidth="1"/>
    <col min="7938" max="7938" width="32.7109375" style="1" bestFit="1" customWidth="1"/>
    <col min="7939" max="7939" width="0" style="1" hidden="1" customWidth="1"/>
    <col min="7940" max="7940" width="18" style="1" customWidth="1"/>
    <col min="7941" max="7941" width="17.5703125" style="1" customWidth="1"/>
    <col min="7942" max="7942" width="14.85546875" style="1" customWidth="1"/>
    <col min="7943" max="7944" width="17.85546875" style="1" customWidth="1"/>
    <col min="7945" max="7945" width="16.28515625" style="1" customWidth="1"/>
    <col min="7946" max="7949" width="16.42578125" style="1" customWidth="1"/>
    <col min="7950" max="8192" width="11.28515625" style="1"/>
    <col min="8193" max="8193" width="3.7109375" style="1" customWidth="1"/>
    <col min="8194" max="8194" width="32.7109375" style="1" bestFit="1" customWidth="1"/>
    <col min="8195" max="8195" width="0" style="1" hidden="1" customWidth="1"/>
    <col min="8196" max="8196" width="18" style="1" customWidth="1"/>
    <col min="8197" max="8197" width="17.5703125" style="1" customWidth="1"/>
    <col min="8198" max="8198" width="14.85546875" style="1" customWidth="1"/>
    <col min="8199" max="8200" width="17.85546875" style="1" customWidth="1"/>
    <col min="8201" max="8201" width="16.28515625" style="1" customWidth="1"/>
    <col min="8202" max="8205" width="16.42578125" style="1" customWidth="1"/>
    <col min="8206" max="8448" width="11.28515625" style="1"/>
    <col min="8449" max="8449" width="3.7109375" style="1" customWidth="1"/>
    <col min="8450" max="8450" width="32.7109375" style="1" bestFit="1" customWidth="1"/>
    <col min="8451" max="8451" width="0" style="1" hidden="1" customWidth="1"/>
    <col min="8452" max="8452" width="18" style="1" customWidth="1"/>
    <col min="8453" max="8453" width="17.5703125" style="1" customWidth="1"/>
    <col min="8454" max="8454" width="14.85546875" style="1" customWidth="1"/>
    <col min="8455" max="8456" width="17.85546875" style="1" customWidth="1"/>
    <col min="8457" max="8457" width="16.28515625" style="1" customWidth="1"/>
    <col min="8458" max="8461" width="16.42578125" style="1" customWidth="1"/>
    <col min="8462" max="8704" width="11.28515625" style="1"/>
    <col min="8705" max="8705" width="3.7109375" style="1" customWidth="1"/>
    <col min="8706" max="8706" width="32.7109375" style="1" bestFit="1" customWidth="1"/>
    <col min="8707" max="8707" width="0" style="1" hidden="1" customWidth="1"/>
    <col min="8708" max="8708" width="18" style="1" customWidth="1"/>
    <col min="8709" max="8709" width="17.5703125" style="1" customWidth="1"/>
    <col min="8710" max="8710" width="14.85546875" style="1" customWidth="1"/>
    <col min="8711" max="8712" width="17.85546875" style="1" customWidth="1"/>
    <col min="8713" max="8713" width="16.28515625" style="1" customWidth="1"/>
    <col min="8714" max="8717" width="16.42578125" style="1" customWidth="1"/>
    <col min="8718" max="8960" width="11.28515625" style="1"/>
    <col min="8961" max="8961" width="3.7109375" style="1" customWidth="1"/>
    <col min="8962" max="8962" width="32.7109375" style="1" bestFit="1" customWidth="1"/>
    <col min="8963" max="8963" width="0" style="1" hidden="1" customWidth="1"/>
    <col min="8964" max="8964" width="18" style="1" customWidth="1"/>
    <col min="8965" max="8965" width="17.5703125" style="1" customWidth="1"/>
    <col min="8966" max="8966" width="14.85546875" style="1" customWidth="1"/>
    <col min="8967" max="8968" width="17.85546875" style="1" customWidth="1"/>
    <col min="8969" max="8969" width="16.28515625" style="1" customWidth="1"/>
    <col min="8970" max="8973" width="16.42578125" style="1" customWidth="1"/>
    <col min="8974" max="9216" width="11.28515625" style="1"/>
    <col min="9217" max="9217" width="3.7109375" style="1" customWidth="1"/>
    <col min="9218" max="9218" width="32.7109375" style="1" bestFit="1" customWidth="1"/>
    <col min="9219" max="9219" width="0" style="1" hidden="1" customWidth="1"/>
    <col min="9220" max="9220" width="18" style="1" customWidth="1"/>
    <col min="9221" max="9221" width="17.5703125" style="1" customWidth="1"/>
    <col min="9222" max="9222" width="14.85546875" style="1" customWidth="1"/>
    <col min="9223" max="9224" width="17.85546875" style="1" customWidth="1"/>
    <col min="9225" max="9225" width="16.28515625" style="1" customWidth="1"/>
    <col min="9226" max="9229" width="16.42578125" style="1" customWidth="1"/>
    <col min="9230" max="9472" width="11.28515625" style="1"/>
    <col min="9473" max="9473" width="3.7109375" style="1" customWidth="1"/>
    <col min="9474" max="9474" width="32.7109375" style="1" bestFit="1" customWidth="1"/>
    <col min="9475" max="9475" width="0" style="1" hidden="1" customWidth="1"/>
    <col min="9476" max="9476" width="18" style="1" customWidth="1"/>
    <col min="9477" max="9477" width="17.5703125" style="1" customWidth="1"/>
    <col min="9478" max="9478" width="14.85546875" style="1" customWidth="1"/>
    <col min="9479" max="9480" width="17.85546875" style="1" customWidth="1"/>
    <col min="9481" max="9481" width="16.28515625" style="1" customWidth="1"/>
    <col min="9482" max="9485" width="16.42578125" style="1" customWidth="1"/>
    <col min="9486" max="9728" width="11.28515625" style="1"/>
    <col min="9729" max="9729" width="3.7109375" style="1" customWidth="1"/>
    <col min="9730" max="9730" width="32.7109375" style="1" bestFit="1" customWidth="1"/>
    <col min="9731" max="9731" width="0" style="1" hidden="1" customWidth="1"/>
    <col min="9732" max="9732" width="18" style="1" customWidth="1"/>
    <col min="9733" max="9733" width="17.5703125" style="1" customWidth="1"/>
    <col min="9734" max="9734" width="14.85546875" style="1" customWidth="1"/>
    <col min="9735" max="9736" width="17.85546875" style="1" customWidth="1"/>
    <col min="9737" max="9737" width="16.28515625" style="1" customWidth="1"/>
    <col min="9738" max="9741" width="16.42578125" style="1" customWidth="1"/>
    <col min="9742" max="9984" width="11.28515625" style="1"/>
    <col min="9985" max="9985" width="3.7109375" style="1" customWidth="1"/>
    <col min="9986" max="9986" width="32.7109375" style="1" bestFit="1" customWidth="1"/>
    <col min="9987" max="9987" width="0" style="1" hidden="1" customWidth="1"/>
    <col min="9988" max="9988" width="18" style="1" customWidth="1"/>
    <col min="9989" max="9989" width="17.5703125" style="1" customWidth="1"/>
    <col min="9990" max="9990" width="14.85546875" style="1" customWidth="1"/>
    <col min="9991" max="9992" width="17.85546875" style="1" customWidth="1"/>
    <col min="9993" max="9993" width="16.28515625" style="1" customWidth="1"/>
    <col min="9994" max="9997" width="16.42578125" style="1" customWidth="1"/>
    <col min="9998" max="10240" width="11.28515625" style="1"/>
    <col min="10241" max="10241" width="3.7109375" style="1" customWidth="1"/>
    <col min="10242" max="10242" width="32.7109375" style="1" bestFit="1" customWidth="1"/>
    <col min="10243" max="10243" width="0" style="1" hidden="1" customWidth="1"/>
    <col min="10244" max="10244" width="18" style="1" customWidth="1"/>
    <col min="10245" max="10245" width="17.5703125" style="1" customWidth="1"/>
    <col min="10246" max="10246" width="14.85546875" style="1" customWidth="1"/>
    <col min="10247" max="10248" width="17.85546875" style="1" customWidth="1"/>
    <col min="10249" max="10249" width="16.28515625" style="1" customWidth="1"/>
    <col min="10250" max="10253" width="16.42578125" style="1" customWidth="1"/>
    <col min="10254" max="10496" width="11.28515625" style="1"/>
    <col min="10497" max="10497" width="3.7109375" style="1" customWidth="1"/>
    <col min="10498" max="10498" width="32.7109375" style="1" bestFit="1" customWidth="1"/>
    <col min="10499" max="10499" width="0" style="1" hidden="1" customWidth="1"/>
    <col min="10500" max="10500" width="18" style="1" customWidth="1"/>
    <col min="10501" max="10501" width="17.5703125" style="1" customWidth="1"/>
    <col min="10502" max="10502" width="14.85546875" style="1" customWidth="1"/>
    <col min="10503" max="10504" width="17.85546875" style="1" customWidth="1"/>
    <col min="10505" max="10505" width="16.28515625" style="1" customWidth="1"/>
    <col min="10506" max="10509" width="16.42578125" style="1" customWidth="1"/>
    <col min="10510" max="10752" width="11.28515625" style="1"/>
    <col min="10753" max="10753" width="3.7109375" style="1" customWidth="1"/>
    <col min="10754" max="10754" width="32.7109375" style="1" bestFit="1" customWidth="1"/>
    <col min="10755" max="10755" width="0" style="1" hidden="1" customWidth="1"/>
    <col min="10756" max="10756" width="18" style="1" customWidth="1"/>
    <col min="10757" max="10757" width="17.5703125" style="1" customWidth="1"/>
    <col min="10758" max="10758" width="14.85546875" style="1" customWidth="1"/>
    <col min="10759" max="10760" width="17.85546875" style="1" customWidth="1"/>
    <col min="10761" max="10761" width="16.28515625" style="1" customWidth="1"/>
    <col min="10762" max="10765" width="16.42578125" style="1" customWidth="1"/>
    <col min="10766" max="11008" width="11.28515625" style="1"/>
    <col min="11009" max="11009" width="3.7109375" style="1" customWidth="1"/>
    <col min="11010" max="11010" width="32.7109375" style="1" bestFit="1" customWidth="1"/>
    <col min="11011" max="11011" width="0" style="1" hidden="1" customWidth="1"/>
    <col min="11012" max="11012" width="18" style="1" customWidth="1"/>
    <col min="11013" max="11013" width="17.5703125" style="1" customWidth="1"/>
    <col min="11014" max="11014" width="14.85546875" style="1" customWidth="1"/>
    <col min="11015" max="11016" width="17.85546875" style="1" customWidth="1"/>
    <col min="11017" max="11017" width="16.28515625" style="1" customWidth="1"/>
    <col min="11018" max="11021" width="16.42578125" style="1" customWidth="1"/>
    <col min="11022" max="11264" width="11.28515625" style="1"/>
    <col min="11265" max="11265" width="3.7109375" style="1" customWidth="1"/>
    <col min="11266" max="11266" width="32.7109375" style="1" bestFit="1" customWidth="1"/>
    <col min="11267" max="11267" width="0" style="1" hidden="1" customWidth="1"/>
    <col min="11268" max="11268" width="18" style="1" customWidth="1"/>
    <col min="11269" max="11269" width="17.5703125" style="1" customWidth="1"/>
    <col min="11270" max="11270" width="14.85546875" style="1" customWidth="1"/>
    <col min="11271" max="11272" width="17.85546875" style="1" customWidth="1"/>
    <col min="11273" max="11273" width="16.28515625" style="1" customWidth="1"/>
    <col min="11274" max="11277" width="16.42578125" style="1" customWidth="1"/>
    <col min="11278" max="11520" width="11.28515625" style="1"/>
    <col min="11521" max="11521" width="3.7109375" style="1" customWidth="1"/>
    <col min="11522" max="11522" width="32.7109375" style="1" bestFit="1" customWidth="1"/>
    <col min="11523" max="11523" width="0" style="1" hidden="1" customWidth="1"/>
    <col min="11524" max="11524" width="18" style="1" customWidth="1"/>
    <col min="11525" max="11525" width="17.5703125" style="1" customWidth="1"/>
    <col min="11526" max="11526" width="14.85546875" style="1" customWidth="1"/>
    <col min="11527" max="11528" width="17.85546875" style="1" customWidth="1"/>
    <col min="11529" max="11529" width="16.28515625" style="1" customWidth="1"/>
    <col min="11530" max="11533" width="16.42578125" style="1" customWidth="1"/>
    <col min="11534" max="11776" width="11.28515625" style="1"/>
    <col min="11777" max="11777" width="3.7109375" style="1" customWidth="1"/>
    <col min="11778" max="11778" width="32.7109375" style="1" bestFit="1" customWidth="1"/>
    <col min="11779" max="11779" width="0" style="1" hidden="1" customWidth="1"/>
    <col min="11780" max="11780" width="18" style="1" customWidth="1"/>
    <col min="11781" max="11781" width="17.5703125" style="1" customWidth="1"/>
    <col min="11782" max="11782" width="14.85546875" style="1" customWidth="1"/>
    <col min="11783" max="11784" width="17.85546875" style="1" customWidth="1"/>
    <col min="11785" max="11785" width="16.28515625" style="1" customWidth="1"/>
    <col min="11786" max="11789" width="16.42578125" style="1" customWidth="1"/>
    <col min="11790" max="12032" width="11.28515625" style="1"/>
    <col min="12033" max="12033" width="3.7109375" style="1" customWidth="1"/>
    <col min="12034" max="12034" width="32.7109375" style="1" bestFit="1" customWidth="1"/>
    <col min="12035" max="12035" width="0" style="1" hidden="1" customWidth="1"/>
    <col min="12036" max="12036" width="18" style="1" customWidth="1"/>
    <col min="12037" max="12037" width="17.5703125" style="1" customWidth="1"/>
    <col min="12038" max="12038" width="14.85546875" style="1" customWidth="1"/>
    <col min="12039" max="12040" width="17.85546875" style="1" customWidth="1"/>
    <col min="12041" max="12041" width="16.28515625" style="1" customWidth="1"/>
    <col min="12042" max="12045" width="16.42578125" style="1" customWidth="1"/>
    <col min="12046" max="12288" width="11.28515625" style="1"/>
    <col min="12289" max="12289" width="3.7109375" style="1" customWidth="1"/>
    <col min="12290" max="12290" width="32.7109375" style="1" bestFit="1" customWidth="1"/>
    <col min="12291" max="12291" width="0" style="1" hidden="1" customWidth="1"/>
    <col min="12292" max="12292" width="18" style="1" customWidth="1"/>
    <col min="12293" max="12293" width="17.5703125" style="1" customWidth="1"/>
    <col min="12294" max="12294" width="14.85546875" style="1" customWidth="1"/>
    <col min="12295" max="12296" width="17.85546875" style="1" customWidth="1"/>
    <col min="12297" max="12297" width="16.28515625" style="1" customWidth="1"/>
    <col min="12298" max="12301" width="16.42578125" style="1" customWidth="1"/>
    <col min="12302" max="12544" width="11.28515625" style="1"/>
    <col min="12545" max="12545" width="3.7109375" style="1" customWidth="1"/>
    <col min="12546" max="12546" width="32.7109375" style="1" bestFit="1" customWidth="1"/>
    <col min="12547" max="12547" width="0" style="1" hidden="1" customWidth="1"/>
    <col min="12548" max="12548" width="18" style="1" customWidth="1"/>
    <col min="12549" max="12549" width="17.5703125" style="1" customWidth="1"/>
    <col min="12550" max="12550" width="14.85546875" style="1" customWidth="1"/>
    <col min="12551" max="12552" width="17.85546875" style="1" customWidth="1"/>
    <col min="12553" max="12553" width="16.28515625" style="1" customWidth="1"/>
    <col min="12554" max="12557" width="16.42578125" style="1" customWidth="1"/>
    <col min="12558" max="12800" width="11.28515625" style="1"/>
    <col min="12801" max="12801" width="3.7109375" style="1" customWidth="1"/>
    <col min="12802" max="12802" width="32.7109375" style="1" bestFit="1" customWidth="1"/>
    <col min="12803" max="12803" width="0" style="1" hidden="1" customWidth="1"/>
    <col min="12804" max="12804" width="18" style="1" customWidth="1"/>
    <col min="12805" max="12805" width="17.5703125" style="1" customWidth="1"/>
    <col min="12806" max="12806" width="14.85546875" style="1" customWidth="1"/>
    <col min="12807" max="12808" width="17.85546875" style="1" customWidth="1"/>
    <col min="12809" max="12809" width="16.28515625" style="1" customWidth="1"/>
    <col min="12810" max="12813" width="16.42578125" style="1" customWidth="1"/>
    <col min="12814" max="13056" width="11.28515625" style="1"/>
    <col min="13057" max="13057" width="3.7109375" style="1" customWidth="1"/>
    <col min="13058" max="13058" width="32.7109375" style="1" bestFit="1" customWidth="1"/>
    <col min="13059" max="13059" width="0" style="1" hidden="1" customWidth="1"/>
    <col min="13060" max="13060" width="18" style="1" customWidth="1"/>
    <col min="13061" max="13061" width="17.5703125" style="1" customWidth="1"/>
    <col min="13062" max="13062" width="14.85546875" style="1" customWidth="1"/>
    <col min="13063" max="13064" width="17.85546875" style="1" customWidth="1"/>
    <col min="13065" max="13065" width="16.28515625" style="1" customWidth="1"/>
    <col min="13066" max="13069" width="16.42578125" style="1" customWidth="1"/>
    <col min="13070" max="13312" width="11.28515625" style="1"/>
    <col min="13313" max="13313" width="3.7109375" style="1" customWidth="1"/>
    <col min="13314" max="13314" width="32.7109375" style="1" bestFit="1" customWidth="1"/>
    <col min="13315" max="13315" width="0" style="1" hidden="1" customWidth="1"/>
    <col min="13316" max="13316" width="18" style="1" customWidth="1"/>
    <col min="13317" max="13317" width="17.5703125" style="1" customWidth="1"/>
    <col min="13318" max="13318" width="14.85546875" style="1" customWidth="1"/>
    <col min="13319" max="13320" width="17.85546875" style="1" customWidth="1"/>
    <col min="13321" max="13321" width="16.28515625" style="1" customWidth="1"/>
    <col min="13322" max="13325" width="16.42578125" style="1" customWidth="1"/>
    <col min="13326" max="13568" width="11.28515625" style="1"/>
    <col min="13569" max="13569" width="3.7109375" style="1" customWidth="1"/>
    <col min="13570" max="13570" width="32.7109375" style="1" bestFit="1" customWidth="1"/>
    <col min="13571" max="13571" width="0" style="1" hidden="1" customWidth="1"/>
    <col min="13572" max="13572" width="18" style="1" customWidth="1"/>
    <col min="13573" max="13573" width="17.5703125" style="1" customWidth="1"/>
    <col min="13574" max="13574" width="14.85546875" style="1" customWidth="1"/>
    <col min="13575" max="13576" width="17.85546875" style="1" customWidth="1"/>
    <col min="13577" max="13577" width="16.28515625" style="1" customWidth="1"/>
    <col min="13578" max="13581" width="16.42578125" style="1" customWidth="1"/>
    <col min="13582" max="13824" width="11.28515625" style="1"/>
    <col min="13825" max="13825" width="3.7109375" style="1" customWidth="1"/>
    <col min="13826" max="13826" width="32.7109375" style="1" bestFit="1" customWidth="1"/>
    <col min="13827" max="13827" width="0" style="1" hidden="1" customWidth="1"/>
    <col min="13828" max="13828" width="18" style="1" customWidth="1"/>
    <col min="13829" max="13829" width="17.5703125" style="1" customWidth="1"/>
    <col min="13830" max="13830" width="14.85546875" style="1" customWidth="1"/>
    <col min="13831" max="13832" width="17.85546875" style="1" customWidth="1"/>
    <col min="13833" max="13833" width="16.28515625" style="1" customWidth="1"/>
    <col min="13834" max="13837" width="16.42578125" style="1" customWidth="1"/>
    <col min="13838" max="14080" width="11.28515625" style="1"/>
    <col min="14081" max="14081" width="3.7109375" style="1" customWidth="1"/>
    <col min="14082" max="14082" width="32.7109375" style="1" bestFit="1" customWidth="1"/>
    <col min="14083" max="14083" width="0" style="1" hidden="1" customWidth="1"/>
    <col min="14084" max="14084" width="18" style="1" customWidth="1"/>
    <col min="14085" max="14085" width="17.5703125" style="1" customWidth="1"/>
    <col min="14086" max="14086" width="14.85546875" style="1" customWidth="1"/>
    <col min="14087" max="14088" width="17.85546875" style="1" customWidth="1"/>
    <col min="14089" max="14089" width="16.28515625" style="1" customWidth="1"/>
    <col min="14090" max="14093" width="16.42578125" style="1" customWidth="1"/>
    <col min="14094" max="14336" width="11.28515625" style="1"/>
    <col min="14337" max="14337" width="3.7109375" style="1" customWidth="1"/>
    <col min="14338" max="14338" width="32.7109375" style="1" bestFit="1" customWidth="1"/>
    <col min="14339" max="14339" width="0" style="1" hidden="1" customWidth="1"/>
    <col min="14340" max="14340" width="18" style="1" customWidth="1"/>
    <col min="14341" max="14341" width="17.5703125" style="1" customWidth="1"/>
    <col min="14342" max="14342" width="14.85546875" style="1" customWidth="1"/>
    <col min="14343" max="14344" width="17.85546875" style="1" customWidth="1"/>
    <col min="14345" max="14345" width="16.28515625" style="1" customWidth="1"/>
    <col min="14346" max="14349" width="16.42578125" style="1" customWidth="1"/>
    <col min="14350" max="14592" width="11.28515625" style="1"/>
    <col min="14593" max="14593" width="3.7109375" style="1" customWidth="1"/>
    <col min="14594" max="14594" width="32.7109375" style="1" bestFit="1" customWidth="1"/>
    <col min="14595" max="14595" width="0" style="1" hidden="1" customWidth="1"/>
    <col min="14596" max="14596" width="18" style="1" customWidth="1"/>
    <col min="14597" max="14597" width="17.5703125" style="1" customWidth="1"/>
    <col min="14598" max="14598" width="14.85546875" style="1" customWidth="1"/>
    <col min="14599" max="14600" width="17.85546875" style="1" customWidth="1"/>
    <col min="14601" max="14601" width="16.28515625" style="1" customWidth="1"/>
    <col min="14602" max="14605" width="16.42578125" style="1" customWidth="1"/>
    <col min="14606" max="14848" width="11.28515625" style="1"/>
    <col min="14849" max="14849" width="3.7109375" style="1" customWidth="1"/>
    <col min="14850" max="14850" width="32.7109375" style="1" bestFit="1" customWidth="1"/>
    <col min="14851" max="14851" width="0" style="1" hidden="1" customWidth="1"/>
    <col min="14852" max="14852" width="18" style="1" customWidth="1"/>
    <col min="14853" max="14853" width="17.5703125" style="1" customWidth="1"/>
    <col min="14854" max="14854" width="14.85546875" style="1" customWidth="1"/>
    <col min="14855" max="14856" width="17.85546875" style="1" customWidth="1"/>
    <col min="14857" max="14857" width="16.28515625" style="1" customWidth="1"/>
    <col min="14858" max="14861" width="16.42578125" style="1" customWidth="1"/>
    <col min="14862" max="15104" width="11.28515625" style="1"/>
    <col min="15105" max="15105" width="3.7109375" style="1" customWidth="1"/>
    <col min="15106" max="15106" width="32.7109375" style="1" bestFit="1" customWidth="1"/>
    <col min="15107" max="15107" width="0" style="1" hidden="1" customWidth="1"/>
    <col min="15108" max="15108" width="18" style="1" customWidth="1"/>
    <col min="15109" max="15109" width="17.5703125" style="1" customWidth="1"/>
    <col min="15110" max="15110" width="14.85546875" style="1" customWidth="1"/>
    <col min="15111" max="15112" width="17.85546875" style="1" customWidth="1"/>
    <col min="15113" max="15113" width="16.28515625" style="1" customWidth="1"/>
    <col min="15114" max="15117" width="16.42578125" style="1" customWidth="1"/>
    <col min="15118" max="15360" width="11.28515625" style="1"/>
    <col min="15361" max="15361" width="3.7109375" style="1" customWidth="1"/>
    <col min="15362" max="15362" width="32.7109375" style="1" bestFit="1" customWidth="1"/>
    <col min="15363" max="15363" width="0" style="1" hidden="1" customWidth="1"/>
    <col min="15364" max="15364" width="18" style="1" customWidth="1"/>
    <col min="15365" max="15365" width="17.5703125" style="1" customWidth="1"/>
    <col min="15366" max="15366" width="14.85546875" style="1" customWidth="1"/>
    <col min="15367" max="15368" width="17.85546875" style="1" customWidth="1"/>
    <col min="15369" max="15369" width="16.28515625" style="1" customWidth="1"/>
    <col min="15370" max="15373" width="16.42578125" style="1" customWidth="1"/>
    <col min="15374" max="15616" width="11.28515625" style="1"/>
    <col min="15617" max="15617" width="3.7109375" style="1" customWidth="1"/>
    <col min="15618" max="15618" width="32.7109375" style="1" bestFit="1" customWidth="1"/>
    <col min="15619" max="15619" width="0" style="1" hidden="1" customWidth="1"/>
    <col min="15620" max="15620" width="18" style="1" customWidth="1"/>
    <col min="15621" max="15621" width="17.5703125" style="1" customWidth="1"/>
    <col min="15622" max="15622" width="14.85546875" style="1" customWidth="1"/>
    <col min="15623" max="15624" width="17.85546875" style="1" customWidth="1"/>
    <col min="15625" max="15625" width="16.28515625" style="1" customWidth="1"/>
    <col min="15626" max="15629" width="16.42578125" style="1" customWidth="1"/>
    <col min="15630" max="15872" width="11.28515625" style="1"/>
    <col min="15873" max="15873" width="3.7109375" style="1" customWidth="1"/>
    <col min="15874" max="15874" width="32.7109375" style="1" bestFit="1" customWidth="1"/>
    <col min="15875" max="15875" width="0" style="1" hidden="1" customWidth="1"/>
    <col min="15876" max="15876" width="18" style="1" customWidth="1"/>
    <col min="15877" max="15877" width="17.5703125" style="1" customWidth="1"/>
    <col min="15878" max="15878" width="14.85546875" style="1" customWidth="1"/>
    <col min="15879" max="15880" width="17.85546875" style="1" customWidth="1"/>
    <col min="15881" max="15881" width="16.28515625" style="1" customWidth="1"/>
    <col min="15882" max="15885" width="16.42578125" style="1" customWidth="1"/>
    <col min="15886" max="16128" width="11.28515625" style="1"/>
    <col min="16129" max="16129" width="3.7109375" style="1" customWidth="1"/>
    <col min="16130" max="16130" width="32.7109375" style="1" bestFit="1" customWidth="1"/>
    <col min="16131" max="16131" width="0" style="1" hidden="1" customWidth="1"/>
    <col min="16132" max="16132" width="18" style="1" customWidth="1"/>
    <col min="16133" max="16133" width="17.5703125" style="1" customWidth="1"/>
    <col min="16134" max="16134" width="14.85546875" style="1" customWidth="1"/>
    <col min="16135" max="16136" width="17.85546875" style="1" customWidth="1"/>
    <col min="16137" max="16137" width="16.28515625" style="1" customWidth="1"/>
    <col min="16138" max="16141" width="16.42578125" style="1" customWidth="1"/>
    <col min="16142" max="16384" width="11.28515625" style="1"/>
  </cols>
  <sheetData>
    <row r="4" spans="1:15" ht="26.25" x14ac:dyDescent="0.4">
      <c r="A4" s="56"/>
      <c r="B4" s="57" t="s">
        <v>68</v>
      </c>
      <c r="C4" s="56"/>
      <c r="D4" s="58"/>
      <c r="E4" s="58"/>
    </row>
    <row r="5" spans="1:15" x14ac:dyDescent="0.25">
      <c r="A5" s="56"/>
      <c r="B5" s="56"/>
      <c r="C5" s="56"/>
      <c r="D5" s="58"/>
      <c r="E5" s="58"/>
    </row>
    <row r="6" spans="1:15" x14ac:dyDescent="0.25">
      <c r="A6" s="56"/>
      <c r="B6" s="59"/>
      <c r="C6" s="60">
        <v>2011</v>
      </c>
      <c r="D6" s="61">
        <v>2010</v>
      </c>
      <c r="E6" s="61">
        <v>2011</v>
      </c>
      <c r="F6" s="61">
        <v>2012</v>
      </c>
      <c r="G6" s="61">
        <v>2013</v>
      </c>
      <c r="H6" s="61">
        <v>2014</v>
      </c>
      <c r="I6" s="61">
        <v>2015</v>
      </c>
      <c r="J6" s="61">
        <v>2016</v>
      </c>
      <c r="K6" s="61">
        <v>2017</v>
      </c>
      <c r="L6" s="61">
        <v>2018</v>
      </c>
      <c r="M6" s="61">
        <v>2019</v>
      </c>
      <c r="N6" s="61">
        <v>2020</v>
      </c>
      <c r="O6" s="61">
        <v>2021</v>
      </c>
    </row>
    <row r="7" spans="1:15" x14ac:dyDescent="0.25">
      <c r="A7" s="56"/>
      <c r="B7" s="62" t="s">
        <v>69</v>
      </c>
      <c r="C7" s="60"/>
      <c r="D7" s="60"/>
      <c r="E7" s="60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25">
      <c r="A8" s="56"/>
      <c r="B8" s="59" t="s">
        <v>70</v>
      </c>
      <c r="C8" s="63">
        <v>0</v>
      </c>
      <c r="D8" s="48">
        <v>380.86296940000318</v>
      </c>
      <c r="E8" s="48">
        <v>2198.7128582000068</v>
      </c>
      <c r="F8" s="48">
        <v>6298.0360952000055</v>
      </c>
      <c r="G8" s="48">
        <v>11988.706998758011</v>
      </c>
      <c r="H8" s="48">
        <v>16421.011761214009</v>
      </c>
      <c r="I8" s="48">
        <v>20780.943010046012</v>
      </c>
      <c r="J8" s="48">
        <v>25329.554296426013</v>
      </c>
      <c r="K8" s="48">
        <v>29511.408268166007</v>
      </c>
      <c r="L8" s="48">
        <v>34169.239959158003</v>
      </c>
      <c r="M8" s="48">
        <v>34856.224303712013</v>
      </c>
      <c r="N8" s="48">
        <v>28487.426902000014</v>
      </c>
      <c r="O8" s="48">
        <v>0</v>
      </c>
    </row>
    <row r="9" spans="1:15" x14ac:dyDescent="0.25">
      <c r="A9" s="56"/>
      <c r="B9" s="59" t="s">
        <v>71</v>
      </c>
      <c r="C9" s="63">
        <v>0</v>
      </c>
      <c r="D9" s="48">
        <v>766.23</v>
      </c>
      <c r="E9" s="48">
        <v>4476.28</v>
      </c>
      <c r="F9" s="48">
        <v>13032.12</v>
      </c>
      <c r="G9" s="48">
        <v>24185.64</v>
      </c>
      <c r="H9" s="48">
        <v>34414</v>
      </c>
      <c r="I9" s="48">
        <v>45017.909999999996</v>
      </c>
      <c r="J9" s="48">
        <v>56770.31</v>
      </c>
      <c r="K9" s="48">
        <v>68823.34</v>
      </c>
      <c r="L9" s="48">
        <v>82452.469999999972</v>
      </c>
      <c r="M9" s="48">
        <v>90616.989999999991</v>
      </c>
      <c r="N9" s="48">
        <f>-'Avg NFA'!H109</f>
        <v>90719.719999999987</v>
      </c>
      <c r="O9" s="48">
        <f>-'Avg NFA'!H120</f>
        <v>90719.719999999987</v>
      </c>
    </row>
    <row r="10" spans="1:15" x14ac:dyDescent="0.25">
      <c r="A10" s="56"/>
      <c r="B10" s="59" t="s">
        <v>66</v>
      </c>
      <c r="C10" s="63" t="e">
        <f>-#REF!-#REF!</f>
        <v>#REF!</v>
      </c>
      <c r="D10" s="48">
        <f>-CCA!D15</f>
        <v>-2451.8627999999999</v>
      </c>
      <c r="E10" s="48">
        <f>-CCA!E15</f>
        <v>-12604.097775999999</v>
      </c>
      <c r="F10" s="48">
        <f>-CCA!F15</f>
        <v>-25101.448353920001</v>
      </c>
      <c r="G10" s="48">
        <f>-CCA!G15</f>
        <v>-33073.6132856064</v>
      </c>
      <c r="H10" s="48">
        <f>-CCA!H15</f>
        <v>-38279.847822757889</v>
      </c>
      <c r="I10" s="48">
        <f>-CCA!I15</f>
        <v>-48201.341996937255</v>
      </c>
      <c r="J10" s="48">
        <f>-CCA!J15</f>
        <v>-60325.967037182272</v>
      </c>
      <c r="K10" s="48">
        <f>-CCA!K15</f>
        <v>-72003.431274207687</v>
      </c>
      <c r="L10" s="48">
        <f>-CCA!L15</f>
        <v>-80514.608772271065</v>
      </c>
      <c r="M10" s="48">
        <f>-CCA!M15</f>
        <v>-80556.426870489362</v>
      </c>
      <c r="N10" s="48">
        <f>-CCA!N15</f>
        <v>-77840.647120850175</v>
      </c>
      <c r="O10" s="48">
        <f>-CCA!O15</f>
        <v>-73104.903751182152</v>
      </c>
    </row>
    <row r="11" spans="1:15" x14ac:dyDescent="0.25">
      <c r="A11" s="56"/>
      <c r="B11" s="59" t="s">
        <v>72</v>
      </c>
      <c r="C11" s="51" t="e">
        <f t="shared" ref="C11:I11" si="0">SUM(C8:C10)</f>
        <v>#REF!</v>
      </c>
      <c r="D11" s="51">
        <f t="shared" si="0"/>
        <v>-1304.7698305999966</v>
      </c>
      <c r="E11" s="51">
        <f t="shared" si="0"/>
        <v>-5929.1049177999921</v>
      </c>
      <c r="F11" s="51">
        <f t="shared" si="0"/>
        <v>-5771.2922587199937</v>
      </c>
      <c r="G11" s="51">
        <f t="shared" si="0"/>
        <v>3100.7337131516106</v>
      </c>
      <c r="H11" s="51">
        <f>SUM(H8:H10)</f>
        <v>12555.16393845612</v>
      </c>
      <c r="I11" s="51">
        <f t="shared" si="0"/>
        <v>17597.511013108749</v>
      </c>
      <c r="J11" s="51">
        <f t="shared" ref="J11:O11" si="1">SUM(J8:J10)</f>
        <v>21773.897259243735</v>
      </c>
      <c r="K11" s="51">
        <f t="shared" si="1"/>
        <v>26331.316993958317</v>
      </c>
      <c r="L11" s="51">
        <f t="shared" si="1"/>
        <v>36107.10118688691</v>
      </c>
      <c r="M11" s="51">
        <f t="shared" si="1"/>
        <v>44916.787433222649</v>
      </c>
      <c r="N11" s="51">
        <f t="shared" si="1"/>
        <v>41366.499781149832</v>
      </c>
      <c r="O11" s="51">
        <f t="shared" si="1"/>
        <v>17614.816248817835</v>
      </c>
    </row>
    <row r="12" spans="1:15" x14ac:dyDescent="0.25">
      <c r="A12" s="56"/>
      <c r="B12" s="59" t="s">
        <v>73</v>
      </c>
      <c r="C12" s="64"/>
      <c r="D12" s="65">
        <v>0.31</v>
      </c>
      <c r="E12" s="65">
        <v>0.28249999999999997</v>
      </c>
      <c r="F12" s="65">
        <v>0.26500000000000001</v>
      </c>
      <c r="G12" s="65">
        <v>0.26500000000000001</v>
      </c>
      <c r="H12" s="65">
        <v>0.26500000000000001</v>
      </c>
      <c r="I12" s="65">
        <v>0.26500000000000001</v>
      </c>
      <c r="J12" s="65">
        <v>0.26500000000000001</v>
      </c>
      <c r="K12" s="65">
        <v>0.26500000000000001</v>
      </c>
      <c r="L12" s="65">
        <v>0.26500000000000001</v>
      </c>
      <c r="M12" s="65">
        <v>0.26500000000000001</v>
      </c>
      <c r="N12" s="65">
        <v>0.26500000000000001</v>
      </c>
      <c r="O12" s="65">
        <v>0.26500000000000001</v>
      </c>
    </row>
    <row r="13" spans="1:15" x14ac:dyDescent="0.25">
      <c r="A13" s="56"/>
      <c r="B13" s="59" t="s">
        <v>74</v>
      </c>
      <c r="C13" s="51" t="e">
        <f t="shared" ref="C13:I13" si="2">C11*C12</f>
        <v>#REF!</v>
      </c>
      <c r="D13" s="51">
        <f t="shared" si="2"/>
        <v>-404.47864748599892</v>
      </c>
      <c r="E13" s="51">
        <f t="shared" si="2"/>
        <v>-1674.9721392784977</v>
      </c>
      <c r="F13" s="51">
        <f t="shared" si="2"/>
        <v>-1529.3924485607984</v>
      </c>
      <c r="G13" s="51">
        <f t="shared" si="2"/>
        <v>821.69443398517683</v>
      </c>
      <c r="H13" s="51">
        <f>H11*H12</f>
        <v>3327.118443690872</v>
      </c>
      <c r="I13" s="51">
        <f t="shared" si="2"/>
        <v>4663.3404184738192</v>
      </c>
      <c r="J13" s="51">
        <f t="shared" ref="J13:O13" si="3">J11*J12</f>
        <v>5770.0827736995898</v>
      </c>
      <c r="K13" s="51">
        <f t="shared" si="3"/>
        <v>6977.7990033989545</v>
      </c>
      <c r="L13" s="51">
        <f t="shared" si="3"/>
        <v>9568.3818145250316</v>
      </c>
      <c r="M13" s="51">
        <f t="shared" si="3"/>
        <v>11902.948669804002</v>
      </c>
      <c r="N13" s="51">
        <f t="shared" si="3"/>
        <v>10962.122442004706</v>
      </c>
      <c r="O13" s="51">
        <f t="shared" si="3"/>
        <v>4667.9263059367267</v>
      </c>
    </row>
    <row r="14" spans="1:15" x14ac:dyDescent="0.25">
      <c r="A14" s="56"/>
      <c r="B14" s="59"/>
      <c r="C14" s="59"/>
      <c r="D14" s="59"/>
      <c r="E14" s="66"/>
      <c r="F14" s="66"/>
      <c r="G14" s="66"/>
      <c r="H14" s="66"/>
      <c r="I14" s="66"/>
      <c r="J14" s="67"/>
      <c r="K14" s="67"/>
      <c r="L14" s="67"/>
      <c r="M14" s="67"/>
      <c r="N14" s="67"/>
      <c r="O14" s="67"/>
    </row>
    <row r="15" spans="1:15" x14ac:dyDescent="0.25">
      <c r="A15" s="56"/>
      <c r="B15" s="59"/>
      <c r="C15" s="59"/>
      <c r="D15" s="59"/>
      <c r="E15" s="66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25">
      <c r="A16" s="56"/>
      <c r="B16" s="68" t="s">
        <v>75</v>
      </c>
      <c r="C16" s="59"/>
      <c r="D16" s="59"/>
      <c r="E16" s="66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25">
      <c r="A17" s="56"/>
      <c r="B17" s="59"/>
      <c r="C17" s="60" t="s">
        <v>76</v>
      </c>
      <c r="D17" s="60" t="s">
        <v>76</v>
      </c>
      <c r="E17" s="60" t="s">
        <v>76</v>
      </c>
      <c r="F17" s="60" t="s">
        <v>76</v>
      </c>
      <c r="G17" s="60" t="s">
        <v>76</v>
      </c>
      <c r="H17" s="60" t="s">
        <v>76</v>
      </c>
      <c r="I17" s="60" t="s">
        <v>76</v>
      </c>
      <c r="J17" s="60" t="s">
        <v>76</v>
      </c>
      <c r="K17" s="60" t="s">
        <v>76</v>
      </c>
      <c r="L17" s="60" t="s">
        <v>76</v>
      </c>
      <c r="M17" s="60" t="s">
        <v>76</v>
      </c>
      <c r="N17" s="60" t="s">
        <v>76</v>
      </c>
      <c r="O17" s="60" t="s">
        <v>76</v>
      </c>
    </row>
    <row r="18" spans="1:15" x14ac:dyDescent="0.25">
      <c r="A18" s="56"/>
      <c r="B18" s="59" t="s">
        <v>77</v>
      </c>
      <c r="C18" s="48" t="e">
        <f t="shared" ref="C18:I18" si="4">C13</f>
        <v>#REF!</v>
      </c>
      <c r="D18" s="48">
        <f t="shared" si="4"/>
        <v>-404.47864748599892</v>
      </c>
      <c r="E18" s="48">
        <f t="shared" si="4"/>
        <v>-1674.9721392784977</v>
      </c>
      <c r="F18" s="48">
        <f t="shared" si="4"/>
        <v>-1529.3924485607984</v>
      </c>
      <c r="G18" s="48">
        <f t="shared" si="4"/>
        <v>821.69443398517683</v>
      </c>
      <c r="H18" s="48">
        <f>H13</f>
        <v>3327.118443690872</v>
      </c>
      <c r="I18" s="48">
        <f t="shared" si="4"/>
        <v>4663.3404184738192</v>
      </c>
      <c r="J18" s="48">
        <f t="shared" ref="J18:O18" si="5">J13</f>
        <v>5770.0827736995898</v>
      </c>
      <c r="K18" s="48">
        <f t="shared" si="5"/>
        <v>6977.7990033989545</v>
      </c>
      <c r="L18" s="48">
        <f t="shared" si="5"/>
        <v>9568.3818145250316</v>
      </c>
      <c r="M18" s="48">
        <f t="shared" si="5"/>
        <v>11902.948669804002</v>
      </c>
      <c r="N18" s="48">
        <f t="shared" si="5"/>
        <v>10962.122442004706</v>
      </c>
      <c r="O18" s="48">
        <f t="shared" si="5"/>
        <v>4667.9263059367267</v>
      </c>
    </row>
    <row r="19" spans="1:15" x14ac:dyDescent="0.25">
      <c r="A19" s="56"/>
      <c r="B19" s="59" t="s">
        <v>78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</row>
    <row r="20" spans="1:15" x14ac:dyDescent="0.25">
      <c r="A20" s="56"/>
      <c r="B20" s="59" t="s">
        <v>79</v>
      </c>
      <c r="C20" s="51" t="e">
        <f t="shared" ref="C20:I20" si="6">SUM(C18:C19)</f>
        <v>#REF!</v>
      </c>
      <c r="D20" s="51">
        <f t="shared" si="6"/>
        <v>-404.47864748599892</v>
      </c>
      <c r="E20" s="51">
        <f t="shared" si="6"/>
        <v>-1674.9721392784977</v>
      </c>
      <c r="F20" s="51">
        <f t="shared" si="6"/>
        <v>-1529.3924485607984</v>
      </c>
      <c r="G20" s="51">
        <f t="shared" si="6"/>
        <v>821.69443398517683</v>
      </c>
      <c r="H20" s="51">
        <f>SUM(H18:H19)</f>
        <v>3327.118443690872</v>
      </c>
      <c r="I20" s="51">
        <f t="shared" si="6"/>
        <v>4663.3404184738192</v>
      </c>
      <c r="J20" s="51">
        <f t="shared" ref="J20:O20" si="7">SUM(J18:J19)</f>
        <v>5770.0827736995898</v>
      </c>
      <c r="K20" s="51">
        <f t="shared" si="7"/>
        <v>6977.7990033989545</v>
      </c>
      <c r="L20" s="51">
        <f t="shared" si="7"/>
        <v>9568.3818145250316</v>
      </c>
      <c r="M20" s="51">
        <f t="shared" si="7"/>
        <v>11902.948669804002</v>
      </c>
      <c r="N20" s="51">
        <f t="shared" si="7"/>
        <v>10962.122442004706</v>
      </c>
      <c r="O20" s="51">
        <f t="shared" si="7"/>
        <v>4667.9263059367267</v>
      </c>
    </row>
    <row r="21" spans="1:15" x14ac:dyDescent="0.25">
      <c r="A21" s="58"/>
      <c r="B21" s="66"/>
      <c r="C21" s="66"/>
      <c r="D21" s="66"/>
      <c r="E21" s="66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25">
      <c r="A22" s="58"/>
      <c r="B22" s="66"/>
      <c r="C22" s="60"/>
      <c r="D22" s="60"/>
      <c r="E22" s="60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25">
      <c r="A23" s="58"/>
      <c r="B23" s="66"/>
      <c r="C23" s="69"/>
      <c r="D23" s="69"/>
      <c r="E23" s="69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25">
      <c r="A24" s="58"/>
      <c r="B24" s="66"/>
      <c r="C24" s="60">
        <v>2011</v>
      </c>
      <c r="D24" s="61">
        <v>2010</v>
      </c>
      <c r="E24" s="61">
        <v>2011</v>
      </c>
      <c r="F24" s="61">
        <v>2012</v>
      </c>
      <c r="G24" s="61">
        <v>2013</v>
      </c>
      <c r="H24" s="61">
        <v>2014</v>
      </c>
      <c r="I24" s="61">
        <v>2015</v>
      </c>
      <c r="J24" s="61">
        <v>2016</v>
      </c>
      <c r="K24" s="61">
        <v>2017</v>
      </c>
      <c r="L24" s="61">
        <v>2018</v>
      </c>
      <c r="M24" s="61">
        <v>2019</v>
      </c>
      <c r="N24" s="61">
        <v>2020</v>
      </c>
      <c r="O24" s="61">
        <v>2020</v>
      </c>
    </row>
    <row r="25" spans="1:15" ht="30" x14ac:dyDescent="0.25">
      <c r="A25" s="58"/>
      <c r="B25" s="66"/>
      <c r="C25" s="70" t="s">
        <v>80</v>
      </c>
      <c r="D25" s="70" t="s">
        <v>80</v>
      </c>
      <c r="E25" s="70" t="s">
        <v>80</v>
      </c>
      <c r="F25" s="70" t="s">
        <v>80</v>
      </c>
      <c r="G25" s="70" t="s">
        <v>80</v>
      </c>
      <c r="H25" s="70" t="s">
        <v>80</v>
      </c>
      <c r="I25" s="70" t="s">
        <v>80</v>
      </c>
      <c r="J25" s="70" t="s">
        <v>80</v>
      </c>
      <c r="K25" s="70" t="s">
        <v>80</v>
      </c>
      <c r="L25" s="70" t="s">
        <v>80</v>
      </c>
      <c r="M25" s="70" t="s">
        <v>80</v>
      </c>
      <c r="N25" s="70" t="s">
        <v>80</v>
      </c>
      <c r="O25" s="70" t="s">
        <v>80</v>
      </c>
    </row>
    <row r="26" spans="1:15" x14ac:dyDescent="0.25">
      <c r="A26" s="58"/>
      <c r="B26" s="59" t="s">
        <v>77</v>
      </c>
      <c r="C26" s="48" t="e">
        <f t="shared" ref="C26:I26" si="8">C18/(1-C12)</f>
        <v>#REF!</v>
      </c>
      <c r="D26" s="48">
        <f t="shared" si="8"/>
        <v>-586.20093838550576</v>
      </c>
      <c r="E26" s="48">
        <f t="shared" si="8"/>
        <v>-2334.4559432452929</v>
      </c>
      <c r="F26" s="48">
        <f t="shared" si="8"/>
        <v>-2080.8060524636712</v>
      </c>
      <c r="G26" s="48">
        <f t="shared" si="8"/>
        <v>1117.9516108641863</v>
      </c>
      <c r="H26" s="48">
        <f>H18/(1-H12)</f>
        <v>4526.6917601236355</v>
      </c>
      <c r="I26" s="48">
        <f t="shared" si="8"/>
        <v>6344.6808414609786</v>
      </c>
      <c r="J26" s="48">
        <f t="shared" ref="J26:O26" si="9">J18/(1-J12)</f>
        <v>7850.4527533327755</v>
      </c>
      <c r="K26" s="48">
        <f t="shared" si="9"/>
        <v>9493.6040862570808</v>
      </c>
      <c r="L26" s="48">
        <f t="shared" si="9"/>
        <v>13018.206550374192</v>
      </c>
      <c r="M26" s="48">
        <f t="shared" si="9"/>
        <v>16194.487986127893</v>
      </c>
      <c r="N26" s="48">
        <f t="shared" si="9"/>
        <v>14914.452302047219</v>
      </c>
      <c r="O26" s="48">
        <f t="shared" si="9"/>
        <v>6350.9201441316009</v>
      </c>
    </row>
    <row r="27" spans="1:15" x14ac:dyDescent="0.25">
      <c r="A27" s="58"/>
      <c r="B27" s="59" t="s">
        <v>78</v>
      </c>
      <c r="C27" s="71">
        <f t="shared" ref="C27:I27" si="10">C19</f>
        <v>0</v>
      </c>
      <c r="D27" s="71">
        <f t="shared" si="10"/>
        <v>0</v>
      </c>
      <c r="E27" s="71">
        <f t="shared" si="10"/>
        <v>0</v>
      </c>
      <c r="F27" s="71">
        <f t="shared" si="10"/>
        <v>0</v>
      </c>
      <c r="G27" s="71">
        <f t="shared" si="10"/>
        <v>0</v>
      </c>
      <c r="H27" s="71">
        <f>H19</f>
        <v>0</v>
      </c>
      <c r="I27" s="71">
        <f t="shared" si="10"/>
        <v>0</v>
      </c>
      <c r="J27" s="71">
        <f t="shared" ref="J27:O27" si="11">J19</f>
        <v>0</v>
      </c>
      <c r="K27" s="71">
        <f t="shared" si="11"/>
        <v>0</v>
      </c>
      <c r="L27" s="71">
        <f t="shared" si="11"/>
        <v>0</v>
      </c>
      <c r="M27" s="71">
        <f t="shared" si="11"/>
        <v>0</v>
      </c>
      <c r="N27" s="71">
        <f t="shared" si="11"/>
        <v>0</v>
      </c>
      <c r="O27" s="71">
        <f t="shared" si="11"/>
        <v>0</v>
      </c>
    </row>
    <row r="28" spans="1:15" x14ac:dyDescent="0.25">
      <c r="A28" s="58"/>
      <c r="B28" s="59" t="s">
        <v>79</v>
      </c>
      <c r="C28" s="72" t="e">
        <f t="shared" ref="C28:I28" si="12">SUM(C26:C27)</f>
        <v>#REF!</v>
      </c>
      <c r="D28" s="73">
        <f t="shared" si="12"/>
        <v>-586.20093838550576</v>
      </c>
      <c r="E28" s="73">
        <f t="shared" si="12"/>
        <v>-2334.4559432452929</v>
      </c>
      <c r="F28" s="73">
        <f t="shared" si="12"/>
        <v>-2080.8060524636712</v>
      </c>
      <c r="G28" s="73">
        <f t="shared" si="12"/>
        <v>1117.9516108641863</v>
      </c>
      <c r="H28" s="73">
        <f>SUM(H26:H27)</f>
        <v>4526.6917601236355</v>
      </c>
      <c r="I28" s="73">
        <f t="shared" si="12"/>
        <v>6344.6808414609786</v>
      </c>
      <c r="J28" s="73">
        <f t="shared" ref="J28:O28" si="13">SUM(J26:J27)</f>
        <v>7850.4527533327755</v>
      </c>
      <c r="K28" s="73">
        <f t="shared" si="13"/>
        <v>9493.6040862570808</v>
      </c>
      <c r="L28" s="73">
        <f t="shared" si="13"/>
        <v>13018.206550374192</v>
      </c>
      <c r="M28" s="73">
        <f t="shared" si="13"/>
        <v>16194.487986127893</v>
      </c>
      <c r="N28" s="73">
        <f t="shared" si="13"/>
        <v>14914.452302047219</v>
      </c>
      <c r="O28" s="73">
        <f t="shared" si="13"/>
        <v>6350.9201441316009</v>
      </c>
    </row>
    <row r="29" spans="1:15" x14ac:dyDescent="0.25">
      <c r="B29" s="4"/>
      <c r="C29" s="4"/>
      <c r="D29" s="4"/>
      <c r="E29" s="4"/>
      <c r="F29" s="4"/>
      <c r="G29" s="4"/>
      <c r="H29" s="4"/>
      <c r="I29" s="4"/>
      <c r="J29" s="4"/>
      <c r="K29" s="74"/>
      <c r="L29" s="74"/>
      <c r="M29" s="74"/>
    </row>
    <row r="30" spans="1:15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5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5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2:13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2:13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2:13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</sheetData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Revenue Requirement</vt:lpstr>
      <vt:lpstr>Avg NFA</vt:lpstr>
      <vt:lpstr>CCA</vt:lpstr>
      <vt:lpstr>PILs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Cheng</dc:creator>
  <cp:lastModifiedBy>Natalie Yeates</cp:lastModifiedBy>
  <cp:lastPrinted>2020-08-13T22:06:19Z</cp:lastPrinted>
  <dcterms:created xsi:type="dcterms:W3CDTF">2018-05-23T20:10:03Z</dcterms:created>
  <dcterms:modified xsi:type="dcterms:W3CDTF">2020-08-13T22:06:24Z</dcterms:modified>
</cp:coreProperties>
</file>