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Finance\2021 COS rate application\Application\"/>
    </mc:Choice>
  </mc:AlternateContent>
  <bookViews>
    <workbookView xWindow="0" yWindow="0" windowWidth="27045" windowHeight="12570" firstSheet="1" activeTab="3"/>
  </bookViews>
  <sheets>
    <sheet name="2020 Commodity Expense Forecast" sheetId="2" r:id="rId1"/>
    <sheet name="2020 Cost of Power" sheetId="1" r:id="rId2"/>
    <sheet name="2021 Commodity Expense Forecast" sheetId="3" r:id="rId3"/>
    <sheet name="2021 Cost of Power" sheetId="4" r:id="rId4"/>
  </sheets>
  <externalReferences>
    <externalReference r:id="rId5"/>
    <externalReference r:id="rId6"/>
    <externalReference r:id="rId7"/>
    <externalReference r:id="rId8"/>
    <externalReference r:id="rId9"/>
    <externalReference r:id="rId10"/>
    <externalReference r:id="rId11"/>
  </externalReferences>
  <definedNames>
    <definedName name="BI_LDCLIST">'[1]3. Rate Class Selection'!$B$19:$B$21</definedName>
    <definedName name="BridgeYear">'[2]LDC Info'!$E$26</definedName>
    <definedName name="contactf" localSheetId="2">#REF!</definedName>
    <definedName name="contactf" localSheetId="3">#REF!</definedName>
    <definedName name="contactf">#REF!</definedName>
    <definedName name="CustomerAdministration">[2]lists!$Z$1:$Z$36</definedName>
    <definedName name="EBNUMBER">'[2]LDC Info'!$E$16</definedName>
    <definedName name="Fixed_Charges">[2]lists!$I$1:$I$212</definedName>
    <definedName name="histdate">[3]Financials!$E$76</definedName>
    <definedName name="Incr2000" localSheetId="2">#REF!</definedName>
    <definedName name="Incr2000" localSheetId="3">#REF!</definedName>
    <definedName name="Incr2000">#REF!</definedName>
    <definedName name="LDC_LIST">[4]lists!$AM$1:$AM$80</definedName>
    <definedName name="LIMIT" localSheetId="2">#REF!</definedName>
    <definedName name="LIMIT" localSheetId="3">#REF!</definedName>
    <definedName name="LIMIT">#REF!</definedName>
    <definedName name="LossFactors">[2]lists!$L$2:$L$15</definedName>
    <definedName name="man_beg_bud" localSheetId="2">#REF!</definedName>
    <definedName name="man_beg_bud" localSheetId="3">#REF!</definedName>
    <definedName name="man_beg_bud">#REF!</definedName>
    <definedName name="man_end_bud" localSheetId="2">#REF!</definedName>
    <definedName name="man_end_bud" localSheetId="3">#REF!</definedName>
    <definedName name="man_end_bud">#REF!</definedName>
    <definedName name="man12ACT" localSheetId="2">#REF!</definedName>
    <definedName name="man12ACT" localSheetId="3">#REF!</definedName>
    <definedName name="man12ACT">#REF!</definedName>
    <definedName name="MANBUD" localSheetId="2">#REF!</definedName>
    <definedName name="MANBUD" localSheetId="3">#REF!</definedName>
    <definedName name="MANBUD">#REF!</definedName>
    <definedName name="manCYACT" localSheetId="2">#REF!</definedName>
    <definedName name="manCYACT" localSheetId="3">#REF!</definedName>
    <definedName name="manCYACT">#REF!</definedName>
    <definedName name="manCYBUD" localSheetId="2">#REF!</definedName>
    <definedName name="manCYBUD" localSheetId="3">#REF!</definedName>
    <definedName name="manCYBUD">#REF!</definedName>
    <definedName name="manCYF" localSheetId="2">#REF!</definedName>
    <definedName name="manCYF" localSheetId="3">#REF!</definedName>
    <definedName name="manCYF">#REF!</definedName>
    <definedName name="MANEND" localSheetId="2">#REF!</definedName>
    <definedName name="MANEND" localSheetId="3">#REF!</definedName>
    <definedName name="MANEND">#REF!</definedName>
    <definedName name="manNYbud" localSheetId="2">#REF!</definedName>
    <definedName name="manNYbud" localSheetId="3">#REF!</definedName>
    <definedName name="manNYbud">#REF!</definedName>
    <definedName name="manpower_costs" localSheetId="2">#REF!</definedName>
    <definedName name="manpower_costs" localSheetId="3">#REF!</definedName>
    <definedName name="manpower_costs">#REF!</definedName>
    <definedName name="manPYACT" localSheetId="2">#REF!</definedName>
    <definedName name="manPYACT" localSheetId="3">#REF!</definedName>
    <definedName name="manPYACT">#REF!</definedName>
    <definedName name="MANSTART" localSheetId="2">#REF!</definedName>
    <definedName name="MANSTART" localSheetId="3">#REF!</definedName>
    <definedName name="MANSTART">#REF!</definedName>
    <definedName name="mat_beg_bud" localSheetId="2">#REF!</definedName>
    <definedName name="mat_beg_bud" localSheetId="3">#REF!</definedName>
    <definedName name="mat_beg_bud">#REF!</definedName>
    <definedName name="mat_end_bud" localSheetId="2">#REF!</definedName>
    <definedName name="mat_end_bud" localSheetId="3">#REF!</definedName>
    <definedName name="mat_end_bud">#REF!</definedName>
    <definedName name="mat12ACT" localSheetId="2">#REF!</definedName>
    <definedName name="mat12ACT" localSheetId="3">#REF!</definedName>
    <definedName name="mat12ACT">#REF!</definedName>
    <definedName name="MATBUD" localSheetId="2">#REF!</definedName>
    <definedName name="MATBUD" localSheetId="3">#REF!</definedName>
    <definedName name="MATBUD">#REF!</definedName>
    <definedName name="matCYACT" localSheetId="2">#REF!</definedName>
    <definedName name="matCYACT" localSheetId="3">#REF!</definedName>
    <definedName name="matCYACT">#REF!</definedName>
    <definedName name="matCYBUD" localSheetId="2">#REF!</definedName>
    <definedName name="matCYBUD" localSheetId="3">#REF!</definedName>
    <definedName name="matCYBUD">#REF!</definedName>
    <definedName name="matCYF" localSheetId="2">#REF!</definedName>
    <definedName name="matCYF" localSheetId="3">#REF!</definedName>
    <definedName name="matCYF">#REF!</definedName>
    <definedName name="MATEND" localSheetId="2">#REF!</definedName>
    <definedName name="MATEND" localSheetId="3">#REF!</definedName>
    <definedName name="MATEND">#REF!</definedName>
    <definedName name="material_costs" localSheetId="2">#REF!</definedName>
    <definedName name="material_costs" localSheetId="3">#REF!</definedName>
    <definedName name="material_costs">#REF!</definedName>
    <definedName name="matNYbud" localSheetId="2">#REF!</definedName>
    <definedName name="matNYbud" localSheetId="3">#REF!</definedName>
    <definedName name="matNYbud">#REF!</definedName>
    <definedName name="matPYACT" localSheetId="2">#REF!</definedName>
    <definedName name="matPYACT" localSheetId="3">#REF!</definedName>
    <definedName name="matPYACT">#REF!</definedName>
    <definedName name="MATSTART" localSheetId="2">#REF!</definedName>
    <definedName name="MATSTART" localSheetId="3">#REF!</definedName>
    <definedName name="MATSTART">#REF!</definedName>
    <definedName name="NonPayment">[2]lists!$AA$1:$AA$71</definedName>
    <definedName name="oth_beg_bud" localSheetId="2">#REF!</definedName>
    <definedName name="oth_beg_bud" localSheetId="3">#REF!</definedName>
    <definedName name="oth_beg_bud">#REF!</definedName>
    <definedName name="oth_end_bud" localSheetId="2">#REF!</definedName>
    <definedName name="oth_end_bud" localSheetId="3">#REF!</definedName>
    <definedName name="oth_end_bud">#REF!</definedName>
    <definedName name="oth12ACT" localSheetId="2">#REF!</definedName>
    <definedName name="oth12ACT" localSheetId="3">#REF!</definedName>
    <definedName name="oth12ACT">#REF!</definedName>
    <definedName name="othCYACT" localSheetId="2">#REF!</definedName>
    <definedName name="othCYACT" localSheetId="3">#REF!</definedName>
    <definedName name="othCYACT">#REF!</definedName>
    <definedName name="othCYBUD" localSheetId="2">#REF!</definedName>
    <definedName name="othCYBUD" localSheetId="3">#REF!</definedName>
    <definedName name="othCYBUD">#REF!</definedName>
    <definedName name="othCYF" localSheetId="2">#REF!</definedName>
    <definedName name="othCYF" localSheetId="3">#REF!</definedName>
    <definedName name="othCYF">#REF!</definedName>
    <definedName name="OTHEND" localSheetId="2">#REF!</definedName>
    <definedName name="OTHEND" localSheetId="3">#REF!</definedName>
    <definedName name="OTHEND">#REF!</definedName>
    <definedName name="other_costs" localSheetId="2">#REF!</definedName>
    <definedName name="other_costs" localSheetId="3">#REF!</definedName>
    <definedName name="other_costs">#REF!</definedName>
    <definedName name="OTHERBUD" localSheetId="2">#REF!</definedName>
    <definedName name="OTHERBUD" localSheetId="3">#REF!</definedName>
    <definedName name="OTHERBUD">#REF!</definedName>
    <definedName name="othNYbud" localSheetId="2">#REF!</definedName>
    <definedName name="othNYbud" localSheetId="3">#REF!</definedName>
    <definedName name="othNYbud">#REF!</definedName>
    <definedName name="othPYACT" localSheetId="2">#REF!</definedName>
    <definedName name="othPYACT" localSheetId="3">#REF!</definedName>
    <definedName name="othPYACT">#REF!</definedName>
    <definedName name="OTHSTART" localSheetId="2">#REF!</definedName>
    <definedName name="OTHSTART" localSheetId="3">#REF!</definedName>
    <definedName name="OTHSTART">#REF!</definedName>
    <definedName name="print_end" localSheetId="2">#REF!</definedName>
    <definedName name="print_end" localSheetId="3">#REF!</definedName>
    <definedName name="print_end">#REF!</definedName>
    <definedName name="ratedescription">[5]hidden1!$D$1:$D$122</definedName>
    <definedName name="RebaseYear">'[2]LDC Info'!$E$28</definedName>
    <definedName name="SALBENF" localSheetId="2">#REF!</definedName>
    <definedName name="SALBENF" localSheetId="3">#REF!</definedName>
    <definedName name="SALBENF">#REF!</definedName>
    <definedName name="salreg" localSheetId="2">#REF!</definedName>
    <definedName name="salreg" localSheetId="3">#REF!</definedName>
    <definedName name="salreg">#REF!</definedName>
    <definedName name="SALREGF" localSheetId="2">#REF!</definedName>
    <definedName name="SALREGF" localSheetId="3">#REF!</definedName>
    <definedName name="SALREGF">#REF!</definedName>
    <definedName name="TEMPA" localSheetId="2">#REF!</definedName>
    <definedName name="TEMPA" localSheetId="3">#REF!</definedName>
    <definedName name="TEMPA">#REF!</definedName>
    <definedName name="TestYear">'[6]LDC Info'!$E$24</definedName>
    <definedName name="total_dept" localSheetId="2">#REF!</definedName>
    <definedName name="total_dept" localSheetId="3">#REF!</definedName>
    <definedName name="total_dept">#REF!</definedName>
    <definedName name="total_manpower" localSheetId="2">#REF!</definedName>
    <definedName name="total_manpower" localSheetId="3">#REF!</definedName>
    <definedName name="total_manpower">#REF!</definedName>
    <definedName name="total_material" localSheetId="2">#REF!</definedName>
    <definedName name="total_material" localSheetId="3">#REF!</definedName>
    <definedName name="total_material">#REF!</definedName>
    <definedName name="total_other" localSheetId="2">#REF!</definedName>
    <definedName name="total_other" localSheetId="3">#REF!</definedName>
    <definedName name="total_other">#REF!</definedName>
    <definedName name="total_transportation" localSheetId="2">#REF!</definedName>
    <definedName name="total_transportation" localSheetId="3">#REF!</definedName>
    <definedName name="total_transportation">#REF!</definedName>
    <definedName name="TRANBUD" localSheetId="2">#REF!</definedName>
    <definedName name="TRANBUD" localSheetId="3">#REF!</definedName>
    <definedName name="TRANBUD">#REF!</definedName>
    <definedName name="TRANEND" localSheetId="2">#REF!</definedName>
    <definedName name="TRANEND" localSheetId="3">#REF!</definedName>
    <definedName name="TRANEND">#REF!</definedName>
    <definedName name="transportation_costs" localSheetId="2">#REF!</definedName>
    <definedName name="transportation_costs" localSheetId="3">#REF!</definedName>
    <definedName name="transportation_costs">#REF!</definedName>
    <definedName name="TRANSTART" localSheetId="2">#REF!</definedName>
    <definedName name="TRANSTART" localSheetId="3">#REF!</definedName>
    <definedName name="TRANSTART">#REF!</definedName>
    <definedName name="trn_beg_bud" localSheetId="2">#REF!</definedName>
    <definedName name="trn_beg_bud" localSheetId="3">#REF!</definedName>
    <definedName name="trn_beg_bud">#REF!</definedName>
    <definedName name="trn_end_bud" localSheetId="2">#REF!</definedName>
    <definedName name="trn_end_bud" localSheetId="3">#REF!</definedName>
    <definedName name="trn_end_bud">#REF!</definedName>
    <definedName name="trn12ACT" localSheetId="2">#REF!</definedName>
    <definedName name="trn12ACT" localSheetId="3">#REF!</definedName>
    <definedName name="trn12ACT">#REF!</definedName>
    <definedName name="trnCYACT" localSheetId="2">#REF!</definedName>
    <definedName name="trnCYACT" localSheetId="3">#REF!</definedName>
    <definedName name="trnCYACT">#REF!</definedName>
    <definedName name="trnCYBUD" localSheetId="2">#REF!</definedName>
    <definedName name="trnCYBUD" localSheetId="3">#REF!</definedName>
    <definedName name="trnCYBUD">#REF!</definedName>
    <definedName name="trnCYF" localSheetId="2">#REF!</definedName>
    <definedName name="trnCYF" localSheetId="3">#REF!</definedName>
    <definedName name="trnCYF">#REF!</definedName>
    <definedName name="trnNYbud" localSheetId="2">#REF!</definedName>
    <definedName name="trnNYbud" localSheetId="3">#REF!</definedName>
    <definedName name="trnNYbud">#REF!</definedName>
    <definedName name="trnPYACT" localSheetId="2">#REF!</definedName>
    <definedName name="trnPYACT" localSheetId="3">#REF!</definedName>
    <definedName name="trnPYACT">#REF!</definedName>
    <definedName name="Units">[2]lists!$N$2:$N$5</definedName>
    <definedName name="Utility">[3]Financials!$A$1</definedName>
    <definedName name="utitliy1">[7]Financials!$A$1</definedName>
    <definedName name="WAGBENF" localSheetId="2">#REF!</definedName>
    <definedName name="WAGBENF" localSheetId="3">#REF!</definedName>
    <definedName name="WAGBENF">#REF!</definedName>
    <definedName name="wagdob" localSheetId="2">#REF!</definedName>
    <definedName name="wagdob" localSheetId="3">#REF!</definedName>
    <definedName name="wagdob">#REF!</definedName>
    <definedName name="wagdobf" localSheetId="2">#REF!</definedName>
    <definedName name="wagdobf" localSheetId="3">#REF!</definedName>
    <definedName name="wagdobf">#REF!</definedName>
    <definedName name="wagreg" localSheetId="2">#REF!</definedName>
    <definedName name="wagreg" localSheetId="3">#REF!</definedName>
    <definedName name="wagreg">#REF!</definedName>
    <definedName name="wagregf" localSheetId="2">#REF!</definedName>
    <definedName name="wagregf" localSheetId="3">#REF!</definedName>
    <definedName name="wagregf">#REF!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4" l="1"/>
  <c r="K3" i="4"/>
  <c r="K4" i="4"/>
  <c r="K5" i="4"/>
  <c r="K2" i="4"/>
  <c r="L8" i="3"/>
  <c r="L3" i="3"/>
  <c r="L4" i="3"/>
  <c r="L5" i="3"/>
  <c r="L2" i="3"/>
  <c r="K8" i="1"/>
  <c r="K3" i="1"/>
  <c r="K4" i="1"/>
  <c r="K5" i="1"/>
  <c r="K2" i="1"/>
  <c r="E91" i="4" l="1"/>
  <c r="I91" i="4" s="1"/>
  <c r="E69" i="4"/>
  <c r="I49" i="4"/>
  <c r="I51" i="4"/>
  <c r="I50" i="4"/>
  <c r="I48" i="4"/>
  <c r="I47" i="4"/>
  <c r="I40" i="4"/>
  <c r="I38" i="4"/>
  <c r="I46" i="4"/>
  <c r="H50" i="4"/>
  <c r="I37" i="4"/>
  <c r="I36" i="4"/>
  <c r="I35" i="4"/>
  <c r="D51" i="4"/>
  <c r="J30" i="4"/>
  <c r="J19" i="4"/>
  <c r="F19" i="4"/>
  <c r="D19" i="4"/>
  <c r="F92" i="4"/>
  <c r="J85" i="4"/>
  <c r="F85" i="4"/>
  <c r="A85" i="4"/>
  <c r="A84" i="4"/>
  <c r="A83" i="4"/>
  <c r="A82" i="4"/>
  <c r="A81" i="4"/>
  <c r="A80" i="4"/>
  <c r="A79" i="4"/>
  <c r="F63" i="4"/>
  <c r="I57" i="4"/>
  <c r="H52" i="4"/>
  <c r="J52" i="4" s="1"/>
  <c r="F52" i="4"/>
  <c r="J41" i="4"/>
  <c r="F41" i="4"/>
  <c r="A41" i="4"/>
  <c r="A52" i="4" s="1"/>
  <c r="D31" i="4"/>
  <c r="F30" i="4"/>
  <c r="A30" i="4"/>
  <c r="F29" i="4"/>
  <c r="F28" i="4"/>
  <c r="F27" i="4"/>
  <c r="A27" i="4"/>
  <c r="A38" i="4" s="1"/>
  <c r="A49" i="4" s="1"/>
  <c r="A60" i="4" s="1"/>
  <c r="F26" i="4"/>
  <c r="F25" i="4"/>
  <c r="A25" i="4"/>
  <c r="A36" i="4" s="1"/>
  <c r="A47" i="4" s="1"/>
  <c r="A58" i="4" s="1"/>
  <c r="F24" i="4"/>
  <c r="F31" i="4" s="1"/>
  <c r="H19" i="4"/>
  <c r="H74" i="4" s="1"/>
  <c r="D74" i="4"/>
  <c r="A18" i="4"/>
  <c r="A29" i="4" s="1"/>
  <c r="A40" i="4" s="1"/>
  <c r="A51" i="4" s="1"/>
  <c r="A62" i="4" s="1"/>
  <c r="A17" i="4"/>
  <c r="A28" i="4" s="1"/>
  <c r="A39" i="4" s="1"/>
  <c r="A50" i="4" s="1"/>
  <c r="A61" i="4" s="1"/>
  <c r="A16" i="4"/>
  <c r="A15" i="4"/>
  <c r="A26" i="4" s="1"/>
  <c r="A37" i="4" s="1"/>
  <c r="A48" i="4" s="1"/>
  <c r="A14" i="4"/>
  <c r="A13" i="4"/>
  <c r="A24" i="4" s="1"/>
  <c r="A35" i="4" s="1"/>
  <c r="A46" i="4" s="1"/>
  <c r="A57" i="4" s="1"/>
  <c r="F12" i="4"/>
  <c r="B58" i="3"/>
  <c r="L57" i="3"/>
  <c r="B57" i="3"/>
  <c r="K56" i="3"/>
  <c r="B56" i="3"/>
  <c r="K55" i="3"/>
  <c r="B55" i="3"/>
  <c r="K54" i="3"/>
  <c r="B54" i="3"/>
  <c r="K53" i="3"/>
  <c r="B53" i="3"/>
  <c r="K52" i="3"/>
  <c r="B52" i="3"/>
  <c r="K51" i="3"/>
  <c r="B51" i="3"/>
  <c r="G48" i="3"/>
  <c r="F46" i="3"/>
  <c r="L44" i="3"/>
  <c r="K37" i="3"/>
  <c r="J37" i="3"/>
  <c r="L37" i="3" s="1"/>
  <c r="K36" i="3"/>
  <c r="L36" i="3" s="1"/>
  <c r="J36" i="3"/>
  <c r="K35" i="3"/>
  <c r="L35" i="3" s="1"/>
  <c r="J35" i="3"/>
  <c r="K34" i="3"/>
  <c r="J34" i="3"/>
  <c r="K33" i="3"/>
  <c r="J33" i="3"/>
  <c r="K32" i="3"/>
  <c r="J32" i="3"/>
  <c r="K31" i="3"/>
  <c r="J31" i="3"/>
  <c r="K30" i="3"/>
  <c r="J30" i="3"/>
  <c r="K29" i="3"/>
  <c r="J29" i="3"/>
  <c r="H20" i="3"/>
  <c r="I90" i="1"/>
  <c r="F51" i="4" l="1"/>
  <c r="I39" i="4"/>
  <c r="J39" i="4" s="1"/>
  <c r="J50" i="4"/>
  <c r="E91" i="1"/>
  <c r="I91" i="1" s="1"/>
  <c r="F40" i="4"/>
  <c r="I90" i="4"/>
  <c r="E70" i="4"/>
  <c r="I69" i="4"/>
  <c r="I59" i="4"/>
  <c r="I58" i="4"/>
  <c r="I68" i="4"/>
  <c r="I84" i="1"/>
  <c r="I83" i="1"/>
  <c r="I82" i="1"/>
  <c r="I81" i="1"/>
  <c r="I80" i="1"/>
  <c r="I79" i="1"/>
  <c r="I68" i="1"/>
  <c r="H74" i="1"/>
  <c r="D74" i="1"/>
  <c r="E69" i="1" l="1"/>
  <c r="I60" i="4"/>
  <c r="E71" i="4"/>
  <c r="I70" i="4"/>
  <c r="E70" i="1" l="1"/>
  <c r="I69" i="1"/>
  <c r="I58" i="1"/>
  <c r="I57" i="1"/>
  <c r="I61" i="4"/>
  <c r="I71" i="4"/>
  <c r="E72" i="4"/>
  <c r="I50" i="1"/>
  <c r="I51" i="1"/>
  <c r="I49" i="1"/>
  <c r="I48" i="1"/>
  <c r="I47" i="1"/>
  <c r="I46" i="1"/>
  <c r="H52" i="1"/>
  <c r="H50" i="1"/>
  <c r="D51" i="1"/>
  <c r="I40" i="1"/>
  <c r="I39" i="1"/>
  <c r="I38" i="1"/>
  <c r="I37" i="1"/>
  <c r="I36" i="1"/>
  <c r="E71" i="1" l="1"/>
  <c r="I70" i="1"/>
  <c r="I59" i="1"/>
  <c r="I62" i="4"/>
  <c r="E73" i="4"/>
  <c r="I72" i="4"/>
  <c r="E72" i="1" l="1"/>
  <c r="I71" i="1"/>
  <c r="I60" i="1"/>
  <c r="E74" i="4"/>
  <c r="I73" i="4"/>
  <c r="F92" i="1"/>
  <c r="I72" i="1" l="1"/>
  <c r="E73" i="1"/>
  <c r="I62" i="1"/>
  <c r="I61" i="1"/>
  <c r="I74" i="4"/>
  <c r="J74" i="4" s="1"/>
  <c r="F74" i="4"/>
  <c r="D18" i="1"/>
  <c r="D19" i="1"/>
  <c r="H16" i="1"/>
  <c r="H17" i="1"/>
  <c r="H19" i="1"/>
  <c r="I73" i="1" l="1"/>
  <c r="E74" i="1"/>
  <c r="I74" i="1" s="1"/>
  <c r="H71" i="1"/>
  <c r="H60" i="1"/>
  <c r="H38" i="1"/>
  <c r="H49" i="1" s="1"/>
  <c r="D73" i="1"/>
  <c r="D62" i="1"/>
  <c r="H72" i="1"/>
  <c r="H61" i="1"/>
  <c r="B52" i="2"/>
  <c r="A14" i="1" s="1"/>
  <c r="B53" i="2"/>
  <c r="A15" i="1" s="1"/>
  <c r="B54" i="2"/>
  <c r="A16" i="1" s="1"/>
  <c r="B55" i="2"/>
  <c r="A17" i="1" s="1"/>
  <c r="B56" i="2"/>
  <c r="A18" i="1" s="1"/>
  <c r="B57" i="2"/>
  <c r="B58" i="2"/>
  <c r="B51" i="2"/>
  <c r="A13" i="1" s="1"/>
  <c r="K52" i="2" l="1"/>
  <c r="K53" i="2"/>
  <c r="K54" i="2"/>
  <c r="K55" i="2"/>
  <c r="K56" i="2"/>
  <c r="K51" i="2"/>
  <c r="F46" i="2"/>
  <c r="J30" i="2"/>
  <c r="J31" i="2"/>
  <c r="J32" i="2"/>
  <c r="J16" i="1" s="1"/>
  <c r="J33" i="2"/>
  <c r="J17" i="1" s="1"/>
  <c r="J34" i="2"/>
  <c r="J35" i="2"/>
  <c r="J19" i="1" s="1"/>
  <c r="J36" i="2"/>
  <c r="J37" i="2"/>
  <c r="J29" i="2"/>
  <c r="L44" i="2"/>
  <c r="L57" i="2"/>
  <c r="J38" i="1" l="1"/>
  <c r="J39" i="1"/>
  <c r="F40" i="1"/>
  <c r="F41" i="1"/>
  <c r="J41" i="1"/>
  <c r="G48" i="2" l="1"/>
  <c r="H20" i="2"/>
  <c r="K30" i="2" l="1"/>
  <c r="K34" i="2"/>
  <c r="F18" i="1" s="1"/>
  <c r="K29" i="2"/>
  <c r="K31" i="2"/>
  <c r="K35" i="2"/>
  <c r="F19" i="1" s="1"/>
  <c r="K32" i="2"/>
  <c r="K36" i="2"/>
  <c r="L36" i="2" s="1"/>
  <c r="K33" i="2"/>
  <c r="K37" i="2"/>
  <c r="L37" i="2" s="1"/>
  <c r="H55" i="2"/>
  <c r="L55" i="2" s="1"/>
  <c r="J28" i="1" s="1"/>
  <c r="H54" i="2"/>
  <c r="L54" i="2" s="1"/>
  <c r="J27" i="1" s="1"/>
  <c r="A24" i="1"/>
  <c r="A35" i="1" s="1"/>
  <c r="A46" i="1" s="1"/>
  <c r="A57" i="1" s="1"/>
  <c r="A79" i="1" s="1"/>
  <c r="A25" i="1"/>
  <c r="A36" i="1" s="1"/>
  <c r="A47" i="1" s="1"/>
  <c r="A58" i="1" s="1"/>
  <c r="A80" i="1" s="1"/>
  <c r="A26" i="1"/>
  <c r="A37" i="1" s="1"/>
  <c r="A48" i="1" s="1"/>
  <c r="A81" i="1" s="1"/>
  <c r="A27" i="1"/>
  <c r="A38" i="1" s="1"/>
  <c r="A49" i="1" s="1"/>
  <c r="A60" i="1" s="1"/>
  <c r="A82" i="1" s="1"/>
  <c r="A28" i="1"/>
  <c r="A39" i="1" s="1"/>
  <c r="A50" i="1" s="1"/>
  <c r="A61" i="1" s="1"/>
  <c r="A83" i="1" s="1"/>
  <c r="A29" i="1"/>
  <c r="A40" i="1" s="1"/>
  <c r="A51" i="1" s="1"/>
  <c r="A62" i="1" s="1"/>
  <c r="A84" i="1" s="1"/>
  <c r="A30" i="1"/>
  <c r="A41" i="1" s="1"/>
  <c r="A52" i="1" s="1"/>
  <c r="A85" i="1" s="1"/>
  <c r="L35" i="2" l="1"/>
  <c r="J82" i="1" l="1"/>
  <c r="J83" i="1"/>
  <c r="J85" i="1"/>
  <c r="J71" i="1"/>
  <c r="J72" i="1"/>
  <c r="J74" i="1"/>
  <c r="J60" i="1"/>
  <c r="J61" i="1"/>
  <c r="J49" i="1"/>
  <c r="J50" i="1"/>
  <c r="J52" i="1"/>
  <c r="J30" i="1"/>
  <c r="F12" i="1"/>
  <c r="D31" i="1" l="1"/>
  <c r="F84" i="1"/>
  <c r="F63" i="1"/>
  <c r="F85" i="1"/>
  <c r="F73" i="1"/>
  <c r="F74" i="1"/>
  <c r="F62" i="1"/>
  <c r="F51" i="1"/>
  <c r="F52" i="1"/>
  <c r="F25" i="1"/>
  <c r="F26" i="1"/>
  <c r="F27" i="1"/>
  <c r="F28" i="1"/>
  <c r="F29" i="1"/>
  <c r="F30" i="1"/>
  <c r="F24" i="1"/>
  <c r="F31" i="1" l="1"/>
  <c r="I35" i="1" l="1"/>
  <c r="G43" i="2" l="1"/>
  <c r="G46" i="2" s="1"/>
  <c r="F38" i="2"/>
  <c r="H63" i="1"/>
  <c r="J63" i="1"/>
  <c r="F90" i="1" l="1"/>
  <c r="J90" i="1"/>
  <c r="F91" i="1"/>
  <c r="J91" i="1"/>
  <c r="L43" i="2"/>
  <c r="L46" i="2" s="1"/>
  <c r="J93" i="1" l="1"/>
  <c r="F93" i="1"/>
  <c r="F90" i="4"/>
  <c r="J90" i="4"/>
  <c r="J91" i="4"/>
  <c r="F91" i="4"/>
  <c r="J93" i="4" l="1"/>
  <c r="K93" i="1"/>
  <c r="E107" i="1" s="1"/>
  <c r="F93" i="4"/>
  <c r="K93" i="4" l="1"/>
  <c r="E107" i="4" s="1"/>
  <c r="F82" i="1"/>
  <c r="F80" i="1"/>
  <c r="J80" i="1" l="1"/>
  <c r="F83" i="1" l="1"/>
  <c r="J84" i="1"/>
  <c r="H53" i="2"/>
  <c r="L53" i="2" s="1"/>
  <c r="J26" i="1" s="1"/>
  <c r="H15" i="1"/>
  <c r="D14" i="1"/>
  <c r="H14" i="1"/>
  <c r="H52" i="2"/>
  <c r="L52" i="2" s="1"/>
  <c r="J25" i="1" s="1"/>
  <c r="J79" i="1"/>
  <c r="L30" i="2" l="1"/>
  <c r="F81" i="1"/>
  <c r="H51" i="1"/>
  <c r="J51" i="1" s="1"/>
  <c r="J40" i="1"/>
  <c r="H36" i="1"/>
  <c r="J14" i="1"/>
  <c r="H69" i="1"/>
  <c r="J69" i="1" s="1"/>
  <c r="H58" i="1"/>
  <c r="J58" i="1" s="1"/>
  <c r="H70" i="1"/>
  <c r="J70" i="1" s="1"/>
  <c r="H59" i="1"/>
  <c r="J59" i="1" s="1"/>
  <c r="J15" i="1"/>
  <c r="L32" i="2"/>
  <c r="D16" i="1"/>
  <c r="J81" i="1"/>
  <c r="J86" i="1" s="1"/>
  <c r="F79" i="1"/>
  <c r="F86" i="1" s="1"/>
  <c r="D86" i="1"/>
  <c r="D58" i="1"/>
  <c r="F58" i="1" s="1"/>
  <c r="D69" i="1"/>
  <c r="F69" i="1" s="1"/>
  <c r="F14" i="1"/>
  <c r="D36" i="1"/>
  <c r="F39" i="1"/>
  <c r="D50" i="1"/>
  <c r="F50" i="1" s="1"/>
  <c r="H48" i="1" l="1"/>
  <c r="J48" i="1" s="1"/>
  <c r="J37" i="1"/>
  <c r="D15" i="1"/>
  <c r="L31" i="2"/>
  <c r="D47" i="1"/>
  <c r="F47" i="1" s="1"/>
  <c r="F36" i="1"/>
  <c r="K86" i="1"/>
  <c r="E106" i="1" s="1"/>
  <c r="D17" i="1"/>
  <c r="L33" i="2"/>
  <c r="L34" i="2"/>
  <c r="H18" i="1"/>
  <c r="H56" i="2"/>
  <c r="L56" i="2" s="1"/>
  <c r="J29" i="1" s="1"/>
  <c r="D48" i="1"/>
  <c r="F48" i="1" s="1"/>
  <c r="F37" i="1"/>
  <c r="I38" i="2"/>
  <c r="D13" i="1"/>
  <c r="D71" i="1"/>
  <c r="F71" i="1" s="1"/>
  <c r="D38" i="1"/>
  <c r="F16" i="1"/>
  <c r="D60" i="1"/>
  <c r="F60" i="1" s="1"/>
  <c r="H47" i="1"/>
  <c r="J47" i="1" s="1"/>
  <c r="J36" i="1"/>
  <c r="J18" i="1" l="1"/>
  <c r="H73" i="1"/>
  <c r="J73" i="1" s="1"/>
  <c r="H62" i="1"/>
  <c r="J62" i="1" s="1"/>
  <c r="H51" i="2"/>
  <c r="H38" i="2"/>
  <c r="H13" i="1"/>
  <c r="L29" i="2"/>
  <c r="L38" i="2" s="1"/>
  <c r="D68" i="1"/>
  <c r="F68" i="1" s="1"/>
  <c r="D35" i="1"/>
  <c r="D20" i="1"/>
  <c r="D57" i="1"/>
  <c r="F57" i="1" s="1"/>
  <c r="F13" i="1"/>
  <c r="D61" i="1"/>
  <c r="F61" i="1" s="1"/>
  <c r="D72" i="1"/>
  <c r="F72" i="1" s="1"/>
  <c r="F17" i="1"/>
  <c r="F38" i="1"/>
  <c r="D49" i="1"/>
  <c r="F49" i="1" s="1"/>
  <c r="F15" i="1"/>
  <c r="D59" i="1"/>
  <c r="F59" i="1" s="1"/>
  <c r="D70" i="1"/>
  <c r="F70" i="1" s="1"/>
  <c r="F20" i="1" l="1"/>
  <c r="F75" i="1"/>
  <c r="H59" i="2"/>
  <c r="L58" i="2" s="1"/>
  <c r="L51" i="2"/>
  <c r="F64" i="1"/>
  <c r="H57" i="1"/>
  <c r="J57" i="1" s="1"/>
  <c r="J64" i="1" s="1"/>
  <c r="J13" i="1"/>
  <c r="J20" i="1" s="1"/>
  <c r="H35" i="1"/>
  <c r="H20" i="1"/>
  <c r="H68" i="1"/>
  <c r="J68" i="1" s="1"/>
  <c r="J75" i="1" s="1"/>
  <c r="D46" i="1"/>
  <c r="F46" i="1" s="1"/>
  <c r="F53" i="1" s="1"/>
  <c r="F35" i="1"/>
  <c r="F42" i="1" s="1"/>
  <c r="K64" i="1" l="1"/>
  <c r="E103" i="1" s="1"/>
  <c r="K75" i="1"/>
  <c r="H46" i="1"/>
  <c r="J46" i="1" s="1"/>
  <c r="J53" i="1" s="1"/>
  <c r="K53" i="1" s="1"/>
  <c r="E105" i="1" s="1"/>
  <c r="J35" i="1"/>
  <c r="J42" i="1" s="1"/>
  <c r="K42" i="1" s="1"/>
  <c r="E104" i="1" s="1"/>
  <c r="J24" i="1"/>
  <c r="L60" i="2"/>
  <c r="F95" i="1"/>
  <c r="K20" i="1"/>
  <c r="F96" i="1" l="1"/>
  <c r="J31" i="1"/>
  <c r="E101" i="1"/>
  <c r="L20" i="1"/>
  <c r="K96" i="1" l="1"/>
  <c r="E108" i="1" s="1"/>
  <c r="K31" i="1"/>
  <c r="J95" i="1"/>
  <c r="F97" i="1"/>
  <c r="L31" i="1" l="1"/>
  <c r="E102" i="1"/>
  <c r="E109" i="1" s="1"/>
  <c r="J97" i="1"/>
  <c r="K95" i="1"/>
  <c r="K97" i="1" s="1"/>
  <c r="E110" i="1" l="1"/>
  <c r="J40" i="4" l="1"/>
  <c r="H51" i="4"/>
  <c r="J51" i="4" s="1"/>
  <c r="F39" i="4"/>
  <c r="D50" i="4"/>
  <c r="F50" i="4" s="1"/>
  <c r="H48" i="4" l="1"/>
  <c r="J48" i="4" s="1"/>
  <c r="J37" i="4"/>
  <c r="D86" i="4"/>
  <c r="F37" i="4"/>
  <c r="D48" i="4"/>
  <c r="F48" i="4" s="1"/>
  <c r="D18" i="4" l="1"/>
  <c r="D15" i="4"/>
  <c r="H53" i="3"/>
  <c r="L53" i="3" s="1"/>
  <c r="H38" i="3" l="1"/>
  <c r="H13" i="4"/>
  <c r="L29" i="3"/>
  <c r="H51" i="3"/>
  <c r="H18" i="4"/>
  <c r="L34" i="3"/>
  <c r="H56" i="3"/>
  <c r="L56" i="3" s="1"/>
  <c r="J29" i="4" s="1"/>
  <c r="H15" i="4"/>
  <c r="F38" i="3"/>
  <c r="L31" i="3"/>
  <c r="G43" i="3"/>
  <c r="H63" i="4"/>
  <c r="D14" i="4"/>
  <c r="H16" i="4"/>
  <c r="H54" i="3"/>
  <c r="L54" i="3" s="1"/>
  <c r="J27" i="4" s="1"/>
  <c r="D59" i="4"/>
  <c r="F59" i="4" s="1"/>
  <c r="D70" i="4"/>
  <c r="F70" i="4" s="1"/>
  <c r="F15" i="4"/>
  <c r="D16" i="4"/>
  <c r="H55" i="3"/>
  <c r="L55" i="3" s="1"/>
  <c r="J28" i="4" s="1"/>
  <c r="H17" i="4"/>
  <c r="D13" i="4"/>
  <c r="D17" i="4"/>
  <c r="H14" i="4"/>
  <c r="H52" i="3"/>
  <c r="L52" i="3" s="1"/>
  <c r="J25" i="4" s="1"/>
  <c r="D62" i="4"/>
  <c r="F62" i="4" s="1"/>
  <c r="D73" i="4"/>
  <c r="F73" i="4" s="1"/>
  <c r="F18" i="4"/>
  <c r="L30" i="3" l="1"/>
  <c r="I38" i="3"/>
  <c r="H71" i="4"/>
  <c r="J71" i="4" s="1"/>
  <c r="H60" i="4"/>
  <c r="J60" i="4" s="1"/>
  <c r="J16" i="4"/>
  <c r="H38" i="4"/>
  <c r="H70" i="4"/>
  <c r="J70" i="4" s="1"/>
  <c r="J15" i="4"/>
  <c r="H59" i="4"/>
  <c r="J59" i="4" s="1"/>
  <c r="H59" i="3"/>
  <c r="L58" i="3" s="1"/>
  <c r="L51" i="3"/>
  <c r="J14" i="4"/>
  <c r="H69" i="4"/>
  <c r="J69" i="4" s="1"/>
  <c r="H36" i="4"/>
  <c r="H58" i="4"/>
  <c r="J58" i="4" s="1"/>
  <c r="D57" i="4"/>
  <c r="F57" i="4" s="1"/>
  <c r="F13" i="4"/>
  <c r="D20" i="4"/>
  <c r="D68" i="4"/>
  <c r="F68" i="4" s="1"/>
  <c r="D35" i="4"/>
  <c r="D38" i="4"/>
  <c r="F16" i="4"/>
  <c r="D71" i="4"/>
  <c r="F71" i="4" s="1"/>
  <c r="D60" i="4"/>
  <c r="F60" i="4" s="1"/>
  <c r="F14" i="4"/>
  <c r="D36" i="4"/>
  <c r="D58" i="4"/>
  <c r="F58" i="4" s="1"/>
  <c r="D69" i="4"/>
  <c r="F69" i="4" s="1"/>
  <c r="G46" i="3"/>
  <c r="L43" i="3"/>
  <c r="D61" i="4"/>
  <c r="F61" i="4" s="1"/>
  <c r="F17" i="4"/>
  <c r="D72" i="4"/>
  <c r="F72" i="4" s="1"/>
  <c r="L33" i="3"/>
  <c r="L32" i="3"/>
  <c r="H35" i="4"/>
  <c r="H68" i="4"/>
  <c r="J68" i="4" s="1"/>
  <c r="J13" i="4"/>
  <c r="H57" i="4"/>
  <c r="J57" i="4" s="1"/>
  <c r="H20" i="4"/>
  <c r="H72" i="4"/>
  <c r="J72" i="4" s="1"/>
  <c r="H61" i="4"/>
  <c r="J61" i="4" s="1"/>
  <c r="J17" i="4"/>
  <c r="H73" i="4"/>
  <c r="J73" i="4" s="1"/>
  <c r="H62" i="4"/>
  <c r="J62" i="4" s="1"/>
  <c r="J18" i="4"/>
  <c r="L38" i="3" l="1"/>
  <c r="D49" i="4"/>
  <c r="F49" i="4" s="1"/>
  <c r="F38" i="4"/>
  <c r="F20" i="4"/>
  <c r="J20" i="4"/>
  <c r="D46" i="4"/>
  <c r="F46" i="4" s="1"/>
  <c r="F35" i="4"/>
  <c r="F64" i="4"/>
  <c r="J75" i="4"/>
  <c r="F75" i="4"/>
  <c r="J24" i="4"/>
  <c r="L60" i="3"/>
  <c r="H46" i="4"/>
  <c r="J46" i="4" s="1"/>
  <c r="J35" i="4"/>
  <c r="L46" i="3"/>
  <c r="J26" i="4"/>
  <c r="F36" i="4"/>
  <c r="D47" i="4"/>
  <c r="F47" i="4" s="1"/>
  <c r="J36" i="4"/>
  <c r="H47" i="4"/>
  <c r="J47" i="4" s="1"/>
  <c r="H49" i="4"/>
  <c r="J49" i="4" s="1"/>
  <c r="J38" i="4"/>
  <c r="J63" i="4" l="1"/>
  <c r="I81" i="4"/>
  <c r="J81" i="4" s="1"/>
  <c r="J42" i="4"/>
  <c r="F42" i="4"/>
  <c r="K20" i="4"/>
  <c r="J53" i="4"/>
  <c r="K75" i="4"/>
  <c r="F53" i="4"/>
  <c r="J31" i="4"/>
  <c r="K31" i="4" s="1"/>
  <c r="J64" i="4"/>
  <c r="F81" i="4" l="1"/>
  <c r="I82" i="4"/>
  <c r="J82" i="4" s="1"/>
  <c r="I79" i="4"/>
  <c r="J79" i="4" s="1"/>
  <c r="K42" i="4"/>
  <c r="E104" i="4" s="1"/>
  <c r="K53" i="4"/>
  <c r="E102" i="4"/>
  <c r="L31" i="4"/>
  <c r="I83" i="4"/>
  <c r="J83" i="4" s="1"/>
  <c r="F83" i="4"/>
  <c r="E101" i="4"/>
  <c r="L20" i="4"/>
  <c r="K64" i="4"/>
  <c r="E103" i="4" s="1"/>
  <c r="F82" i="4" l="1"/>
  <c r="F79" i="4"/>
  <c r="E105" i="4"/>
  <c r="I84" i="4"/>
  <c r="J84" i="4" s="1"/>
  <c r="F84" i="4"/>
  <c r="I80" i="4"/>
  <c r="J80" i="4" s="1"/>
  <c r="J86" i="4" s="1"/>
  <c r="J95" i="4" s="1"/>
  <c r="J97" i="4" s="1"/>
  <c r="F80" i="4"/>
  <c r="F86" i="4" l="1"/>
  <c r="K86" i="4" l="1"/>
  <c r="E106" i="4" s="1"/>
  <c r="F95" i="4"/>
  <c r="F96" i="4" l="1"/>
  <c r="K96" i="4" s="1"/>
  <c r="K95" i="4"/>
  <c r="K97" i="4" l="1"/>
  <c r="F97" i="4"/>
  <c r="E108" i="4"/>
  <c r="E109" i="4" s="1"/>
  <c r="E110" i="4" l="1"/>
</calcChain>
</file>

<file path=xl/comments1.xml><?xml version="1.0" encoding="utf-8"?>
<comments xmlns="http://schemas.openxmlformats.org/spreadsheetml/2006/main">
  <authors>
    <author>Birgit Armstrong</author>
    <author>NPEI</author>
  </authors>
  <commentList>
    <comment ref="B22" authorId="0" shapeId="0">
      <text>
        <r>
          <rPr>
            <b/>
            <sz val="9"/>
            <color indexed="81"/>
            <rFont val="Tahoma"/>
            <family val="2"/>
          </rPr>
          <t>Birgit Armstrong:</t>
        </r>
        <r>
          <rPr>
            <sz val="9"/>
            <color indexed="81"/>
            <rFont val="Tahoma"/>
            <family val="2"/>
          </rPr>
          <t xml:space="preserve">
Add drop-down menu
</t>
        </r>
      </text>
    </comment>
    <comment ref="E57" authorId="1" shapeId="0">
      <text>
        <r>
          <rPr>
            <b/>
            <sz val="8"/>
            <color indexed="81"/>
            <rFont val="Tahoma"/>
            <family val="2"/>
          </rPr>
          <t>NPEI:</t>
        </r>
        <r>
          <rPr>
            <sz val="8"/>
            <color indexed="81"/>
            <rFont val="Tahoma"/>
            <family val="2"/>
          </rPr>
          <t xml:space="preserve">
WMS of $0.0030 + CBR of $0.0004</t>
        </r>
      </text>
    </comment>
    <comment ref="I63" authorId="1" shapeId="0">
      <text>
        <r>
          <rPr>
            <b/>
            <sz val="8"/>
            <color indexed="81"/>
            <rFont val="Tahoma"/>
            <family val="2"/>
          </rPr>
          <t>NPEI:</t>
        </r>
        <r>
          <rPr>
            <sz val="8"/>
            <color indexed="81"/>
            <rFont val="Tahoma"/>
            <family val="2"/>
          </rPr>
          <t xml:space="preserve">
WMS of $0.0030 + average class A CBR per kWh</t>
        </r>
      </text>
    </comment>
  </commentList>
</comments>
</file>

<file path=xl/comments2.xml><?xml version="1.0" encoding="utf-8"?>
<comments xmlns="http://schemas.openxmlformats.org/spreadsheetml/2006/main">
  <authors>
    <author>Birgit Armstrong</author>
    <author>NPEI</author>
  </authors>
  <commentList>
    <comment ref="B22" authorId="0" shapeId="0">
      <text>
        <r>
          <rPr>
            <b/>
            <sz val="9"/>
            <color indexed="81"/>
            <rFont val="Tahoma"/>
            <family val="2"/>
          </rPr>
          <t>Birgit Armstrong:</t>
        </r>
        <r>
          <rPr>
            <sz val="9"/>
            <color indexed="81"/>
            <rFont val="Tahoma"/>
            <family val="2"/>
          </rPr>
          <t xml:space="preserve">
Add drop-down menu
</t>
        </r>
      </text>
    </comment>
    <comment ref="E57" authorId="1" shapeId="0">
      <text>
        <r>
          <rPr>
            <b/>
            <sz val="8"/>
            <color indexed="81"/>
            <rFont val="Tahoma"/>
            <family val="2"/>
          </rPr>
          <t>NPEI:</t>
        </r>
        <r>
          <rPr>
            <sz val="8"/>
            <color indexed="81"/>
            <rFont val="Tahoma"/>
            <family val="2"/>
          </rPr>
          <t xml:space="preserve">
WMS of $0.0030 + CBR of $0.0004</t>
        </r>
      </text>
    </comment>
    <comment ref="E58" authorId="1" shapeId="0">
      <text>
        <r>
          <rPr>
            <b/>
            <sz val="8"/>
            <color indexed="81"/>
            <rFont val="Tahoma"/>
            <family val="2"/>
          </rPr>
          <t>NPEI:</t>
        </r>
        <r>
          <rPr>
            <sz val="8"/>
            <color indexed="81"/>
            <rFont val="Tahoma"/>
            <family val="2"/>
          </rPr>
          <t xml:space="preserve">
WMS of $0.0030 + CBR of $0.0004</t>
        </r>
      </text>
    </comment>
    <comment ref="E59" authorId="1" shapeId="0">
      <text>
        <r>
          <rPr>
            <b/>
            <sz val="8"/>
            <color indexed="81"/>
            <rFont val="Tahoma"/>
            <family val="2"/>
          </rPr>
          <t>NPEI:</t>
        </r>
        <r>
          <rPr>
            <sz val="8"/>
            <color indexed="81"/>
            <rFont val="Tahoma"/>
            <family val="2"/>
          </rPr>
          <t xml:space="preserve">
WMS of $0.0030 + CBR of $0.0004</t>
        </r>
      </text>
    </comment>
    <comment ref="E60" authorId="1" shapeId="0">
      <text>
        <r>
          <rPr>
            <b/>
            <sz val="8"/>
            <color indexed="81"/>
            <rFont val="Tahoma"/>
            <family val="2"/>
          </rPr>
          <t>NPEI:</t>
        </r>
        <r>
          <rPr>
            <sz val="8"/>
            <color indexed="81"/>
            <rFont val="Tahoma"/>
            <family val="2"/>
          </rPr>
          <t xml:space="preserve">
WMS of $0.0030 + CBR of $0.0004</t>
        </r>
      </text>
    </comment>
    <comment ref="E61" authorId="1" shapeId="0">
      <text>
        <r>
          <rPr>
            <b/>
            <sz val="8"/>
            <color indexed="81"/>
            <rFont val="Tahoma"/>
            <family val="2"/>
          </rPr>
          <t>NPEI:</t>
        </r>
        <r>
          <rPr>
            <sz val="8"/>
            <color indexed="81"/>
            <rFont val="Tahoma"/>
            <family val="2"/>
          </rPr>
          <t xml:space="preserve">
WMS of $0.0030 + CBR of $0.0004</t>
        </r>
      </text>
    </comment>
    <comment ref="E62" authorId="1" shapeId="0">
      <text>
        <r>
          <rPr>
            <b/>
            <sz val="8"/>
            <color indexed="81"/>
            <rFont val="Tahoma"/>
            <family val="2"/>
          </rPr>
          <t>NPEI:</t>
        </r>
        <r>
          <rPr>
            <sz val="8"/>
            <color indexed="81"/>
            <rFont val="Tahoma"/>
            <family val="2"/>
          </rPr>
          <t xml:space="preserve">
WMS of $0.0030 + CBR of $0.0004</t>
        </r>
      </text>
    </comment>
    <comment ref="I63" authorId="1" shapeId="0">
      <text>
        <r>
          <rPr>
            <b/>
            <sz val="8"/>
            <color indexed="81"/>
            <rFont val="Tahoma"/>
            <family val="2"/>
          </rPr>
          <t>NPEI:</t>
        </r>
        <r>
          <rPr>
            <sz val="8"/>
            <color indexed="81"/>
            <rFont val="Tahoma"/>
            <family val="2"/>
          </rPr>
          <t xml:space="preserve">
WMS of $0.0030 + average class A CBR per kWh</t>
        </r>
      </text>
    </comment>
  </commentList>
</comments>
</file>

<file path=xl/sharedStrings.xml><?xml version="1.0" encoding="utf-8"?>
<sst xmlns="http://schemas.openxmlformats.org/spreadsheetml/2006/main" count="511" uniqueCount="100">
  <si>
    <t>Cost of Power Calculation</t>
  </si>
  <si>
    <t>RPP</t>
  </si>
  <si>
    <t>non-RPP</t>
  </si>
  <si>
    <t>Transmission - Network</t>
  </si>
  <si>
    <t>kWh</t>
  </si>
  <si>
    <t>kW</t>
  </si>
  <si>
    <t>Rate</t>
  </si>
  <si>
    <t xml:space="preserve">$ </t>
  </si>
  <si>
    <t>Transmission - Connection</t>
  </si>
  <si>
    <t>Wholesale Market Service</t>
  </si>
  <si>
    <t>RRRP</t>
  </si>
  <si>
    <t>Smart Meter Entity Charge</t>
  </si>
  <si>
    <t>Customers</t>
  </si>
  <si>
    <t>TOTAL</t>
  </si>
  <si>
    <t>Volume</t>
  </si>
  <si>
    <t xml:space="preserve"> Volume</t>
  </si>
  <si>
    <t>SUB-TOTAL</t>
  </si>
  <si>
    <t>ORECA CREDIT</t>
  </si>
  <si>
    <t>4705 -Power Purchased</t>
  </si>
  <si>
    <t>4707- Global Adjustment</t>
  </si>
  <si>
    <t>4708-Charges-WMS</t>
  </si>
  <si>
    <t>4714-Charges-NW</t>
  </si>
  <si>
    <t>4716-Charges-CN</t>
  </si>
  <si>
    <t>4750-Charges-LV</t>
  </si>
  <si>
    <t>4751-IESO SME</t>
  </si>
  <si>
    <t>2020 Test Year - CoP</t>
  </si>
  <si>
    <t>Electricity Commodity</t>
  </si>
  <si>
    <t>Class per Load Forecast</t>
  </si>
  <si>
    <t xml:space="preserve">Class per Load Forecast </t>
  </si>
  <si>
    <t>Low Voltage - No TLF adjustment</t>
  </si>
  <si>
    <t>SUB- TOTAL</t>
  </si>
  <si>
    <t xml:space="preserve">Commodity Expense </t>
  </si>
  <si>
    <t>Step 1:</t>
  </si>
  <si>
    <t> </t>
  </si>
  <si>
    <t>Step 2:</t>
  </si>
  <si>
    <t>Forecasted Commodity Prices</t>
  </si>
  <si>
    <t xml:space="preserve"> Table 1: Average RPP Supply Cost Summary*</t>
  </si>
  <si>
    <t>HOEP ($/MWh)</t>
  </si>
  <si>
    <t>Load-Weighted Price for RPP Consumers</t>
  </si>
  <si>
    <t>Global Adjustment ($/MWh)</t>
  </si>
  <si>
    <t>Impact of the Global Adjustment</t>
  </si>
  <si>
    <t>Adjustments ($/MWh)</t>
  </si>
  <si>
    <t>TOTAL ($/MWh)</t>
  </si>
  <si>
    <t>Average Supply Cost for RPP Consumers</t>
  </si>
  <si>
    <t>Commodity Expense</t>
  </si>
  <si>
    <t>(volumes for the bridge and test year are loss adjusted)</t>
  </si>
  <si>
    <t>Customer</t>
  </si>
  <si>
    <t>Revenue</t>
  </si>
  <si>
    <t>Expense</t>
  </si>
  <si>
    <t>kWh Volume</t>
  </si>
  <si>
    <t>Amount</t>
  </si>
  <si>
    <t>Class Name</t>
  </si>
  <si>
    <t>UoM</t>
  </si>
  <si>
    <t>USA #</t>
  </si>
  <si>
    <t>*Regulated Price Plan Prices for the Period November 1, 2019 – October 31, 2020</t>
  </si>
  <si>
    <t>kWh**</t>
  </si>
  <si>
    <t>Commodity</t>
  </si>
  <si>
    <t>Class B Non-RPP Volume</t>
  </si>
  <si>
    <t>Average HOEP</t>
  </si>
  <si>
    <t>Average RPP Rate</t>
  </si>
  <si>
    <t>GA Rate/kWh</t>
  </si>
  <si>
    <t>Class B - non-RPP Global Adjustment</t>
  </si>
  <si>
    <t>Class A - non-RPP Global Adjustment</t>
  </si>
  <si>
    <t>Global Adjustment non-RPP</t>
  </si>
  <si>
    <t>All Volume should be loss adjusted with the exception of:</t>
  </si>
  <si>
    <t>kWh*</t>
  </si>
  <si>
    <t>* Volume loss adjusted less WMP</t>
  </si>
  <si>
    <t>** No loss adjustment for kWh</t>
  </si>
  <si>
    <t>Units</t>
  </si>
  <si>
    <t>File Number:</t>
  </si>
  <si>
    <t>Exhibit:</t>
  </si>
  <si>
    <t>Tab:</t>
  </si>
  <si>
    <t>Schedule:</t>
  </si>
  <si>
    <t>Page:</t>
  </si>
  <si>
    <t>Date:</t>
  </si>
  <si>
    <t>Class A Non-RPP Volume**</t>
  </si>
  <si>
    <t>Class B Non-RPP Volume**</t>
  </si>
  <si>
    <t>Class B RPP Volume**</t>
  </si>
  <si>
    <t>Total</t>
  </si>
  <si>
    <t>$</t>
  </si>
  <si>
    <t>** Enter 2020 load forecast data by class based on the most recent 12-month historic Class A and Class B RPP/Non-RPP proportions</t>
  </si>
  <si>
    <t>Hist. Avg GA/kWh ***</t>
  </si>
  <si>
    <t>*** Based on average $ GA per kWh billed to class A customers for most recent 12-month historical year.</t>
  </si>
  <si>
    <t xml:space="preserve">***The ORRECA Credit of 31.8% will only apply to RPP proportion of the listed components. Impacts on distribution charges are excluded for the purpose of calculating the cost of power. </t>
  </si>
  <si>
    <t>2020 Forecasted Commodity Prices</t>
  </si>
  <si>
    <t>Total Volume</t>
  </si>
  <si>
    <t>Misc A/R or A/P</t>
  </si>
  <si>
    <t>Residential</t>
  </si>
  <si>
    <t>General Service &lt; 50 kW</t>
  </si>
  <si>
    <t>General Service 50 to 4999 kW</t>
  </si>
  <si>
    <t>Unmetered Scattered Load</t>
  </si>
  <si>
    <t>Sentinel Lighting</t>
  </si>
  <si>
    <t xml:space="preserve">Street Lighting </t>
  </si>
  <si>
    <t>General Service 50 to 4999 kW (Class B)</t>
  </si>
  <si>
    <t>General Service 50 to 4999 kW (Class A)</t>
  </si>
  <si>
    <t>2021 Forecasted Commodity Prices</t>
  </si>
  <si>
    <t>2021 Test Year</t>
  </si>
  <si>
    <t>2020 Bridge Year</t>
  </si>
  <si>
    <t>2020 Bridge Year - CoP</t>
  </si>
  <si>
    <t>EB-2020-0040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</si>
</sst>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4" formatCode="_(&quot;$&quot;* #,##0.00_);_(&quot;$&quot;* \(#,##0.00\);_(&quot;$&quot;* &quot;-&quot;??_);_(@_)"/>
    <numFmt numFmtId="43" formatCode="_(* #,##0.00_);_(* \(#,##0.00\);_(* &quot;-&quot;??_);_(@_)"/>
    <numFmt numFmtId="164" formatCode="_(* #,##0_);_(* \(#,##0\);_(* &quot;-&quot;??_);_(@_)"/>
    <numFmt numFmtId="165" formatCode="_-* #,##0.00_-;\-* #,##0.00_-;_-* \-??_-;_-@_-"/>
    <numFmt numFmtId="166" formatCode="\$#,##0.0000_);&quot;($&quot;#,##0.0000\)"/>
    <numFmt numFmtId="167" formatCode="_-* #,##0_-;\-* #,##0_-;_-* \-??_-;_-@_-"/>
    <numFmt numFmtId="168" formatCode="\$#,##0.00_);&quot;($&quot;#,##0.00\)"/>
    <numFmt numFmtId="169" formatCode="\$#,##0"/>
    <numFmt numFmtId="170" formatCode="_(&quot;$&quot;* #,##0.00000_);_(&quot;$&quot;* \(#,##0.00000\);_(&quot;$&quot;* &quot;-&quot;??_);_(@_)"/>
    <numFmt numFmtId="171" formatCode="_(* #,##0.0000_);_(* \(#,##0.0000\);_(* &quot;-&quot;??_);_(@_)"/>
    <numFmt numFmtId="172" formatCode="_(&quot;$&quot;* #,##0_);_(&quot;$&quot;* \(#,##0\);_(&quot;$&quot;* &quot;-&quot;??_);_(@_)"/>
    <numFmt numFmtId="173" formatCode="[$-409]d\-mmm\-yy;@"/>
    <numFmt numFmtId="174" formatCode="0.0000"/>
  </numFmts>
  <fonts count="26"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i/>
      <sz val="8"/>
      <color indexed="22"/>
      <name val="Arial"/>
      <family val="2"/>
    </font>
    <font>
      <b/>
      <sz val="10"/>
      <name val="Arial"/>
      <family val="2"/>
    </font>
    <font>
      <sz val="8"/>
      <name val="Arial"/>
      <family val="2"/>
    </font>
    <font>
      <b/>
      <sz val="14"/>
      <name val="Arial"/>
      <family val="2"/>
      <charset val="1"/>
    </font>
    <font>
      <b/>
      <u/>
      <sz val="12"/>
      <name val="Arial"/>
      <family val="2"/>
      <charset val="1"/>
    </font>
    <font>
      <b/>
      <sz val="12"/>
      <name val="Arial"/>
      <family val="2"/>
    </font>
    <font>
      <b/>
      <u/>
      <sz val="10"/>
      <name val="Arial"/>
      <family val="2"/>
      <charset val="1"/>
    </font>
    <font>
      <sz val="10"/>
      <name val="Mangal"/>
      <family val="2"/>
      <charset val="1"/>
    </font>
    <font>
      <b/>
      <sz val="10"/>
      <name val="Arial"/>
      <family val="2"/>
      <charset val="1"/>
    </font>
    <font>
      <sz val="11"/>
      <name val="Arial"/>
      <family val="2"/>
      <charset val="1"/>
    </font>
    <font>
      <sz val="10"/>
      <name val="Arial"/>
      <family val="2"/>
      <charset val="1"/>
    </font>
    <font>
      <i/>
      <sz val="10"/>
      <name val="Arial"/>
      <family val="2"/>
      <charset val="1"/>
    </font>
    <font>
      <b/>
      <i/>
      <sz val="11"/>
      <name val="Arial"/>
      <family val="2"/>
    </font>
    <font>
      <b/>
      <sz val="11"/>
      <name val="Arial"/>
      <family val="2"/>
      <charset val="1"/>
    </font>
    <font>
      <b/>
      <u/>
      <sz val="11"/>
      <name val="Arial"/>
      <family val="2"/>
      <charset val="1"/>
    </font>
    <font>
      <b/>
      <sz val="11"/>
      <name val="Arial"/>
      <family val="2"/>
    </font>
    <font>
      <i/>
      <sz val="10"/>
      <color rgb="FFFF0000"/>
      <name val="Arial"/>
      <family val="2"/>
      <charset val="1"/>
    </font>
    <font>
      <strike/>
      <sz val="11"/>
      <color rgb="FFFF0000"/>
      <name val="Calibri"/>
      <family val="2"/>
      <scheme val="minor"/>
    </font>
    <font>
      <sz val="9"/>
      <color indexed="81"/>
      <name val="Tahoma"/>
      <family val="2"/>
    </font>
    <font>
      <b/>
      <sz val="9"/>
      <color indexed="81"/>
      <name val="Tahoma"/>
      <family val="2"/>
    </font>
    <font>
      <sz val="8"/>
      <color indexed="81"/>
      <name val="Tahoma"/>
      <family val="2"/>
    </font>
    <font>
      <b/>
      <sz val="8"/>
      <color indexed="81"/>
      <name val="Tahoma"/>
      <family val="2"/>
    </font>
  </fonts>
  <fills count="10">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9" tint="0.79998168889431442"/>
        <bgColor indexed="58"/>
      </patternFill>
    </fill>
    <fill>
      <patternFill patternType="solid">
        <fgColor theme="0"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8"/>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s>
  <cellStyleXfs count="5">
    <xf numFmtId="0" fontId="0" fillId="0" borderId="0"/>
    <xf numFmtId="43" fontId="3" fillId="0" borderId="0" applyFont="0" applyFill="0" applyBorder="0" applyAlignment="0" applyProtection="0"/>
    <xf numFmtId="44" fontId="3" fillId="0" borderId="0" applyFont="0" applyFill="0" applyBorder="0" applyAlignment="0" applyProtection="0"/>
    <xf numFmtId="165" fontId="11" fillId="0" borderId="0" applyFill="0" applyBorder="0" applyAlignment="0" applyProtection="0"/>
    <xf numFmtId="9" fontId="11" fillId="0" borderId="0" applyFill="0" applyBorder="0" applyAlignment="0" applyProtection="0"/>
  </cellStyleXfs>
  <cellXfs count="248">
    <xf numFmtId="0" fontId="0" fillId="0" borderId="0" xfId="0"/>
    <xf numFmtId="0" fontId="0" fillId="0" borderId="0" xfId="0" applyAlignment="1">
      <alignment horizontal="center"/>
    </xf>
    <xf numFmtId="0" fontId="0" fillId="0" borderId="1" xfId="0" applyBorder="1"/>
    <xf numFmtId="0" fontId="2" fillId="0" borderId="1" xfId="0" applyFont="1" applyBorder="1"/>
    <xf numFmtId="0" fontId="1" fillId="0" borderId="1" xfId="0" applyFont="1" applyBorder="1"/>
    <xf numFmtId="0" fontId="0" fillId="0" borderId="0" xfId="0" applyBorder="1"/>
    <xf numFmtId="0" fontId="0" fillId="0" borderId="1" xfId="0" applyBorder="1" applyAlignment="1">
      <alignment horizontal="center"/>
    </xf>
    <xf numFmtId="0" fontId="0" fillId="0" borderId="2" xfId="0" applyBorder="1" applyAlignment="1">
      <alignment horizontal="center"/>
    </xf>
    <xf numFmtId="0" fontId="0" fillId="0" borderId="0" xfId="0" applyBorder="1" applyAlignment="1">
      <alignment wrapText="1"/>
    </xf>
    <xf numFmtId="0" fontId="0" fillId="0" borderId="0" xfId="0" applyBorder="1" applyAlignment="1">
      <alignment horizontal="center"/>
    </xf>
    <xf numFmtId="0" fontId="0" fillId="0" borderId="0" xfId="0" applyBorder="1" applyAlignment="1">
      <alignment horizontal="center"/>
    </xf>
    <xf numFmtId="0" fontId="0" fillId="2" borderId="1" xfId="0" applyFill="1" applyBorder="1"/>
    <xf numFmtId="0" fontId="0" fillId="0" borderId="1" xfId="0" applyFill="1" applyBorder="1"/>
    <xf numFmtId="0" fontId="0" fillId="0" borderId="4" xfId="0" applyBorder="1"/>
    <xf numFmtId="0" fontId="0" fillId="0" borderId="4" xfId="0" applyFill="1" applyBorder="1"/>
    <xf numFmtId="0" fontId="0" fillId="2" borderId="4" xfId="0" applyFill="1" applyBorder="1"/>
    <xf numFmtId="0" fontId="0" fillId="0" borderId="10" xfId="0" applyBorder="1"/>
    <xf numFmtId="0" fontId="1" fillId="0" borderId="1" xfId="0" applyFont="1" applyFill="1" applyBorder="1"/>
    <xf numFmtId="0" fontId="0" fillId="0" borderId="1" xfId="0" applyBorder="1" applyAlignment="1">
      <alignment horizontal="center" wrapText="1"/>
    </xf>
    <xf numFmtId="0" fontId="0" fillId="0" borderId="2" xfId="0" applyBorder="1"/>
    <xf numFmtId="0" fontId="1" fillId="0" borderId="0" xfId="0" applyFont="1" applyBorder="1" applyAlignment="1">
      <alignment wrapText="1"/>
    </xf>
    <xf numFmtId="10" fontId="0" fillId="0" borderId="1" xfId="0" applyNumberFormat="1" applyBorder="1"/>
    <xf numFmtId="37" fontId="0" fillId="2" borderId="1" xfId="0" applyNumberFormat="1" applyFill="1" applyBorder="1"/>
    <xf numFmtId="0" fontId="0" fillId="0" borderId="0" xfId="0" applyProtection="1"/>
    <xf numFmtId="0" fontId="4" fillId="0" borderId="0" xfId="0" applyFont="1" applyAlignment="1" applyProtection="1">
      <alignment horizontal="left" vertical="center"/>
    </xf>
    <xf numFmtId="0" fontId="6" fillId="0" borderId="0" xfId="0" applyFont="1" applyAlignment="1" applyProtection="1">
      <alignment horizontal="right" vertical="top"/>
    </xf>
    <xf numFmtId="0" fontId="6" fillId="2" borderId="14" xfId="0" applyFont="1" applyFill="1" applyBorder="1" applyAlignment="1" applyProtection="1">
      <alignment horizontal="right" vertical="top"/>
      <protection locked="0"/>
    </xf>
    <xf numFmtId="0" fontId="0" fillId="0" borderId="0" xfId="0" applyAlignment="1" applyProtection="1">
      <alignment horizontal="center"/>
    </xf>
    <xf numFmtId="0" fontId="6" fillId="2" borderId="0" xfId="0" applyFont="1" applyFill="1" applyAlignment="1" applyProtection="1">
      <alignment horizontal="right" vertical="top"/>
      <protection locked="0"/>
    </xf>
    <xf numFmtId="0" fontId="0" fillId="0" borderId="0" xfId="0" applyBorder="1" applyProtection="1"/>
    <xf numFmtId="0" fontId="8" fillId="0" borderId="0" xfId="0" applyFont="1" applyBorder="1" applyProtection="1"/>
    <xf numFmtId="0" fontId="10" fillId="0" borderId="0" xfId="0" applyFont="1" applyBorder="1" applyProtection="1"/>
    <xf numFmtId="0" fontId="13" fillId="0" borderId="0" xfId="0" applyFont="1" applyProtection="1"/>
    <xf numFmtId="0" fontId="14" fillId="0" borderId="17" xfId="0" applyFont="1" applyFill="1" applyBorder="1" applyAlignment="1" applyProtection="1">
      <alignment vertical="center"/>
    </xf>
    <xf numFmtId="0" fontId="13" fillId="0" borderId="0" xfId="0" applyFont="1" applyBorder="1" applyProtection="1"/>
    <xf numFmtId="0" fontId="13" fillId="0" borderId="20" xfId="0" applyFont="1" applyBorder="1" applyProtection="1"/>
    <xf numFmtId="0" fontId="15" fillId="0" borderId="20" xfId="0" applyFont="1" applyFill="1" applyBorder="1" applyAlignment="1" applyProtection="1">
      <alignment horizontal="left" indent="1"/>
    </xf>
    <xf numFmtId="0" fontId="15" fillId="0" borderId="20" xfId="0" applyFont="1" applyFill="1" applyBorder="1" applyProtection="1"/>
    <xf numFmtId="10" fontId="15" fillId="0" borderId="20" xfId="4" applyNumberFormat="1" applyFont="1" applyFill="1" applyBorder="1" applyAlignment="1" applyProtection="1">
      <alignment horizontal="right"/>
    </xf>
    <xf numFmtId="0" fontId="15" fillId="0" borderId="0" xfId="0" applyFont="1" applyFill="1" applyBorder="1" applyAlignment="1" applyProtection="1">
      <alignment horizontal="left" indent="1"/>
    </xf>
    <xf numFmtId="0" fontId="15" fillId="0" borderId="0" xfId="0" applyFont="1" applyFill="1" applyBorder="1" applyProtection="1"/>
    <xf numFmtId="10" fontId="15" fillId="0" borderId="0" xfId="4" applyNumberFormat="1" applyFont="1" applyFill="1" applyBorder="1" applyAlignment="1" applyProtection="1">
      <alignment horizontal="right"/>
    </xf>
    <xf numFmtId="0" fontId="16" fillId="0" borderId="0" xfId="0" applyFont="1" applyProtection="1"/>
    <xf numFmtId="0" fontId="13" fillId="0" borderId="0" xfId="0" applyFont="1" applyFill="1" applyBorder="1" applyProtection="1"/>
    <xf numFmtId="0" fontId="17" fillId="0" borderId="0" xfId="0" applyFont="1" applyAlignment="1" applyProtection="1">
      <alignment horizontal="center" vertical="top"/>
    </xf>
    <xf numFmtId="0" fontId="18" fillId="0" borderId="0" xfId="0" applyFont="1" applyFill="1" applyBorder="1" applyProtection="1"/>
    <xf numFmtId="0" fontId="10" fillId="0" borderId="0" xfId="0" applyFont="1" applyFill="1" applyBorder="1" applyProtection="1"/>
    <xf numFmtId="0" fontId="14" fillId="0" borderId="18" xfId="0" applyFont="1" applyFill="1" applyBorder="1" applyProtection="1"/>
    <xf numFmtId="168" fontId="14" fillId="4" borderId="3" xfId="0" applyNumberFormat="1" applyFont="1" applyFill="1" applyBorder="1" applyProtection="1">
      <protection locked="0"/>
    </xf>
    <xf numFmtId="168" fontId="14" fillId="4" borderId="1" xfId="0" applyNumberFormat="1" applyFont="1" applyFill="1" applyBorder="1" applyProtection="1">
      <protection locked="0"/>
    </xf>
    <xf numFmtId="0" fontId="12" fillId="0" borderId="18" xfId="0" applyFont="1" applyFill="1" applyBorder="1" applyAlignment="1" applyProtection="1">
      <alignment horizontal="left" indent="1"/>
    </xf>
    <xf numFmtId="168" fontId="12" fillId="0" borderId="1" xfId="0" applyNumberFormat="1" applyFont="1" applyFill="1" applyBorder="1" applyProtection="1"/>
    <xf numFmtId="0" fontId="20" fillId="0" borderId="0" xfId="0" applyFont="1" applyBorder="1" applyProtection="1"/>
    <xf numFmtId="0" fontId="9" fillId="0" borderId="0" xfId="0" applyFont="1" applyProtection="1"/>
    <xf numFmtId="0" fontId="12" fillId="0" borderId="17" xfId="0" applyFont="1" applyBorder="1" applyProtection="1"/>
    <xf numFmtId="0" fontId="0" fillId="0" borderId="17" xfId="0" applyBorder="1" applyAlignment="1" applyProtection="1">
      <alignment horizontal="center"/>
    </xf>
    <xf numFmtId="0" fontId="12" fillId="0" borderId="17" xfId="0" applyFont="1" applyBorder="1" applyAlignment="1" applyProtection="1">
      <alignment horizontal="center"/>
    </xf>
    <xf numFmtId="0" fontId="0" fillId="7" borderId="17" xfId="0" applyFill="1" applyBorder="1" applyAlignment="1" applyProtection="1">
      <alignment horizontal="center"/>
      <protection locked="0"/>
    </xf>
    <xf numFmtId="169" fontId="0" fillId="0" borderId="17" xfId="0" applyNumberFormat="1" applyFill="1" applyBorder="1" applyAlignment="1" applyProtection="1">
      <alignment horizontal="right"/>
    </xf>
    <xf numFmtId="167" fontId="0" fillId="7" borderId="17" xfId="0" applyNumberFormat="1" applyFill="1" applyBorder="1" applyAlignment="1" applyProtection="1">
      <alignment horizontal="center"/>
      <protection locked="0"/>
    </xf>
    <xf numFmtId="0" fontId="12" fillId="0" borderId="0" xfId="0" applyFont="1" applyProtection="1"/>
    <xf numFmtId="0" fontId="12" fillId="0" borderId="18" xfId="0" applyFont="1" applyBorder="1" applyAlignment="1" applyProtection="1">
      <alignment horizontal="center"/>
    </xf>
    <xf numFmtId="0" fontId="12" fillId="0" borderId="1" xfId="0" applyFont="1" applyBorder="1" applyAlignment="1" applyProtection="1">
      <alignment horizontal="center"/>
    </xf>
    <xf numFmtId="0" fontId="0" fillId="0" borderId="17" xfId="0" applyFont="1" applyBorder="1" applyProtection="1"/>
    <xf numFmtId="0" fontId="0" fillId="0" borderId="18" xfId="0" applyBorder="1" applyAlignment="1" applyProtection="1">
      <alignment horizontal="center"/>
    </xf>
    <xf numFmtId="0" fontId="0" fillId="0" borderId="1" xfId="0" applyBorder="1" applyAlignment="1" applyProtection="1">
      <alignment horizontal="center"/>
    </xf>
    <xf numFmtId="0" fontId="14" fillId="0" borderId="1" xfId="0" applyFont="1" applyBorder="1" applyAlignment="1" applyProtection="1">
      <alignment horizontal="center"/>
    </xf>
    <xf numFmtId="0" fontId="0" fillId="7" borderId="18" xfId="0" applyFill="1" applyBorder="1" applyAlignment="1" applyProtection="1">
      <alignment horizontal="center"/>
      <protection locked="0"/>
    </xf>
    <xf numFmtId="169" fontId="0" fillId="0" borderId="1" xfId="0" applyNumberFormat="1" applyFill="1" applyBorder="1" applyAlignment="1" applyProtection="1">
      <alignment horizontal="right"/>
    </xf>
    <xf numFmtId="0" fontId="0" fillId="0" borderId="0" xfId="0" quotePrefix="1" applyProtection="1"/>
    <xf numFmtId="37" fontId="12" fillId="0" borderId="1" xfId="0" applyNumberFormat="1" applyFont="1" applyBorder="1" applyAlignment="1" applyProtection="1">
      <alignment horizontal="right"/>
    </xf>
    <xf numFmtId="169" fontId="12" fillId="0" borderId="1" xfId="0" applyNumberFormat="1" applyFont="1" applyBorder="1" applyAlignment="1" applyProtection="1">
      <alignment horizontal="right"/>
    </xf>
    <xf numFmtId="0" fontId="0" fillId="0" borderId="0" xfId="0" applyBorder="1" applyAlignment="1" applyProtection="1">
      <alignment horizontal="center"/>
    </xf>
    <xf numFmtId="167" fontId="11" fillId="0" borderId="0" xfId="3" applyNumberFormat="1" applyProtection="1"/>
    <xf numFmtId="43" fontId="0" fillId="0" borderId="0" xfId="0" applyNumberFormat="1" applyProtection="1"/>
    <xf numFmtId="37" fontId="0" fillId="0" borderId="1" xfId="0" applyNumberFormat="1" applyFill="1" applyBorder="1"/>
    <xf numFmtId="164" fontId="0" fillId="0" borderId="1" xfId="1" applyNumberFormat="1" applyFont="1" applyFill="1" applyBorder="1"/>
    <xf numFmtId="0" fontId="0" fillId="0" borderId="0" xfId="0" applyFill="1" applyBorder="1"/>
    <xf numFmtId="0" fontId="14" fillId="0" borderId="1" xfId="0" applyFont="1" applyBorder="1" applyAlignment="1" applyProtection="1">
      <alignment horizontal="center" wrapText="1"/>
    </xf>
    <xf numFmtId="170" fontId="0" fillId="0" borderId="1" xfId="2" quotePrefix="1" applyNumberFormat="1" applyFont="1" applyFill="1" applyBorder="1" applyAlignment="1" applyProtection="1">
      <alignment horizontal="right"/>
    </xf>
    <xf numFmtId="0" fontId="2" fillId="0" borderId="1" xfId="0" applyFont="1" applyFill="1" applyBorder="1"/>
    <xf numFmtId="0" fontId="0" fillId="8" borderId="0" xfId="0" applyFill="1"/>
    <xf numFmtId="37" fontId="0" fillId="2" borderId="1" xfId="0" quotePrefix="1" applyNumberFormat="1" applyFill="1" applyBorder="1" applyAlignment="1" applyProtection="1">
      <alignment horizontal="right"/>
    </xf>
    <xf numFmtId="171" fontId="13" fillId="0" borderId="0" xfId="0" applyNumberFormat="1" applyFont="1" applyProtection="1"/>
    <xf numFmtId="0" fontId="1" fillId="0" borderId="0" xfId="0" applyFont="1" applyAlignment="1">
      <alignment horizontal="center"/>
    </xf>
    <xf numFmtId="0" fontId="0" fillId="0" borderId="3" xfId="0" applyFill="1" applyBorder="1"/>
    <xf numFmtId="0" fontId="0" fillId="0" borderId="13" xfId="0" applyBorder="1" applyAlignment="1">
      <alignment horizontal="center"/>
    </xf>
    <xf numFmtId="0" fontId="0" fillId="0" borderId="21" xfId="0" applyBorder="1"/>
    <xf numFmtId="0" fontId="0" fillId="0" borderId="6" xfId="0" applyBorder="1"/>
    <xf numFmtId="0" fontId="0" fillId="8" borderId="0" xfId="0" applyFill="1" applyBorder="1"/>
    <xf numFmtId="164" fontId="0" fillId="0" borderId="21" xfId="1" applyNumberFormat="1" applyFont="1" applyBorder="1"/>
    <xf numFmtId="0" fontId="0" fillId="0" borderId="3" xfId="0" applyBorder="1"/>
    <xf numFmtId="37" fontId="0" fillId="8" borderId="0" xfId="0" applyNumberFormat="1" applyFill="1" applyBorder="1"/>
    <xf numFmtId="37" fontId="0" fillId="2" borderId="2" xfId="0" quotePrefix="1" applyNumberFormat="1" applyFill="1" applyBorder="1" applyAlignment="1" applyProtection="1">
      <alignment horizontal="right"/>
    </xf>
    <xf numFmtId="37" fontId="0" fillId="2" borderId="21" xfId="0" quotePrefix="1" applyNumberFormat="1" applyFill="1" applyBorder="1" applyAlignment="1" applyProtection="1">
      <alignment horizontal="right"/>
    </xf>
    <xf numFmtId="37" fontId="12" fillId="0" borderId="21" xfId="0" applyNumberFormat="1" applyFont="1" applyBorder="1" applyAlignment="1" applyProtection="1">
      <alignment horizontal="right"/>
    </xf>
    <xf numFmtId="0" fontId="14" fillId="5" borderId="4" xfId="0" applyFont="1" applyFill="1" applyBorder="1" applyAlignment="1" applyProtection="1">
      <alignment horizontal="center" wrapText="1"/>
    </xf>
    <xf numFmtId="0" fontId="14" fillId="5" borderId="13" xfId="0" applyFont="1" applyFill="1" applyBorder="1" applyAlignment="1" applyProtection="1">
      <alignment horizontal="center" wrapText="1"/>
    </xf>
    <xf numFmtId="44" fontId="5" fillId="0" borderId="15" xfId="0" applyNumberFormat="1" applyFont="1" applyFill="1" applyBorder="1" applyAlignment="1" applyProtection="1">
      <alignment horizontal="center"/>
    </xf>
    <xf numFmtId="44" fontId="5" fillId="0" borderId="16" xfId="0" applyNumberFormat="1" applyFont="1" applyFill="1" applyBorder="1" applyAlignment="1" applyProtection="1">
      <alignment horizontal="center"/>
    </xf>
    <xf numFmtId="0" fontId="19" fillId="0" borderId="26" xfId="0" applyFont="1" applyFill="1" applyBorder="1" applyAlignment="1" applyProtection="1">
      <alignment horizontal="center"/>
    </xf>
    <xf numFmtId="0" fontId="19" fillId="0" borderId="27" xfId="0" applyFont="1" applyFill="1" applyBorder="1" applyAlignment="1" applyProtection="1">
      <alignment horizontal="center"/>
    </xf>
    <xf numFmtId="1" fontId="12" fillId="6" borderId="21" xfId="0" applyNumberFormat="1" applyFont="1" applyFill="1" applyBorder="1" applyAlignment="1" applyProtection="1">
      <alignment horizontal="center"/>
      <protection locked="0"/>
    </xf>
    <xf numFmtId="1" fontId="12" fillId="6" borderId="25" xfId="0" applyNumberFormat="1" applyFont="1" applyFill="1" applyBorder="1" applyAlignment="1" applyProtection="1">
      <alignment horizontal="center"/>
      <protection locked="0"/>
    </xf>
    <xf numFmtId="44" fontId="5" fillId="0" borderId="0" xfId="0" applyNumberFormat="1" applyFont="1" applyFill="1" applyBorder="1" applyAlignment="1" applyProtection="1">
      <alignment horizontal="center"/>
    </xf>
    <xf numFmtId="0" fontId="19" fillId="0" borderId="0" xfId="0" applyFont="1" applyFill="1" applyBorder="1" applyAlignment="1" applyProtection="1">
      <alignment horizontal="center"/>
    </xf>
    <xf numFmtId="168" fontId="12" fillId="0" borderId="0" xfId="0" applyNumberFormat="1" applyFont="1" applyFill="1" applyBorder="1" applyProtection="1"/>
    <xf numFmtId="168" fontId="14" fillId="0" borderId="0" xfId="0" applyNumberFormat="1" applyFont="1" applyFill="1" applyBorder="1" applyProtection="1">
      <protection locked="0"/>
    </xf>
    <xf numFmtId="168" fontId="14" fillId="0" borderId="0" xfId="0" applyNumberFormat="1" applyFont="1" applyFill="1" applyBorder="1" applyProtection="1"/>
    <xf numFmtId="168" fontId="13" fillId="0" borderId="0" xfId="0" applyNumberFormat="1" applyFont="1" applyFill="1" applyBorder="1" applyProtection="1">
      <protection locked="0"/>
    </xf>
    <xf numFmtId="0" fontId="19" fillId="0" borderId="28" xfId="0" applyFont="1" applyFill="1" applyBorder="1" applyAlignment="1" applyProtection="1">
      <alignment horizontal="center"/>
    </xf>
    <xf numFmtId="0" fontId="19" fillId="0" borderId="29" xfId="0" applyFont="1" applyFill="1" applyBorder="1" applyAlignment="1" applyProtection="1">
      <alignment horizontal="center"/>
    </xf>
    <xf numFmtId="168" fontId="14" fillId="2" borderId="30" xfId="0" applyNumberFormat="1" applyFont="1" applyFill="1" applyBorder="1" applyProtection="1"/>
    <xf numFmtId="168" fontId="14" fillId="2" borderId="31" xfId="0" applyNumberFormat="1" applyFont="1" applyFill="1" applyBorder="1" applyProtection="1"/>
    <xf numFmtId="168" fontId="12" fillId="0" borderId="31" xfId="0" applyNumberFormat="1" applyFont="1" applyFill="1" applyBorder="1" applyProtection="1"/>
    <xf numFmtId="0" fontId="21" fillId="0" borderId="0" xfId="0" applyFont="1" applyAlignment="1" applyProtection="1">
      <alignment wrapText="1"/>
    </xf>
    <xf numFmtId="0" fontId="13" fillId="0" borderId="0" xfId="0" applyFont="1" applyFill="1" applyProtection="1"/>
    <xf numFmtId="37" fontId="12" fillId="0" borderId="3" xfId="0" applyNumberFormat="1" applyFont="1" applyBorder="1" applyAlignment="1" applyProtection="1">
      <alignment horizontal="right"/>
    </xf>
    <xf numFmtId="164" fontId="1" fillId="0" borderId="1" xfId="1" applyNumberFormat="1" applyFont="1" applyBorder="1"/>
    <xf numFmtId="0" fontId="14" fillId="2" borderId="17" xfId="0" applyFont="1" applyFill="1" applyBorder="1" applyAlignment="1" applyProtection="1">
      <alignment vertical="center"/>
    </xf>
    <xf numFmtId="166" fontId="0" fillId="2" borderId="19" xfId="0" applyNumberFormat="1" applyFill="1" applyBorder="1" applyAlignment="1" applyProtection="1">
      <alignment horizontal="center"/>
      <protection locked="0"/>
    </xf>
    <xf numFmtId="0" fontId="0" fillId="7" borderId="19" xfId="0" applyFill="1" applyBorder="1" applyAlignment="1" applyProtection="1">
      <alignment horizontal="center"/>
      <protection locked="0"/>
    </xf>
    <xf numFmtId="164" fontId="0" fillId="8" borderId="0" xfId="1" applyNumberFormat="1" applyFont="1" applyFill="1" applyBorder="1" applyAlignment="1" applyProtection="1">
      <alignment horizontal="center"/>
      <protection locked="0"/>
    </xf>
    <xf numFmtId="43" fontId="0" fillId="8" borderId="0" xfId="1" applyFont="1" applyFill="1" applyBorder="1" applyAlignment="1" applyProtection="1">
      <alignment horizontal="center"/>
      <protection locked="0"/>
    </xf>
    <xf numFmtId="167" fontId="0" fillId="8" borderId="0" xfId="0" applyNumberFormat="1" applyFill="1" applyBorder="1" applyAlignment="1" applyProtection="1">
      <alignment horizontal="center"/>
      <protection locked="0"/>
    </xf>
    <xf numFmtId="0" fontId="14" fillId="0" borderId="4" xfId="0" applyFont="1" applyBorder="1" applyAlignment="1" applyProtection="1">
      <alignment horizontal="center"/>
    </xf>
    <xf numFmtId="37" fontId="0" fillId="8" borderId="0" xfId="0" quotePrefix="1" applyNumberFormat="1" applyFill="1" applyBorder="1" applyAlignment="1" applyProtection="1">
      <alignment horizontal="right"/>
      <protection locked="0"/>
    </xf>
    <xf numFmtId="37" fontId="12" fillId="0" borderId="3" xfId="0" applyNumberFormat="1" applyFont="1" applyFill="1" applyBorder="1" applyAlignment="1" applyProtection="1">
      <alignment horizontal="right"/>
    </xf>
    <xf numFmtId="0" fontId="0" fillId="0" borderId="32" xfId="0" applyBorder="1" applyProtection="1"/>
    <xf numFmtId="49" fontId="0" fillId="0" borderId="17" xfId="0" applyNumberFormat="1" applyFill="1" applyBorder="1" applyAlignment="1" applyProtection="1">
      <alignment horizontal="center"/>
      <protection locked="0"/>
    </xf>
    <xf numFmtId="0" fontId="12" fillId="0" borderId="17" xfId="0" applyFont="1" applyFill="1" applyBorder="1" applyAlignment="1" applyProtection="1">
      <alignment horizontal="center"/>
      <protection locked="0"/>
    </xf>
    <xf numFmtId="0" fontId="12" fillId="0" borderId="18" xfId="0" applyFont="1" applyFill="1" applyBorder="1" applyAlignment="1" applyProtection="1">
      <alignment horizontal="center"/>
      <protection locked="0"/>
    </xf>
    <xf numFmtId="168" fontId="0" fillId="2" borderId="19" xfId="0" applyNumberFormat="1" applyFill="1" applyBorder="1" applyAlignment="1" applyProtection="1">
      <alignment horizontal="center"/>
      <protection locked="0"/>
    </xf>
    <xf numFmtId="0" fontId="12" fillId="8" borderId="9" xfId="0" applyFont="1" applyFill="1" applyBorder="1" applyAlignment="1" applyProtection="1">
      <alignment horizontal="center"/>
    </xf>
    <xf numFmtId="37" fontId="0" fillId="0" borderId="1" xfId="0" applyNumberFormat="1" applyBorder="1"/>
    <xf numFmtId="172" fontId="0" fillId="0" borderId="1" xfId="0" applyNumberFormat="1" applyBorder="1"/>
    <xf numFmtId="172" fontId="0" fillId="0" borderId="1" xfId="2" applyNumberFormat="1" applyFont="1" applyBorder="1"/>
    <xf numFmtId="164" fontId="0" fillId="0" borderId="21" xfId="1" applyNumberFormat="1" applyFont="1" applyFill="1" applyBorder="1"/>
    <xf numFmtId="164" fontId="0" fillId="0" borderId="1" xfId="0" applyNumberFormat="1" applyFill="1" applyBorder="1"/>
    <xf numFmtId="0" fontId="7" fillId="0" borderId="0" xfId="0" applyFont="1" applyBorder="1" applyAlignment="1" applyProtection="1">
      <alignment vertical="top"/>
    </xf>
    <xf numFmtId="0" fontId="5" fillId="0" borderId="0" xfId="0" applyFont="1" applyAlignment="1" applyProtection="1">
      <alignment horizontal="left"/>
    </xf>
    <xf numFmtId="0" fontId="6" fillId="2" borderId="0" xfId="0" applyFont="1" applyFill="1" applyAlignment="1" applyProtection="1">
      <alignment horizontal="right" vertical="top"/>
    </xf>
    <xf numFmtId="173" fontId="6" fillId="2" borderId="0" xfId="0" applyNumberFormat="1" applyFont="1" applyFill="1" applyAlignment="1" applyProtection="1">
      <alignment horizontal="right" vertical="top"/>
      <protection locked="0"/>
    </xf>
    <xf numFmtId="0" fontId="12" fillId="0" borderId="33" xfId="0" applyFont="1" applyBorder="1" applyProtection="1"/>
    <xf numFmtId="49" fontId="0" fillId="0" borderId="33" xfId="0" applyNumberFormat="1" applyBorder="1" applyAlignment="1" applyProtection="1">
      <alignment horizontal="center"/>
    </xf>
    <xf numFmtId="0" fontId="12" fillId="0" borderId="33" xfId="0" applyFont="1" applyBorder="1" applyAlignment="1" applyProtection="1">
      <alignment horizontal="center"/>
    </xf>
    <xf numFmtId="0" fontId="12" fillId="0" borderId="34" xfId="0" applyFont="1" applyBorder="1" applyAlignment="1" applyProtection="1">
      <alignment horizontal="center"/>
    </xf>
    <xf numFmtId="0" fontId="0" fillId="0" borderId="21" xfId="0" applyBorder="1" applyAlignment="1">
      <alignment horizontal="center"/>
    </xf>
    <xf numFmtId="172" fontId="1" fillId="0" borderId="1" xfId="0" applyNumberFormat="1" applyFont="1" applyBorder="1"/>
    <xf numFmtId="0" fontId="0" fillId="0" borderId="1"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0" fontId="12" fillId="0" borderId="19" xfId="0" applyFont="1" applyBorder="1" applyAlignment="1" applyProtection="1">
      <alignment horizontal="center" wrapText="1"/>
    </xf>
    <xf numFmtId="0" fontId="0" fillId="0" borderId="13" xfId="0" applyFill="1" applyBorder="1"/>
    <xf numFmtId="0" fontId="0" fillId="0" borderId="13" xfId="0" applyBorder="1"/>
    <xf numFmtId="0" fontId="0" fillId="0" borderId="12" xfId="0" applyBorder="1"/>
    <xf numFmtId="0" fontId="0" fillId="2" borderId="21" xfId="0" applyFill="1" applyBorder="1"/>
    <xf numFmtId="0" fontId="0" fillId="0" borderId="5" xfId="0" applyFill="1" applyBorder="1"/>
    <xf numFmtId="0" fontId="0" fillId="0" borderId="11" xfId="0" applyBorder="1"/>
    <xf numFmtId="0" fontId="0" fillId="0" borderId="8" xfId="0" applyFill="1" applyBorder="1"/>
    <xf numFmtId="0" fontId="0" fillId="0" borderId="21" xfId="0" applyFill="1" applyBorder="1"/>
    <xf numFmtId="0" fontId="0" fillId="0" borderId="12" xfId="0" applyFill="1" applyBorder="1"/>
    <xf numFmtId="0" fontId="0" fillId="8" borderId="13" xfId="0" applyFill="1" applyBorder="1"/>
    <xf numFmtId="0" fontId="1" fillId="0" borderId="0" xfId="0" applyFont="1" applyFill="1" applyBorder="1"/>
    <xf numFmtId="0" fontId="0" fillId="0" borderId="13" xfId="0" applyFont="1" applyFill="1" applyBorder="1"/>
    <xf numFmtId="0" fontId="1" fillId="0" borderId="1" xfId="0" applyFont="1" applyBorder="1" applyAlignment="1">
      <alignment horizontal="center"/>
    </xf>
    <xf numFmtId="0" fontId="1" fillId="0" borderId="0" xfId="0" applyFont="1" applyBorder="1" applyAlignment="1"/>
    <xf numFmtId="0" fontId="1" fillId="0" borderId="21" xfId="0" applyFont="1" applyBorder="1" applyAlignment="1">
      <alignment horizontal="center" vertical="center"/>
    </xf>
    <xf numFmtId="0" fontId="0" fillId="0" borderId="1" xfId="0" applyBorder="1" applyAlignment="1">
      <alignment horizontal="center"/>
    </xf>
    <xf numFmtId="167" fontId="11" fillId="2" borderId="17" xfId="3" applyNumberFormat="1" applyFill="1" applyBorder="1" applyAlignment="1" applyProtection="1">
      <alignment horizontal="center"/>
      <protection locked="0"/>
    </xf>
    <xf numFmtId="37" fontId="0" fillId="9" borderId="24" xfId="0" quotePrefix="1" applyNumberFormat="1" applyFill="1" applyBorder="1" applyAlignment="1" applyProtection="1">
      <alignment horizontal="right"/>
      <protection locked="0"/>
    </xf>
    <xf numFmtId="170" fontId="0" fillId="9" borderId="21" xfId="2" quotePrefix="1" applyNumberFormat="1" applyFont="1" applyFill="1" applyBorder="1" applyAlignment="1" applyProtection="1">
      <alignment horizontal="right"/>
      <protection locked="0"/>
    </xf>
    <xf numFmtId="37" fontId="0" fillId="9" borderId="21" xfId="0" quotePrefix="1" applyNumberFormat="1" applyFill="1" applyBorder="1" applyAlignment="1" applyProtection="1">
      <alignment horizontal="right"/>
      <protection locked="0"/>
    </xf>
    <xf numFmtId="164" fontId="0" fillId="2" borderId="17" xfId="1" applyNumberFormat="1" applyFont="1" applyFill="1" applyBorder="1" applyAlignment="1" applyProtection="1">
      <alignment horizontal="center"/>
      <protection locked="0"/>
    </xf>
    <xf numFmtId="164" fontId="0" fillId="7" borderId="17" xfId="0" applyNumberFormat="1" applyFill="1" applyBorder="1" applyAlignment="1" applyProtection="1">
      <alignment horizontal="center"/>
      <protection locked="0"/>
    </xf>
    <xf numFmtId="169" fontId="1" fillId="0" borderId="17" xfId="0" applyNumberFormat="1" applyFont="1" applyFill="1" applyBorder="1" applyAlignment="1" applyProtection="1">
      <alignment horizontal="right"/>
    </xf>
    <xf numFmtId="0" fontId="12" fillId="0" borderId="0" xfId="0" applyFont="1" applyBorder="1" applyProtection="1"/>
    <xf numFmtId="49" fontId="0" fillId="0" borderId="0" xfId="0" applyNumberFormat="1" applyFill="1" applyBorder="1" applyAlignment="1" applyProtection="1">
      <alignment horizontal="center"/>
      <protection locked="0"/>
    </xf>
    <xf numFmtId="0" fontId="12" fillId="0" borderId="0" xfId="0" applyFont="1" applyFill="1" applyBorder="1" applyAlignment="1" applyProtection="1">
      <alignment horizontal="center"/>
      <protection locked="0"/>
    </xf>
    <xf numFmtId="37" fontId="12" fillId="0" borderId="0" xfId="0" applyNumberFormat="1" applyFont="1" applyBorder="1" applyAlignment="1" applyProtection="1">
      <alignment horizontal="right"/>
    </xf>
    <xf numFmtId="37" fontId="12" fillId="0" borderId="0" xfId="0" applyNumberFormat="1" applyFont="1" applyFill="1" applyBorder="1" applyAlignment="1" applyProtection="1">
      <alignment horizontal="right"/>
    </xf>
    <xf numFmtId="0" fontId="0" fillId="0" borderId="17" xfId="0" applyFill="1" applyBorder="1" applyAlignment="1" applyProtection="1">
      <alignment horizontal="center"/>
      <protection locked="0"/>
    </xf>
    <xf numFmtId="169" fontId="1" fillId="0" borderId="1" xfId="0" applyNumberFormat="1" applyFont="1" applyBorder="1" applyAlignment="1" applyProtection="1">
      <alignment horizontal="right"/>
    </xf>
    <xf numFmtId="164" fontId="0" fillId="2" borderId="21" xfId="1" applyNumberFormat="1" applyFont="1" applyFill="1" applyBorder="1"/>
    <xf numFmtId="164" fontId="0" fillId="2" borderId="6" xfId="1" applyNumberFormat="1" applyFont="1" applyFill="1" applyBorder="1"/>
    <xf numFmtId="0" fontId="0" fillId="0" borderId="18" xfId="0" applyFill="1" applyBorder="1" applyAlignment="1" applyProtection="1">
      <alignment horizontal="center"/>
      <protection locked="0"/>
    </xf>
    <xf numFmtId="37" fontId="0" fillId="9" borderId="9" xfId="0" quotePrefix="1" applyNumberFormat="1" applyFill="1" applyBorder="1" applyAlignment="1" applyProtection="1">
      <alignment horizontal="right"/>
      <protection locked="0"/>
    </xf>
    <xf numFmtId="37" fontId="0" fillId="0" borderId="1" xfId="0" quotePrefix="1" applyNumberFormat="1" applyFill="1" applyBorder="1" applyAlignment="1" applyProtection="1">
      <alignment horizontal="right"/>
      <protection locked="0"/>
    </xf>
    <xf numFmtId="37" fontId="1" fillId="9" borderId="1" xfId="0" quotePrefix="1" applyNumberFormat="1" applyFont="1" applyFill="1" applyBorder="1" applyAlignment="1" applyProtection="1">
      <alignment horizontal="right"/>
      <protection locked="0"/>
    </xf>
    <xf numFmtId="164" fontId="0" fillId="2" borderId="1" xfId="1" applyNumberFormat="1" applyFont="1" applyFill="1" applyBorder="1"/>
    <xf numFmtId="164" fontId="0" fillId="0" borderId="1" xfId="1" applyNumberFormat="1" applyFont="1" applyBorder="1"/>
    <xf numFmtId="172" fontId="0" fillId="0" borderId="0" xfId="0" applyNumberFormat="1"/>
    <xf numFmtId="169" fontId="0" fillId="0" borderId="0" xfId="0" applyNumberFormat="1" applyProtection="1"/>
    <xf numFmtId="174" fontId="0" fillId="2" borderId="1" xfId="0" applyNumberFormat="1" applyFill="1" applyBorder="1"/>
    <xf numFmtId="43" fontId="0" fillId="2" borderId="1" xfId="1" applyNumberFormat="1" applyFont="1" applyFill="1" applyBorder="1"/>
    <xf numFmtId="43" fontId="0" fillId="2" borderId="4" xfId="1" applyNumberFormat="1" applyFont="1" applyFill="1" applyBorder="1"/>
    <xf numFmtId="164" fontId="0" fillId="0" borderId="1" xfId="0" applyNumberFormat="1" applyBorder="1"/>
    <xf numFmtId="164" fontId="0" fillId="0" borderId="35" xfId="1" applyNumberFormat="1" applyFont="1" applyBorder="1"/>
    <xf numFmtId="43" fontId="0" fillId="0" borderId="0" xfId="0" applyNumberFormat="1"/>
    <xf numFmtId="168" fontId="13" fillId="0" borderId="1" xfId="0" applyNumberFormat="1" applyFont="1" applyFill="1" applyBorder="1" applyProtection="1">
      <protection locked="0"/>
    </xf>
    <xf numFmtId="10" fontId="1" fillId="0" borderId="1" xfId="0" applyNumberFormat="1" applyFont="1" applyBorder="1"/>
    <xf numFmtId="0" fontId="1" fillId="0" borderId="13" xfId="0" applyFont="1" applyBorder="1"/>
    <xf numFmtId="164" fontId="1" fillId="0" borderId="36" xfId="1" applyNumberFormat="1" applyFont="1" applyBorder="1"/>
    <xf numFmtId="0" fontId="0" fillId="0" borderId="1" xfId="0" applyBorder="1" applyAlignment="1">
      <alignment horizontal="center"/>
    </xf>
    <xf numFmtId="0" fontId="1" fillId="0" borderId="0" xfId="0" applyFont="1" applyAlignment="1">
      <alignment horizontal="center"/>
    </xf>
    <xf numFmtId="0" fontId="0" fillId="0" borderId="0" xfId="0" applyBorder="1" applyAlignment="1">
      <alignment horizontal="center"/>
    </xf>
    <xf numFmtId="0" fontId="1" fillId="0" borderId="1" xfId="0" applyFont="1" applyBorder="1" applyAlignment="1">
      <alignment horizontal="center"/>
    </xf>
    <xf numFmtId="0" fontId="0" fillId="0" borderId="12" xfId="0" applyBorder="1" applyAlignment="1">
      <alignment horizontal="center"/>
    </xf>
    <xf numFmtId="0" fontId="0" fillId="0" borderId="11" xfId="0" applyBorder="1" applyAlignment="1">
      <alignment horizontal="center"/>
    </xf>
    <xf numFmtId="171" fontId="0" fillId="2" borderId="1" xfId="1" applyNumberFormat="1" applyFont="1" applyFill="1" applyBorder="1"/>
    <xf numFmtId="43" fontId="0" fillId="0" borderId="1" xfId="1" applyFont="1" applyBorder="1"/>
    <xf numFmtId="43" fontId="0" fillId="2" borderId="1" xfId="0" applyNumberFormat="1" applyFill="1" applyBorder="1"/>
    <xf numFmtId="43" fontId="0" fillId="2" borderId="4" xfId="0" applyNumberFormat="1" applyFill="1" applyBorder="1"/>
    <xf numFmtId="44" fontId="0" fillId="0" borderId="0" xfId="0" applyNumberFormat="1"/>
    <xf numFmtId="0" fontId="7" fillId="0" borderId="0" xfId="0" applyFont="1" applyBorder="1" applyAlignment="1" applyProtection="1">
      <alignment horizontal="center" vertical="top"/>
    </xf>
    <xf numFmtId="1" fontId="12" fillId="6" borderId="22" xfId="0" applyNumberFormat="1" applyFont="1" applyFill="1" applyBorder="1" applyAlignment="1" applyProtection="1">
      <alignment horizontal="center"/>
      <protection locked="0"/>
    </xf>
    <xf numFmtId="1" fontId="12" fillId="6" borderId="23" xfId="0" applyNumberFormat="1" applyFont="1" applyFill="1" applyBorder="1" applyAlignment="1" applyProtection="1">
      <alignment horizontal="center"/>
      <protection locked="0"/>
    </xf>
    <xf numFmtId="1" fontId="12" fillId="6" borderId="9" xfId="0" applyNumberFormat="1" applyFont="1" applyFill="1" applyBorder="1" applyAlignment="1" applyProtection="1">
      <alignment horizontal="center"/>
      <protection locked="0"/>
    </xf>
    <xf numFmtId="1" fontId="12" fillId="6" borderId="1" xfId="0" applyNumberFormat="1" applyFont="1" applyFill="1" applyBorder="1" applyAlignment="1" applyProtection="1">
      <alignment horizontal="center"/>
      <protection locked="0"/>
    </xf>
    <xf numFmtId="0" fontId="14" fillId="0" borderId="2"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xf numFmtId="0" fontId="13" fillId="0" borderId="21" xfId="0" applyFont="1" applyFill="1" applyBorder="1" applyAlignment="1" applyProtection="1">
      <alignment horizontal="center" vertical="center" wrapText="1"/>
    </xf>
    <xf numFmtId="0" fontId="0" fillId="0" borderId="1" xfId="0" applyBorder="1" applyAlignment="1">
      <alignment horizontal="center"/>
    </xf>
    <xf numFmtId="164" fontId="0" fillId="0" borderId="1" xfId="1" applyNumberFormat="1" applyFont="1" applyBorder="1" applyAlignment="1">
      <alignment horizontal="center"/>
    </xf>
    <xf numFmtId="0" fontId="0" fillId="0" borderId="4" xfId="0" applyFont="1" applyBorder="1" applyAlignment="1">
      <alignment horizontal="center"/>
    </xf>
    <xf numFmtId="0" fontId="0" fillId="0" borderId="3" xfId="0" applyFont="1"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1" fillId="0" borderId="0" xfId="0" applyFont="1" applyAlignment="1">
      <alignment horizontal="center"/>
    </xf>
    <xf numFmtId="0" fontId="0" fillId="0" borderId="0" xfId="0"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0" fillId="0" borderId="12" xfId="0" applyBorder="1" applyAlignment="1">
      <alignment horizontal="center"/>
    </xf>
    <xf numFmtId="0" fontId="0" fillId="0" borderId="11" xfId="0" applyBorder="1" applyAlignment="1">
      <alignment horizontal="center"/>
    </xf>
    <xf numFmtId="0" fontId="0" fillId="0" borderId="4" xfId="0" applyBorder="1" applyAlignment="1">
      <alignment horizontal="center" wrapText="1"/>
    </xf>
    <xf numFmtId="0" fontId="0" fillId="0" borderId="3" xfId="0" applyBorder="1" applyAlignment="1">
      <alignment horizontal="center" wrapText="1"/>
    </xf>
    <xf numFmtId="0" fontId="0" fillId="0" borderId="13" xfId="0" applyBorder="1" applyAlignment="1">
      <alignment horizontal="center" wrapText="1"/>
    </xf>
    <xf numFmtId="0" fontId="0" fillId="3" borderId="1" xfId="0" applyFill="1" applyBorder="1" applyAlignment="1">
      <alignment horizontal="center"/>
    </xf>
  </cellXfs>
  <cellStyles count="5">
    <cellStyle name="Comma" xfId="1" builtinId="3"/>
    <cellStyle name="Comma 6" xfId="3"/>
    <cellStyle name="Currency" xfId="2" builtinId="4"/>
    <cellStyle name="Normal" xfId="0" builtinId="0"/>
    <cellStyle name="Percent 6" xfId="4"/>
  </cellStyles>
  <dxfs count="2">
    <dxf>
      <font>
        <b/>
        <i val="0"/>
        <condense val="0"/>
        <extend val="0"/>
        <color auto="1"/>
      </font>
      <fill>
        <patternFill>
          <bgColor indexed="10"/>
        </patternFill>
      </fill>
    </dxf>
    <dxf>
      <font>
        <b/>
        <i val="0"/>
        <condense val="0"/>
        <extend val="0"/>
        <color auto="1"/>
      </font>
      <fill>
        <patternFill>
          <bgColor indexed="10"/>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Kingston%20Hydro\Kingston%20Hydro%202016%20COS%20Rate%20Application\Ch%202%20Appendices%20Model\141124%20-%20Revised_2015%20Chapter2_Appendices_V2%201%20-%20Draft%20KH%202013%20Verified%20CDM.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sgibson\AppData\Local\Microsoft\Windows\Temporary%20Internet%20Files\Content.IE5\7YQTJQXW\2020_Filing_Requirements_%20App.%202-Z_Commodity%20Expense.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IA2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_2016"/>
      <sheetName val="App.2-P_Cost_Allocation _2017"/>
      <sheetName val="App.2-P_Cost_Allocation _2018"/>
      <sheetName val="App.2-P_Cost_Allocation _2019"/>
      <sheetName val="App.2-P_Cost_Allocation _2020"/>
      <sheetName val="App.2-Q_Cost of Serv. Emb. Dx"/>
      <sheetName val="App.2-R_Loss Factors"/>
      <sheetName val="App.2-R2 _LossAdjustmentFactors"/>
      <sheetName val="App.2-S_Stranded Meters"/>
      <sheetName val="App.2-TA_1592_Tax_Variance"/>
      <sheetName val="App.2-TB_1592_HST-OVAT"/>
      <sheetName val="App.2-U_IFRS Transition Costs"/>
      <sheetName val="App.2-V_Rev_Reconciliation"/>
      <sheetName val="App.2-W_Bill Impacts"/>
      <sheetName val="App.2-Y_MIFRS Summary Impacts"/>
      <sheetName val="lists"/>
      <sheetName val="lists2"/>
      <sheetName val="Sheet19"/>
      <sheetName val="Sheet1"/>
      <sheetName val="App.2-Z_Tariff_Schedule"/>
    </sheetNames>
    <sheetDataSet>
      <sheetData sheetId="0">
        <row r="16">
          <cell r="E16" t="str">
            <v>EB-2015-0083</v>
          </cell>
        </row>
        <row r="26">
          <cell r="E26">
            <v>2015</v>
          </cell>
        </row>
        <row r="28">
          <cell r="E28">
            <v>2011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0"/>
      <sheetData sheetId="61"/>
      <sheetData sheetId="62"/>
      <sheetData sheetId="6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
          <cell r="H1" t="str">
            <v>EB-2019-0048</v>
          </cell>
        </row>
      </sheetData>
      <sheetData sheetId="47"/>
      <sheetData sheetId="48"/>
      <sheetData sheetId="49"/>
      <sheetData sheetId="50"/>
      <sheetData sheetId="5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6"/>
  <sheetViews>
    <sheetView topLeftCell="D1" zoomScale="75" zoomScaleNormal="75" workbookViewId="0">
      <selection activeCell="L9" sqref="L9"/>
    </sheetView>
  </sheetViews>
  <sheetFormatPr defaultRowHeight="15" outlineLevelRow="1" x14ac:dyDescent="0.25"/>
  <cols>
    <col min="1" max="1" width="9.28515625" customWidth="1"/>
    <col min="2" max="2" width="43.28515625" customWidth="1"/>
    <col min="3" max="3" width="7.140625" customWidth="1"/>
    <col min="4" max="4" width="10.28515625" customWidth="1"/>
    <col min="5" max="5" width="7.7109375" customWidth="1"/>
    <col min="6" max="6" width="20.28515625" customWidth="1"/>
    <col min="7" max="7" width="14.5703125" customWidth="1"/>
    <col min="8" max="10" width="17.42578125" customWidth="1"/>
    <col min="11" max="11" width="21.140625" customWidth="1"/>
    <col min="12" max="12" width="16.5703125" customWidth="1"/>
    <col min="13" max="13" width="12.42578125" bestFit="1" customWidth="1"/>
    <col min="14" max="14" width="12" bestFit="1" customWidth="1"/>
  </cols>
  <sheetData>
    <row r="1" spans="1:27" x14ac:dyDescent="0.25">
      <c r="A1" s="23"/>
      <c r="B1" s="24"/>
      <c r="C1" s="23"/>
      <c r="D1" s="23"/>
      <c r="E1" s="23"/>
      <c r="F1" s="23"/>
      <c r="G1" s="23"/>
      <c r="H1" s="23"/>
      <c r="I1" s="23"/>
      <c r="J1" s="23"/>
      <c r="K1" s="23"/>
      <c r="L1" s="23"/>
      <c r="M1" s="23"/>
      <c r="N1" s="23"/>
      <c r="O1" s="23"/>
      <c r="P1" s="23"/>
    </row>
    <row r="2" spans="1:27" x14ac:dyDescent="0.25">
      <c r="A2" s="115"/>
      <c r="B2" s="115"/>
      <c r="C2" s="115"/>
      <c r="D2" s="115"/>
      <c r="E2" s="115"/>
      <c r="F2" s="23"/>
      <c r="G2" s="23"/>
      <c r="H2" s="23"/>
      <c r="I2" s="23"/>
      <c r="J2" s="23"/>
      <c r="K2" s="140" t="s">
        <v>69</v>
      </c>
      <c r="L2" s="141" t="s">
        <v>99</v>
      </c>
      <c r="N2" s="23"/>
      <c r="O2" s="23"/>
      <c r="P2" s="23"/>
    </row>
    <row r="3" spans="1:27" ht="18" x14ac:dyDescent="0.25">
      <c r="A3" s="115"/>
      <c r="C3" s="139"/>
      <c r="D3" s="139"/>
      <c r="E3" s="139"/>
      <c r="F3" s="139"/>
      <c r="G3" s="139"/>
      <c r="H3" s="139"/>
      <c r="I3" s="139"/>
      <c r="J3" s="139"/>
      <c r="K3" s="140" t="s">
        <v>70</v>
      </c>
      <c r="L3" s="26">
        <v>2</v>
      </c>
      <c r="N3" s="23"/>
      <c r="O3" s="23"/>
      <c r="P3" s="23"/>
    </row>
    <row r="4" spans="1:27" x14ac:dyDescent="0.25">
      <c r="A4" s="23"/>
      <c r="B4" s="216" t="s">
        <v>31</v>
      </c>
      <c r="C4" s="216"/>
      <c r="D4" s="216"/>
      <c r="E4" s="216"/>
      <c r="F4" s="216"/>
      <c r="G4" s="216"/>
      <c r="H4" s="216"/>
      <c r="I4" s="216"/>
      <c r="J4" s="23"/>
      <c r="K4" s="140" t="s">
        <v>71</v>
      </c>
      <c r="L4" s="26">
        <v>1</v>
      </c>
      <c r="N4" s="23"/>
      <c r="O4" s="23"/>
      <c r="P4" s="23"/>
    </row>
    <row r="5" spans="1:27" ht="18" customHeight="1" x14ac:dyDescent="0.25">
      <c r="A5" s="23"/>
      <c r="B5" s="216"/>
      <c r="C5" s="216"/>
      <c r="D5" s="216"/>
      <c r="E5" s="216"/>
      <c r="F5" s="216"/>
      <c r="G5" s="216"/>
      <c r="H5" s="216"/>
      <c r="I5" s="216"/>
      <c r="J5" s="139"/>
      <c r="K5" s="140" t="s">
        <v>72</v>
      </c>
      <c r="L5" s="26">
        <v>4</v>
      </c>
      <c r="N5" s="23"/>
      <c r="O5" s="23"/>
      <c r="P5" s="23"/>
    </row>
    <row r="6" spans="1:27" ht="15" customHeight="1" x14ac:dyDescent="0.25">
      <c r="A6" s="23"/>
      <c r="B6" s="216"/>
      <c r="C6" s="216"/>
      <c r="D6" s="216"/>
      <c r="E6" s="216"/>
      <c r="F6" s="216"/>
      <c r="G6" s="216"/>
      <c r="H6" s="216"/>
      <c r="I6" s="216"/>
      <c r="J6" s="139"/>
      <c r="K6" s="140" t="s">
        <v>73</v>
      </c>
      <c r="L6" s="28"/>
      <c r="N6" s="23"/>
      <c r="O6" s="23"/>
      <c r="P6" s="23"/>
    </row>
    <row r="7" spans="1:27" x14ac:dyDescent="0.25">
      <c r="A7" s="23"/>
      <c r="B7" s="27"/>
      <c r="C7" s="23"/>
      <c r="D7" s="23"/>
      <c r="E7" s="23"/>
      <c r="F7" s="23"/>
      <c r="G7" s="23"/>
      <c r="H7" s="23"/>
      <c r="I7" s="23"/>
      <c r="J7" s="23"/>
      <c r="K7" s="140"/>
      <c r="L7" s="25"/>
      <c r="N7" s="23"/>
      <c r="O7" s="23"/>
      <c r="P7" s="23"/>
    </row>
    <row r="8" spans="1:27" x14ac:dyDescent="0.25">
      <c r="A8" s="23"/>
      <c r="B8" s="27"/>
      <c r="C8" s="23"/>
      <c r="D8" s="23"/>
      <c r="E8" s="23"/>
      <c r="F8" s="23"/>
      <c r="G8" s="23"/>
      <c r="H8" s="23"/>
      <c r="I8" s="23"/>
      <c r="J8" s="23"/>
      <c r="K8" s="140" t="s">
        <v>74</v>
      </c>
      <c r="L8" s="142">
        <v>44074</v>
      </c>
      <c r="N8" s="23"/>
      <c r="O8" s="23"/>
      <c r="P8" s="23"/>
    </row>
    <row r="9" spans="1:27" x14ac:dyDescent="0.25">
      <c r="A9" s="23"/>
      <c r="B9" s="27"/>
      <c r="C9" s="23"/>
      <c r="D9" s="23"/>
      <c r="E9" s="23"/>
      <c r="F9" s="23"/>
      <c r="G9" s="23"/>
      <c r="H9" s="23"/>
      <c r="I9" s="23"/>
      <c r="J9" s="23"/>
      <c r="K9" s="29"/>
      <c r="L9" s="23"/>
      <c r="N9" s="23"/>
      <c r="O9" s="23"/>
      <c r="P9" s="23"/>
    </row>
    <row r="10" spans="1:27" ht="15.75" thickBot="1" x14ac:dyDescent="0.3">
      <c r="A10" s="35"/>
      <c r="B10" s="36"/>
      <c r="C10" s="37"/>
      <c r="D10" s="38"/>
      <c r="E10" s="38"/>
      <c r="F10" s="38"/>
      <c r="G10" s="35"/>
      <c r="H10" s="35"/>
      <c r="I10" s="35"/>
      <c r="J10" s="35"/>
      <c r="K10" s="35"/>
      <c r="L10" s="38"/>
      <c r="Q10" s="41"/>
      <c r="R10" s="41"/>
      <c r="S10" s="41"/>
      <c r="T10" s="41"/>
      <c r="U10" s="41"/>
      <c r="V10" s="41"/>
      <c r="Y10" s="32"/>
      <c r="Z10" s="32"/>
      <c r="AA10" s="32"/>
    </row>
    <row r="11" spans="1:27" ht="15.75" x14ac:dyDescent="0.25">
      <c r="A11" s="39"/>
      <c r="B11" s="40"/>
      <c r="C11" s="41"/>
      <c r="D11" s="41"/>
      <c r="E11" s="41"/>
      <c r="F11" s="41"/>
      <c r="G11" s="32"/>
      <c r="H11" s="41"/>
      <c r="I11" s="41"/>
      <c r="J11" s="41"/>
      <c r="K11" s="41"/>
      <c r="L11" s="42"/>
      <c r="M11" s="30"/>
      <c r="N11" s="40"/>
      <c r="O11" s="41"/>
      <c r="P11" s="41"/>
      <c r="Q11" s="41"/>
      <c r="R11" s="41"/>
      <c r="S11" s="41"/>
      <c r="T11" s="41"/>
      <c r="U11" s="41"/>
      <c r="V11" s="41"/>
      <c r="Y11" s="32"/>
      <c r="Z11" s="32"/>
      <c r="AA11" s="32"/>
    </row>
    <row r="12" spans="1:27" ht="15.75" x14ac:dyDescent="0.25">
      <c r="A12" s="42" t="s">
        <v>32</v>
      </c>
      <c r="B12" s="30" t="s">
        <v>84</v>
      </c>
      <c r="C12" s="40"/>
      <c r="D12" s="41"/>
      <c r="E12" s="41"/>
      <c r="F12" s="41"/>
      <c r="G12" s="32"/>
      <c r="H12" s="41"/>
      <c r="I12" s="41"/>
      <c r="J12" s="41"/>
      <c r="K12" s="41"/>
      <c r="L12" s="42"/>
      <c r="M12" s="30"/>
      <c r="N12" s="40"/>
      <c r="O12" s="41"/>
      <c r="P12" s="41"/>
      <c r="Q12" s="41"/>
      <c r="R12" s="41"/>
      <c r="S12" s="41"/>
      <c r="T12" s="41"/>
      <c r="U12" s="41"/>
      <c r="V12" s="41"/>
      <c r="Y12" s="32"/>
      <c r="Z12" s="32"/>
      <c r="AA12" s="32"/>
    </row>
    <row r="13" spans="1:27" ht="16.5" thickBot="1" x14ac:dyDescent="0.3">
      <c r="A13" s="39"/>
      <c r="B13" s="40"/>
      <c r="C13" s="41"/>
      <c r="D13" s="41"/>
      <c r="E13" s="41"/>
      <c r="F13" s="41"/>
      <c r="G13" s="32"/>
      <c r="H13" s="41"/>
      <c r="I13" s="41"/>
      <c r="J13" s="41"/>
      <c r="K13" s="41"/>
      <c r="L13" s="42"/>
      <c r="M13" s="30"/>
      <c r="N13" s="40"/>
      <c r="O13" s="41"/>
      <c r="P13" s="41"/>
      <c r="Q13" s="41"/>
      <c r="R13" s="41"/>
      <c r="S13" s="41"/>
      <c r="T13" s="41"/>
      <c r="U13" s="41"/>
      <c r="V13" s="41"/>
      <c r="Y13" s="32"/>
      <c r="Z13" s="32"/>
      <c r="AA13" s="32"/>
    </row>
    <row r="14" spans="1:27" ht="15.75" thickBot="1" x14ac:dyDescent="0.3">
      <c r="A14" s="32"/>
      <c r="B14" s="43" t="s">
        <v>33</v>
      </c>
      <c r="C14" s="43"/>
      <c r="D14" s="43"/>
      <c r="E14" s="43"/>
      <c r="F14" s="32"/>
      <c r="G14" s="98"/>
      <c r="H14" s="99"/>
      <c r="J14" s="104"/>
      <c r="K14" s="104"/>
      <c r="L14" s="5"/>
      <c r="N14" s="44"/>
      <c r="O14" s="44"/>
      <c r="P14" s="32"/>
    </row>
    <row r="15" spans="1:27" x14ac:dyDescent="0.25">
      <c r="A15" s="42"/>
      <c r="B15" s="45" t="s">
        <v>35</v>
      </c>
      <c r="C15" s="43" t="s">
        <v>36</v>
      </c>
      <c r="D15" s="43"/>
      <c r="E15" s="43"/>
      <c r="F15" s="34"/>
      <c r="G15" s="100" t="s">
        <v>2</v>
      </c>
      <c r="H15" s="110" t="s">
        <v>1</v>
      </c>
      <c r="J15" s="105"/>
      <c r="K15" s="105"/>
      <c r="L15" s="5"/>
      <c r="N15" s="44"/>
      <c r="O15" s="44"/>
      <c r="P15" s="32"/>
    </row>
    <row r="16" spans="1:27" ht="15.75" thickBot="1" x14ac:dyDescent="0.3">
      <c r="A16" s="32"/>
      <c r="B16" s="46"/>
      <c r="C16" s="32"/>
      <c r="D16" s="43"/>
      <c r="E16" s="43"/>
      <c r="F16" s="32"/>
      <c r="G16" s="101"/>
      <c r="H16" s="111"/>
      <c r="J16" s="105"/>
      <c r="K16" s="105"/>
      <c r="L16" s="5"/>
      <c r="N16" s="44"/>
      <c r="O16" s="44"/>
      <c r="P16" s="32"/>
    </row>
    <row r="17" spans="1:16" ht="29.25" customHeight="1" x14ac:dyDescent="0.25">
      <c r="A17" s="32"/>
      <c r="B17" s="47" t="s">
        <v>37</v>
      </c>
      <c r="C17" s="221" t="s">
        <v>38</v>
      </c>
      <c r="D17" s="222"/>
      <c r="E17" s="223"/>
      <c r="F17" s="96"/>
      <c r="G17" s="48">
        <v>20.09</v>
      </c>
      <c r="H17" s="112">
        <v>20.09</v>
      </c>
      <c r="J17" s="107"/>
      <c r="K17" s="108"/>
      <c r="L17" s="5"/>
      <c r="N17" s="32"/>
      <c r="O17" s="32"/>
      <c r="P17" s="32"/>
    </row>
    <row r="18" spans="1:16" ht="32.25" customHeight="1" x14ac:dyDescent="0.25">
      <c r="A18" s="32"/>
      <c r="B18" s="47" t="s">
        <v>39</v>
      </c>
      <c r="C18" s="221" t="s">
        <v>40</v>
      </c>
      <c r="D18" s="222"/>
      <c r="E18" s="223"/>
      <c r="F18" s="97"/>
      <c r="G18" s="49">
        <v>106.94</v>
      </c>
      <c r="H18" s="113">
        <v>106.94</v>
      </c>
      <c r="J18" s="107"/>
      <c r="K18" s="108"/>
      <c r="L18" s="5"/>
      <c r="N18" s="32"/>
      <c r="O18" s="32"/>
      <c r="P18" s="32"/>
    </row>
    <row r="19" spans="1:16" x14ac:dyDescent="0.25">
      <c r="A19" s="32"/>
      <c r="B19" s="47" t="s">
        <v>41</v>
      </c>
      <c r="C19" s="224"/>
      <c r="D19" s="225"/>
      <c r="E19" s="226"/>
      <c r="F19" s="97"/>
      <c r="G19" s="201"/>
      <c r="H19" s="113">
        <v>1</v>
      </c>
      <c r="J19" s="109"/>
      <c r="K19" s="108"/>
      <c r="L19" s="5"/>
      <c r="N19" s="32"/>
      <c r="O19" s="32"/>
      <c r="P19" s="32"/>
    </row>
    <row r="20" spans="1:16" ht="40.5" customHeight="1" x14ac:dyDescent="0.25">
      <c r="A20" s="32"/>
      <c r="B20" s="50" t="s">
        <v>42</v>
      </c>
      <c r="C20" s="221" t="s">
        <v>43</v>
      </c>
      <c r="D20" s="222"/>
      <c r="E20" s="223"/>
      <c r="F20" s="97"/>
      <c r="G20" s="51"/>
      <c r="H20" s="114">
        <f>SUM(H17:H19)</f>
        <v>128.03</v>
      </c>
      <c r="J20" s="106"/>
      <c r="K20" s="106"/>
      <c r="L20" s="5"/>
      <c r="N20" s="32"/>
      <c r="O20" s="32"/>
      <c r="P20" s="32"/>
    </row>
    <row r="21" spans="1:16" ht="15.75" thickBot="1" x14ac:dyDescent="0.3">
      <c r="A21" s="35"/>
      <c r="B21" s="35"/>
      <c r="C21" s="35"/>
      <c r="D21" s="35"/>
      <c r="E21" s="35"/>
      <c r="F21" s="35"/>
      <c r="G21" s="35"/>
      <c r="H21" s="35"/>
      <c r="I21" s="35"/>
      <c r="J21" s="35"/>
      <c r="K21" s="35"/>
      <c r="L21" s="35"/>
      <c r="M21" s="32"/>
      <c r="N21" s="32"/>
      <c r="O21" s="32"/>
      <c r="P21" s="32"/>
    </row>
    <row r="22" spans="1:16" x14ac:dyDescent="0.25">
      <c r="A22" s="32"/>
      <c r="B22" s="32"/>
      <c r="C22" s="32"/>
      <c r="D22" s="32"/>
      <c r="E22" s="32"/>
      <c r="F22" s="32"/>
      <c r="G22" s="32"/>
      <c r="H22" s="32"/>
      <c r="I22" s="32"/>
      <c r="J22" s="32"/>
      <c r="K22" s="32"/>
      <c r="L22" s="32"/>
      <c r="M22" s="32"/>
      <c r="N22" s="32"/>
      <c r="O22" s="32"/>
      <c r="P22" s="32"/>
    </row>
    <row r="23" spans="1:16" ht="15.75" customHeight="1" outlineLevel="1" x14ac:dyDescent="0.25">
      <c r="A23" s="42" t="s">
        <v>34</v>
      </c>
      <c r="B23" s="30" t="s">
        <v>44</v>
      </c>
      <c r="C23" s="32"/>
      <c r="D23" s="32"/>
      <c r="E23" s="32"/>
      <c r="F23" s="32"/>
      <c r="G23" s="32"/>
      <c r="H23" s="32"/>
      <c r="I23" s="32"/>
      <c r="J23" s="32"/>
      <c r="K23" s="32"/>
      <c r="L23" s="32"/>
      <c r="M23" s="32"/>
      <c r="N23" s="32"/>
      <c r="O23" s="32"/>
      <c r="P23" s="32"/>
    </row>
    <row r="24" spans="1:16" ht="15" customHeight="1" outlineLevel="1" x14ac:dyDescent="0.25">
      <c r="A24" s="32"/>
      <c r="B24" s="52" t="s">
        <v>45</v>
      </c>
      <c r="C24" s="32"/>
      <c r="D24" s="32"/>
      <c r="E24" s="32"/>
      <c r="F24" s="32"/>
      <c r="G24" s="32"/>
      <c r="H24" s="32"/>
      <c r="I24" s="32"/>
      <c r="J24" s="32"/>
      <c r="K24" s="32"/>
      <c r="L24" s="32"/>
      <c r="M24" s="32"/>
      <c r="N24" s="32"/>
      <c r="O24" s="32"/>
      <c r="P24" s="32"/>
    </row>
    <row r="25" spans="1:16" ht="15" customHeight="1" outlineLevel="1" x14ac:dyDescent="0.25">
      <c r="A25" s="32"/>
      <c r="B25" s="52"/>
      <c r="C25" s="32"/>
      <c r="D25" s="32"/>
      <c r="E25" s="32"/>
      <c r="F25" s="32"/>
      <c r="G25" s="32"/>
      <c r="H25" s="32"/>
      <c r="I25" s="32"/>
      <c r="J25" s="32"/>
      <c r="K25" s="32"/>
      <c r="L25" s="32"/>
      <c r="M25" s="32"/>
      <c r="N25" s="32"/>
      <c r="O25" s="32"/>
      <c r="P25" s="32"/>
    </row>
    <row r="26" spans="1:16" ht="15" customHeight="1" outlineLevel="1" x14ac:dyDescent="0.25">
      <c r="A26" s="32"/>
      <c r="B26" s="53" t="s">
        <v>56</v>
      </c>
      <c r="C26" s="23"/>
      <c r="D26" s="23"/>
      <c r="E26" s="128"/>
      <c r="F26" s="102"/>
      <c r="G26" s="220" t="s">
        <v>97</v>
      </c>
      <c r="H26" s="220"/>
      <c r="I26" s="220"/>
      <c r="J26" s="220"/>
      <c r="K26" s="220"/>
      <c r="L26" s="220"/>
      <c r="M26" s="32"/>
      <c r="N26" s="32"/>
      <c r="O26" s="32"/>
      <c r="P26" s="32"/>
    </row>
    <row r="27" spans="1:16" ht="15" customHeight="1" outlineLevel="1" x14ac:dyDescent="0.25">
      <c r="A27" s="32"/>
      <c r="B27" s="54" t="s">
        <v>46</v>
      </c>
      <c r="C27" s="56"/>
      <c r="D27" s="56" t="s">
        <v>47</v>
      </c>
      <c r="E27" s="61" t="s">
        <v>48</v>
      </c>
      <c r="F27" s="62"/>
      <c r="G27" s="62"/>
      <c r="H27" s="62"/>
      <c r="I27" s="62"/>
      <c r="J27" s="62"/>
      <c r="K27" s="62"/>
      <c r="L27" s="62"/>
      <c r="M27" s="32"/>
      <c r="N27" s="32"/>
      <c r="O27" s="32"/>
      <c r="P27" s="32"/>
    </row>
    <row r="28" spans="1:16" ht="42.75" customHeight="1" outlineLevel="1" x14ac:dyDescent="0.25">
      <c r="A28" s="32"/>
      <c r="B28" s="63" t="s">
        <v>51</v>
      </c>
      <c r="C28" s="55" t="s">
        <v>52</v>
      </c>
      <c r="D28" s="55" t="s">
        <v>53</v>
      </c>
      <c r="E28" s="64" t="s">
        <v>53</v>
      </c>
      <c r="F28" s="78" t="s">
        <v>75</v>
      </c>
      <c r="G28" s="78"/>
      <c r="H28" s="78" t="s">
        <v>76</v>
      </c>
      <c r="I28" s="78" t="s">
        <v>77</v>
      </c>
      <c r="J28" s="78" t="s">
        <v>58</v>
      </c>
      <c r="K28" s="78" t="s">
        <v>59</v>
      </c>
      <c r="L28" s="65" t="s">
        <v>50</v>
      </c>
      <c r="M28" s="32"/>
      <c r="N28" s="32"/>
      <c r="O28" s="32"/>
      <c r="P28" s="32"/>
    </row>
    <row r="29" spans="1:16" ht="15" customHeight="1" outlineLevel="1" x14ac:dyDescent="0.25">
      <c r="A29" s="32"/>
      <c r="B29" s="119" t="s">
        <v>87</v>
      </c>
      <c r="C29" s="57" t="s">
        <v>4</v>
      </c>
      <c r="D29" s="57">
        <v>4006</v>
      </c>
      <c r="E29" s="67">
        <v>4705</v>
      </c>
      <c r="F29" s="93"/>
      <c r="G29" s="81"/>
      <c r="H29" s="94">
        <v>16746455.116391851</v>
      </c>
      <c r="I29" s="82">
        <v>447514877.43816632</v>
      </c>
      <c r="J29" s="79">
        <f t="shared" ref="J29:J37" si="0">+$G$17/1000</f>
        <v>2.009E-2</v>
      </c>
      <c r="K29" s="79">
        <f t="shared" ref="K29:K37" si="1">+$H$20/1000</f>
        <v>0.12803</v>
      </c>
      <c r="L29" s="68">
        <f t="shared" ref="L29:L37" si="2">(+F29+H29)*J29+(I29*K29)</f>
        <v>57631766.04169675</v>
      </c>
      <c r="M29" s="32"/>
      <c r="N29" s="32"/>
      <c r="O29" s="32"/>
      <c r="P29" s="32"/>
    </row>
    <row r="30" spans="1:16" ht="15" customHeight="1" outlineLevel="1" x14ac:dyDescent="0.25">
      <c r="A30" s="32"/>
      <c r="B30" s="119" t="s">
        <v>88</v>
      </c>
      <c r="C30" s="57" t="s">
        <v>4</v>
      </c>
      <c r="D30" s="57">
        <v>4010</v>
      </c>
      <c r="E30" s="67">
        <v>4705</v>
      </c>
      <c r="F30" s="93"/>
      <c r="G30" s="81"/>
      <c r="H30" s="94">
        <v>24056285.689707793</v>
      </c>
      <c r="I30" s="82">
        <v>110995392.84668885</v>
      </c>
      <c r="J30" s="79">
        <f t="shared" si="0"/>
        <v>2.009E-2</v>
      </c>
      <c r="K30" s="79">
        <f t="shared" si="1"/>
        <v>0.12803</v>
      </c>
      <c r="L30" s="68">
        <f t="shared" si="2"/>
        <v>14694030.925667804</v>
      </c>
      <c r="M30" s="32"/>
      <c r="N30" s="32"/>
      <c r="O30" s="32"/>
      <c r="P30" s="32"/>
    </row>
    <row r="31" spans="1:16" ht="15" customHeight="1" outlineLevel="1" x14ac:dyDescent="0.25">
      <c r="A31" s="32"/>
      <c r="B31" s="119" t="s">
        <v>89</v>
      </c>
      <c r="C31" s="57" t="s">
        <v>4</v>
      </c>
      <c r="D31" s="57">
        <v>4035</v>
      </c>
      <c r="E31" s="67">
        <v>4705</v>
      </c>
      <c r="F31" s="93">
        <v>224187184.81204498</v>
      </c>
      <c r="G31" s="81"/>
      <c r="H31" s="94">
        <v>446749115.858441</v>
      </c>
      <c r="I31" s="82">
        <v>26512020.787880912</v>
      </c>
      <c r="J31" s="79">
        <f t="shared" si="0"/>
        <v>2.009E-2</v>
      </c>
      <c r="K31" s="79">
        <f t="shared" si="1"/>
        <v>0.12803</v>
      </c>
      <c r="L31" s="68">
        <f t="shared" si="2"/>
        <v>16873444.301942457</v>
      </c>
      <c r="M31" s="32"/>
      <c r="N31" s="32"/>
      <c r="O31" s="32"/>
      <c r="P31" s="32"/>
    </row>
    <row r="32" spans="1:16" ht="15" customHeight="1" outlineLevel="1" x14ac:dyDescent="0.25">
      <c r="A32" s="32"/>
      <c r="B32" s="119" t="s">
        <v>90</v>
      </c>
      <c r="C32" s="57" t="s">
        <v>4</v>
      </c>
      <c r="D32" s="57">
        <v>4010</v>
      </c>
      <c r="E32" s="67">
        <v>4705</v>
      </c>
      <c r="F32" s="93"/>
      <c r="G32" s="81"/>
      <c r="H32" s="94">
        <v>0</v>
      </c>
      <c r="I32" s="82">
        <v>1595465.1252537589</v>
      </c>
      <c r="J32" s="79">
        <f t="shared" si="0"/>
        <v>2.009E-2</v>
      </c>
      <c r="K32" s="79">
        <f t="shared" si="1"/>
        <v>0.12803</v>
      </c>
      <c r="L32" s="68">
        <f t="shared" si="2"/>
        <v>204267.39998623874</v>
      </c>
      <c r="M32" s="32"/>
      <c r="N32" s="32"/>
      <c r="O32" s="32"/>
      <c r="P32" s="32"/>
    </row>
    <row r="33" spans="1:16" ht="15" customHeight="1" outlineLevel="1" x14ac:dyDescent="0.25">
      <c r="A33" s="32"/>
      <c r="B33" s="119" t="s">
        <v>91</v>
      </c>
      <c r="C33" s="57" t="s">
        <v>4</v>
      </c>
      <c r="D33" s="57">
        <v>4025</v>
      </c>
      <c r="E33" s="67">
        <v>4705</v>
      </c>
      <c r="F33" s="93"/>
      <c r="G33" s="81"/>
      <c r="H33" s="94">
        <v>0</v>
      </c>
      <c r="I33" s="82">
        <v>228861.21825627465</v>
      </c>
      <c r="J33" s="79">
        <f t="shared" si="0"/>
        <v>2.009E-2</v>
      </c>
      <c r="K33" s="79">
        <f t="shared" si="1"/>
        <v>0.12803</v>
      </c>
      <c r="L33" s="68">
        <f t="shared" si="2"/>
        <v>29301.101773350845</v>
      </c>
      <c r="M33" s="32"/>
      <c r="N33" s="32"/>
      <c r="O33" s="32"/>
      <c r="P33" s="32"/>
    </row>
    <row r="34" spans="1:16" ht="15" customHeight="1" outlineLevel="1" x14ac:dyDescent="0.25">
      <c r="A34" s="32"/>
      <c r="B34" s="119" t="s">
        <v>92</v>
      </c>
      <c r="C34" s="57" t="s">
        <v>4</v>
      </c>
      <c r="D34" s="57">
        <v>4025</v>
      </c>
      <c r="E34" s="67">
        <v>4705</v>
      </c>
      <c r="F34" s="93"/>
      <c r="G34" s="81"/>
      <c r="H34" s="94">
        <v>4635893.3631340405</v>
      </c>
      <c r="I34" s="82">
        <v>0</v>
      </c>
      <c r="J34" s="79">
        <f t="shared" si="0"/>
        <v>2.009E-2</v>
      </c>
      <c r="K34" s="79">
        <f t="shared" si="1"/>
        <v>0.12803</v>
      </c>
      <c r="L34" s="68">
        <f t="shared" si="2"/>
        <v>93135.097665362875</v>
      </c>
      <c r="M34" s="32"/>
      <c r="N34" s="32"/>
      <c r="O34" s="32"/>
      <c r="P34" s="32"/>
    </row>
    <row r="35" spans="1:16" ht="15" customHeight="1" outlineLevel="1" x14ac:dyDescent="0.25">
      <c r="A35" s="32"/>
      <c r="B35" s="119"/>
      <c r="C35" s="57" t="s">
        <v>4</v>
      </c>
      <c r="D35" s="57">
        <v>4025</v>
      </c>
      <c r="E35" s="67">
        <v>4705</v>
      </c>
      <c r="F35" s="93"/>
      <c r="G35" s="81"/>
      <c r="H35" s="94"/>
      <c r="I35" s="82"/>
      <c r="J35" s="79">
        <f t="shared" si="0"/>
        <v>2.009E-2</v>
      </c>
      <c r="K35" s="79">
        <f t="shared" si="1"/>
        <v>0.12803</v>
      </c>
      <c r="L35" s="68">
        <f t="shared" si="2"/>
        <v>0</v>
      </c>
      <c r="M35" s="32"/>
      <c r="N35" s="32"/>
      <c r="O35" s="32"/>
      <c r="P35" s="32"/>
    </row>
    <row r="36" spans="1:16" ht="15" customHeight="1" outlineLevel="1" x14ac:dyDescent="0.25">
      <c r="A36" s="32"/>
      <c r="B36" s="119"/>
      <c r="C36" s="57" t="s">
        <v>4</v>
      </c>
      <c r="D36" s="57">
        <v>4025</v>
      </c>
      <c r="E36" s="67">
        <v>4705</v>
      </c>
      <c r="F36" s="93"/>
      <c r="G36" s="81"/>
      <c r="H36" s="94"/>
      <c r="I36" s="82"/>
      <c r="J36" s="79">
        <f t="shared" si="0"/>
        <v>2.009E-2</v>
      </c>
      <c r="K36" s="79">
        <f t="shared" si="1"/>
        <v>0.12803</v>
      </c>
      <c r="L36" s="68">
        <f t="shared" si="2"/>
        <v>0</v>
      </c>
      <c r="M36" s="32"/>
      <c r="N36" s="32"/>
      <c r="O36" s="32"/>
      <c r="P36" s="32"/>
    </row>
    <row r="37" spans="1:16" ht="15" customHeight="1" outlineLevel="1" x14ac:dyDescent="0.25">
      <c r="A37" s="32"/>
      <c r="B37" s="119"/>
      <c r="C37" s="57" t="s">
        <v>4</v>
      </c>
      <c r="D37" s="57">
        <v>4025</v>
      </c>
      <c r="E37" s="67">
        <v>4705</v>
      </c>
      <c r="F37" s="93"/>
      <c r="G37" s="81"/>
      <c r="H37" s="94"/>
      <c r="I37" s="82"/>
      <c r="J37" s="79">
        <f t="shared" si="0"/>
        <v>2.009E-2</v>
      </c>
      <c r="K37" s="79">
        <f t="shared" si="1"/>
        <v>0.12803</v>
      </c>
      <c r="L37" s="68">
        <f t="shared" si="2"/>
        <v>0</v>
      </c>
      <c r="M37" s="32"/>
      <c r="N37" s="32"/>
      <c r="O37" s="32"/>
      <c r="P37" s="32"/>
    </row>
    <row r="38" spans="1:16" ht="15" customHeight="1" outlineLevel="1" x14ac:dyDescent="0.25">
      <c r="A38" s="32"/>
      <c r="B38" s="143" t="s">
        <v>13</v>
      </c>
      <c r="C38" s="144"/>
      <c r="D38" s="145"/>
      <c r="E38" s="146"/>
      <c r="F38" s="70">
        <f>SUM(F29:F37)</f>
        <v>224187184.81204498</v>
      </c>
      <c r="G38" s="118"/>
      <c r="H38" s="70">
        <f>SUM(H29:H37)</f>
        <v>492187750.02767467</v>
      </c>
      <c r="I38" s="95">
        <f>SUM(I29:I37)</f>
        <v>586846617.41624606</v>
      </c>
      <c r="J38" s="95"/>
      <c r="K38" s="70"/>
      <c r="L38" s="71">
        <f>SUM(L29:L37)</f>
        <v>89525944.868731961</v>
      </c>
      <c r="M38" s="32"/>
      <c r="N38" s="32"/>
      <c r="O38" s="32"/>
      <c r="P38" s="32"/>
    </row>
    <row r="39" spans="1:16" ht="15" customHeight="1" outlineLevel="1" x14ac:dyDescent="0.25">
      <c r="A39" s="32"/>
      <c r="B39" s="52"/>
      <c r="C39" s="32"/>
      <c r="D39" s="32"/>
      <c r="E39" s="32"/>
      <c r="F39" s="32"/>
      <c r="G39" s="32"/>
      <c r="H39" s="32"/>
      <c r="I39" s="32"/>
      <c r="J39" s="32"/>
      <c r="K39" s="32"/>
      <c r="L39" s="32"/>
      <c r="M39" s="32"/>
      <c r="N39" s="32"/>
      <c r="O39" s="32"/>
      <c r="P39" s="32"/>
    </row>
    <row r="40" spans="1:16" ht="15" customHeight="1" outlineLevel="1" x14ac:dyDescent="0.25">
      <c r="A40" s="32"/>
      <c r="B40" s="31"/>
      <c r="C40" s="32"/>
      <c r="D40" s="32"/>
      <c r="E40" s="32"/>
      <c r="F40" s="83"/>
      <c r="G40" s="83"/>
      <c r="H40" s="32"/>
      <c r="I40" s="32"/>
      <c r="J40" s="32"/>
      <c r="K40" s="32"/>
      <c r="L40" s="32"/>
      <c r="M40" s="32"/>
      <c r="N40" s="32"/>
      <c r="O40" s="32"/>
      <c r="P40" s="32"/>
    </row>
    <row r="41" spans="1:16" ht="15.75" customHeight="1" outlineLevel="1" x14ac:dyDescent="0.25">
      <c r="A41" s="32"/>
      <c r="B41" s="53" t="s">
        <v>62</v>
      </c>
      <c r="C41" s="23"/>
      <c r="D41" s="23"/>
      <c r="E41" s="128"/>
      <c r="F41" s="103"/>
      <c r="G41" s="217">
        <v>2020</v>
      </c>
      <c r="H41" s="218"/>
      <c r="I41" s="218"/>
      <c r="J41" s="219"/>
      <c r="K41" s="218"/>
      <c r="L41" s="218"/>
      <c r="M41" s="32"/>
      <c r="N41" s="32"/>
      <c r="O41" s="32"/>
      <c r="P41" s="32"/>
    </row>
    <row r="42" spans="1:16" ht="15" customHeight="1" outlineLevel="1" x14ac:dyDescent="0.25">
      <c r="A42" s="32"/>
      <c r="B42" s="54" t="s">
        <v>46</v>
      </c>
      <c r="C42" s="55"/>
      <c r="D42" s="56" t="s">
        <v>47</v>
      </c>
      <c r="E42" s="56" t="s">
        <v>48</v>
      </c>
      <c r="F42" s="56" t="s">
        <v>50</v>
      </c>
      <c r="G42" s="56" t="s">
        <v>49</v>
      </c>
      <c r="H42" s="81"/>
      <c r="I42" s="81"/>
      <c r="J42" s="133"/>
      <c r="K42" s="154" t="s">
        <v>81</v>
      </c>
      <c r="L42" s="56" t="s">
        <v>50</v>
      </c>
      <c r="M42" s="32"/>
      <c r="N42" s="32"/>
      <c r="O42" s="32"/>
      <c r="P42" s="32"/>
    </row>
    <row r="43" spans="1:16" ht="23.25" customHeight="1" outlineLevel="1" x14ac:dyDescent="0.55000000000000004">
      <c r="A43" s="32"/>
      <c r="B43" s="119" t="s">
        <v>89</v>
      </c>
      <c r="C43" s="57"/>
      <c r="D43" s="57">
        <v>4035</v>
      </c>
      <c r="E43" s="57">
        <v>4707</v>
      </c>
      <c r="F43" s="175"/>
      <c r="G43" s="171">
        <f>F31</f>
        <v>224187184.81204498</v>
      </c>
      <c r="H43" s="81"/>
      <c r="I43" s="81"/>
      <c r="J43" s="122"/>
      <c r="K43" s="120">
        <v>6.8399084357572124E-2</v>
      </c>
      <c r="L43" s="58">
        <f>+K43*G43</f>
        <v>15334198.165845677</v>
      </c>
      <c r="M43" s="32"/>
      <c r="N43" s="32"/>
      <c r="O43" s="32"/>
      <c r="P43" s="32"/>
    </row>
    <row r="44" spans="1:16" ht="15" customHeight="1" outlineLevel="1" x14ac:dyDescent="0.55000000000000004">
      <c r="A44" s="32"/>
      <c r="B44" s="119"/>
      <c r="C44" s="57"/>
      <c r="D44" s="57">
        <v>4010</v>
      </c>
      <c r="E44" s="57">
        <v>4707</v>
      </c>
      <c r="F44" s="175"/>
      <c r="G44" s="171"/>
      <c r="H44" s="81"/>
      <c r="I44" s="81"/>
      <c r="J44" s="122"/>
      <c r="K44" s="120"/>
      <c r="L44" s="58">
        <f>+K44*G44</f>
        <v>0</v>
      </c>
      <c r="M44" s="32"/>
      <c r="N44" s="32"/>
      <c r="O44" s="32"/>
      <c r="P44" s="32"/>
    </row>
    <row r="45" spans="1:16" ht="15" customHeight="1" outlineLevel="1" x14ac:dyDescent="0.55000000000000004">
      <c r="A45" s="32"/>
      <c r="B45" s="119"/>
      <c r="C45" s="57"/>
      <c r="D45" s="57">
        <v>4010</v>
      </c>
      <c r="E45" s="57">
        <v>4707</v>
      </c>
      <c r="F45" s="175"/>
      <c r="G45" s="171"/>
      <c r="H45" s="81"/>
      <c r="I45" s="81"/>
      <c r="J45" s="123"/>
      <c r="K45" s="132"/>
      <c r="L45" s="58"/>
      <c r="M45" s="32"/>
      <c r="N45" s="32"/>
      <c r="O45" s="32"/>
      <c r="P45" s="32"/>
    </row>
    <row r="46" spans="1:16" ht="15" customHeight="1" outlineLevel="1" x14ac:dyDescent="0.25">
      <c r="A46" s="32"/>
      <c r="B46" s="23"/>
      <c r="C46" s="23"/>
      <c r="D46" s="23"/>
      <c r="E46" s="23"/>
      <c r="F46" s="176">
        <f>+F43+F44</f>
        <v>0</v>
      </c>
      <c r="G46" s="59">
        <f>SUM(G43:G45)</f>
        <v>224187184.81204498</v>
      </c>
      <c r="H46" s="81"/>
      <c r="I46" s="81"/>
      <c r="J46" s="124"/>
      <c r="K46" s="121"/>
      <c r="L46" s="177">
        <f>SUM(L43:L45)</f>
        <v>15334198.165845677</v>
      </c>
      <c r="M46" s="32"/>
      <c r="N46" s="32"/>
      <c r="O46" s="32"/>
      <c r="P46" s="32"/>
    </row>
    <row r="47" spans="1:16" ht="15" customHeight="1" outlineLevel="1" x14ac:dyDescent="0.25">
      <c r="A47" s="32"/>
      <c r="B47" s="32"/>
      <c r="C47" s="32"/>
      <c r="D47" s="32"/>
      <c r="E47" s="32"/>
      <c r="F47" s="32"/>
      <c r="G47" s="32"/>
      <c r="H47" s="32"/>
      <c r="I47" s="32"/>
      <c r="J47" s="116"/>
      <c r="K47" s="32"/>
      <c r="L47" s="32"/>
      <c r="M47" s="32"/>
      <c r="N47" s="32"/>
      <c r="O47" s="32"/>
      <c r="P47" s="32"/>
    </row>
    <row r="48" spans="1:16" ht="15.75" customHeight="1" outlineLevel="1" x14ac:dyDescent="0.25">
      <c r="A48" s="23"/>
      <c r="B48" s="53" t="s">
        <v>61</v>
      </c>
      <c r="C48" s="23"/>
      <c r="D48" s="23"/>
      <c r="E48" s="128"/>
      <c r="F48" s="102"/>
      <c r="G48" s="220">
        <f>G41</f>
        <v>2020</v>
      </c>
      <c r="H48" s="220"/>
      <c r="I48" s="220"/>
      <c r="J48" s="220"/>
      <c r="K48" s="220"/>
      <c r="L48" s="220"/>
      <c r="M48" s="23"/>
      <c r="N48" s="23"/>
      <c r="O48" s="23"/>
      <c r="P48" s="23"/>
    </row>
    <row r="49" spans="1:16" ht="15" customHeight="1" outlineLevel="1" x14ac:dyDescent="0.25">
      <c r="A49" s="60"/>
      <c r="B49" s="54" t="s">
        <v>46</v>
      </c>
      <c r="C49" s="56"/>
      <c r="D49" s="56" t="s">
        <v>47</v>
      </c>
      <c r="E49" s="61" t="s">
        <v>48</v>
      </c>
      <c r="F49" s="62"/>
      <c r="G49" s="62"/>
      <c r="H49" s="62"/>
      <c r="I49" s="62"/>
      <c r="J49" s="62"/>
      <c r="K49" s="62"/>
      <c r="L49" s="65" t="s">
        <v>50</v>
      </c>
      <c r="M49" s="60"/>
      <c r="N49" s="60"/>
      <c r="O49" s="60"/>
      <c r="P49" s="60"/>
    </row>
    <row r="50" spans="1:16" ht="30.6" customHeight="1" outlineLevel="1" x14ac:dyDescent="0.25">
      <c r="A50" s="23"/>
      <c r="B50" s="63" t="s">
        <v>51</v>
      </c>
      <c r="C50" s="55" t="s">
        <v>52</v>
      </c>
      <c r="D50" s="55" t="s">
        <v>53</v>
      </c>
      <c r="E50" s="64" t="s">
        <v>53</v>
      </c>
      <c r="F50" s="66"/>
      <c r="G50" s="66"/>
      <c r="H50" s="78" t="s">
        <v>57</v>
      </c>
      <c r="I50" s="125"/>
      <c r="J50" s="125"/>
      <c r="K50" s="66" t="s">
        <v>60</v>
      </c>
      <c r="M50" s="23"/>
      <c r="N50" s="23"/>
      <c r="O50" s="23"/>
      <c r="P50" s="23"/>
    </row>
    <row r="51" spans="1:16" ht="15" customHeight="1" outlineLevel="1" x14ac:dyDescent="0.25">
      <c r="A51" s="23"/>
      <c r="B51" s="33" t="str">
        <f>IF(B29=0,"",B29)</f>
        <v>Residential</v>
      </c>
      <c r="C51" s="57" t="s">
        <v>4</v>
      </c>
      <c r="D51" s="57">
        <v>4006</v>
      </c>
      <c r="E51" s="57">
        <v>4707</v>
      </c>
      <c r="F51" s="126"/>
      <c r="G51" s="126"/>
      <c r="H51" s="172">
        <f>+H29</f>
        <v>16746455.116391851</v>
      </c>
      <c r="I51" s="126"/>
      <c r="J51" s="126"/>
      <c r="K51" s="173">
        <f t="shared" ref="K51:K56" si="3">+$G$18/1000</f>
        <v>0.10693999999999999</v>
      </c>
      <c r="L51" s="68">
        <f t="shared" ref="L51:L56" si="4">+K51*H51</f>
        <v>1790865.9101469445</v>
      </c>
      <c r="M51" s="23"/>
      <c r="N51" s="23"/>
      <c r="O51" s="23"/>
      <c r="P51" s="23"/>
    </row>
    <row r="52" spans="1:16" ht="15" customHeight="1" outlineLevel="1" x14ac:dyDescent="0.25">
      <c r="A52" s="23"/>
      <c r="B52" s="33" t="str">
        <f t="shared" ref="B52:B58" si="5">IF(B30=0,"",B30)</f>
        <v>General Service &lt; 50 kW</v>
      </c>
      <c r="C52" s="57" t="s">
        <v>4</v>
      </c>
      <c r="D52" s="57">
        <v>4010</v>
      </c>
      <c r="E52" s="57">
        <v>4707</v>
      </c>
      <c r="F52" s="126"/>
      <c r="G52" s="126"/>
      <c r="H52" s="172">
        <f t="shared" ref="H52:H56" si="6">+H30</f>
        <v>24056285.689707793</v>
      </c>
      <c r="I52" s="126"/>
      <c r="J52" s="126"/>
      <c r="K52" s="173">
        <f t="shared" si="3"/>
        <v>0.10693999999999999</v>
      </c>
      <c r="L52" s="68">
        <f t="shared" si="4"/>
        <v>2572579.1916573513</v>
      </c>
      <c r="M52" s="23"/>
      <c r="N52" s="23"/>
      <c r="O52" s="23"/>
      <c r="P52" s="23"/>
    </row>
    <row r="53" spans="1:16" ht="15" customHeight="1" outlineLevel="1" x14ac:dyDescent="0.25">
      <c r="A53" s="23"/>
      <c r="B53" s="33" t="str">
        <f t="shared" si="5"/>
        <v>General Service 50 to 4999 kW</v>
      </c>
      <c r="C53" s="57" t="s">
        <v>4</v>
      </c>
      <c r="D53" s="57">
        <v>4035</v>
      </c>
      <c r="E53" s="57">
        <v>4707</v>
      </c>
      <c r="F53" s="126"/>
      <c r="G53" s="126"/>
      <c r="H53" s="172">
        <f t="shared" si="6"/>
        <v>446749115.858441</v>
      </c>
      <c r="I53" s="126"/>
      <c r="J53" s="126"/>
      <c r="K53" s="173">
        <f t="shared" si="3"/>
        <v>0.10693999999999999</v>
      </c>
      <c r="L53" s="68">
        <f t="shared" si="4"/>
        <v>47775350.449901678</v>
      </c>
      <c r="M53" s="23"/>
      <c r="N53" s="23"/>
      <c r="O53" s="23"/>
      <c r="P53" s="23"/>
    </row>
    <row r="54" spans="1:16" ht="15" customHeight="1" outlineLevel="1" x14ac:dyDescent="0.25">
      <c r="A54" s="23"/>
      <c r="B54" s="33" t="str">
        <f t="shared" si="5"/>
        <v>Unmetered Scattered Load</v>
      </c>
      <c r="C54" s="57" t="s">
        <v>4</v>
      </c>
      <c r="D54" s="57">
        <v>4010</v>
      </c>
      <c r="E54" s="57">
        <v>4707</v>
      </c>
      <c r="F54" s="126"/>
      <c r="G54" s="126"/>
      <c r="H54" s="172">
        <f t="shared" si="6"/>
        <v>0</v>
      </c>
      <c r="I54" s="126"/>
      <c r="J54" s="126"/>
      <c r="K54" s="173">
        <f t="shared" si="3"/>
        <v>0.10693999999999999</v>
      </c>
      <c r="L54" s="68">
        <f t="shared" si="4"/>
        <v>0</v>
      </c>
      <c r="M54" s="23"/>
      <c r="N54" s="23"/>
      <c r="O54" s="23"/>
      <c r="P54" s="23"/>
    </row>
    <row r="55" spans="1:16" ht="15" customHeight="1" outlineLevel="1" x14ac:dyDescent="0.25">
      <c r="A55" s="23"/>
      <c r="B55" s="33" t="str">
        <f t="shared" si="5"/>
        <v>Sentinel Lighting</v>
      </c>
      <c r="C55" s="57" t="s">
        <v>4</v>
      </c>
      <c r="D55" s="57">
        <v>4025</v>
      </c>
      <c r="E55" s="57">
        <v>4707</v>
      </c>
      <c r="F55" s="126"/>
      <c r="G55" s="126"/>
      <c r="H55" s="172">
        <f t="shared" si="6"/>
        <v>0</v>
      </c>
      <c r="I55" s="126"/>
      <c r="J55" s="126"/>
      <c r="K55" s="173">
        <f t="shared" si="3"/>
        <v>0.10693999999999999</v>
      </c>
      <c r="L55" s="68">
        <f t="shared" si="4"/>
        <v>0</v>
      </c>
      <c r="M55" s="23"/>
      <c r="N55" s="23"/>
      <c r="O55" s="23"/>
      <c r="P55" s="23"/>
    </row>
    <row r="56" spans="1:16" ht="15" customHeight="1" outlineLevel="1" x14ac:dyDescent="0.25">
      <c r="A56" s="23"/>
      <c r="B56" s="33" t="str">
        <f t="shared" si="5"/>
        <v xml:space="preserve">Street Lighting </v>
      </c>
      <c r="C56" s="57" t="s">
        <v>4</v>
      </c>
      <c r="D56" s="57">
        <v>4025</v>
      </c>
      <c r="E56" s="57">
        <v>4707</v>
      </c>
      <c r="F56" s="126"/>
      <c r="G56" s="126"/>
      <c r="H56" s="172">
        <f t="shared" si="6"/>
        <v>4635893.3631340405</v>
      </c>
      <c r="I56" s="126"/>
      <c r="J56" s="126"/>
      <c r="K56" s="173">
        <f t="shared" si="3"/>
        <v>0.10693999999999999</v>
      </c>
      <c r="L56" s="68">
        <f t="shared" si="4"/>
        <v>495762.43625355425</v>
      </c>
      <c r="M56" s="23"/>
      <c r="N56" s="23"/>
      <c r="O56" s="23"/>
      <c r="P56" s="23"/>
    </row>
    <row r="57" spans="1:16" ht="15" customHeight="1" outlineLevel="1" x14ac:dyDescent="0.25">
      <c r="A57" s="23"/>
      <c r="B57" s="33" t="str">
        <f t="shared" si="5"/>
        <v/>
      </c>
      <c r="C57" s="57" t="s">
        <v>4</v>
      </c>
      <c r="D57" s="57">
        <v>4025</v>
      </c>
      <c r="E57" s="57">
        <v>4707</v>
      </c>
      <c r="F57" s="126"/>
      <c r="G57" s="126"/>
      <c r="H57" s="172"/>
      <c r="I57" s="126"/>
      <c r="J57" s="126"/>
      <c r="K57" s="174"/>
      <c r="L57" s="68">
        <f t="shared" ref="L57" si="7">+K58*H58</f>
        <v>0</v>
      </c>
      <c r="M57" s="23"/>
      <c r="N57" s="23"/>
      <c r="O57" s="23"/>
      <c r="P57" s="23"/>
    </row>
    <row r="58" spans="1:16" ht="15" customHeight="1" outlineLevel="1" x14ac:dyDescent="0.25">
      <c r="A58" s="23"/>
      <c r="B58" s="33" t="str">
        <f t="shared" si="5"/>
        <v/>
      </c>
      <c r="C58" s="57" t="s">
        <v>4</v>
      </c>
      <c r="D58" s="57">
        <v>4025</v>
      </c>
      <c r="E58" s="57">
        <v>4707</v>
      </c>
      <c r="F58" s="126"/>
      <c r="G58" s="126"/>
      <c r="H58" s="188"/>
      <c r="I58" s="126"/>
      <c r="J58" s="126"/>
      <c r="K58" s="174"/>
      <c r="L58" s="68">
        <f>+K59*H59</f>
        <v>0</v>
      </c>
      <c r="M58" s="23"/>
      <c r="N58" s="23"/>
      <c r="O58" s="23"/>
      <c r="P58" s="23"/>
    </row>
    <row r="59" spans="1:16" ht="15" customHeight="1" outlineLevel="1" x14ac:dyDescent="0.25">
      <c r="A59" s="23"/>
      <c r="B59" s="33" t="s">
        <v>85</v>
      </c>
      <c r="C59" s="183"/>
      <c r="D59" s="183"/>
      <c r="E59" s="187"/>
      <c r="F59" s="189"/>
      <c r="G59" s="189"/>
      <c r="H59" s="190">
        <f>SUM(H51:H58)</f>
        <v>492187750.02767467</v>
      </c>
      <c r="I59" s="189"/>
      <c r="J59" s="189"/>
      <c r="K59" s="174"/>
      <c r="L59" s="71"/>
      <c r="M59" s="23"/>
      <c r="N59" s="23"/>
      <c r="O59" s="23"/>
      <c r="P59" s="69"/>
    </row>
    <row r="60" spans="1:16" ht="15" customHeight="1" outlineLevel="1" x14ac:dyDescent="0.25">
      <c r="A60" s="23"/>
      <c r="B60" s="54" t="s">
        <v>13</v>
      </c>
      <c r="C60" s="129"/>
      <c r="D60" s="130"/>
      <c r="E60" s="131"/>
      <c r="F60" s="117"/>
      <c r="G60" s="127"/>
      <c r="H60" s="117"/>
      <c r="I60" s="117"/>
      <c r="J60" s="117"/>
      <c r="K60" s="70"/>
      <c r="L60" s="184">
        <f>SUM(L51:L58)</f>
        <v>52634557.987959526</v>
      </c>
      <c r="M60" s="23"/>
      <c r="N60" s="23"/>
      <c r="O60" s="23"/>
      <c r="P60" s="23"/>
    </row>
    <row r="61" spans="1:16" ht="15" customHeight="1" outlineLevel="1" x14ac:dyDescent="0.25">
      <c r="A61" s="23"/>
      <c r="B61" s="178"/>
      <c r="C61" s="179"/>
      <c r="D61" s="180"/>
      <c r="E61" s="180"/>
      <c r="F61" s="181"/>
      <c r="G61" s="182"/>
      <c r="H61" s="181"/>
      <c r="I61" s="181"/>
      <c r="J61" s="181"/>
      <c r="K61" s="181"/>
      <c r="L61" s="72"/>
      <c r="M61" s="23"/>
      <c r="N61" s="23"/>
      <c r="O61" s="23"/>
      <c r="P61" s="23"/>
    </row>
    <row r="62" spans="1:16" ht="15" customHeight="1" outlineLevel="1" x14ac:dyDescent="0.25">
      <c r="A62" s="23"/>
      <c r="B62" s="23"/>
      <c r="C62" s="23"/>
      <c r="D62" s="23"/>
      <c r="E62" s="23"/>
      <c r="F62" s="29"/>
      <c r="G62" s="23"/>
      <c r="H62" s="23"/>
      <c r="I62" s="23"/>
      <c r="J62" s="23"/>
      <c r="K62" s="23"/>
      <c r="L62" s="194"/>
      <c r="M62" s="23"/>
      <c r="N62" s="23"/>
      <c r="O62" s="23"/>
      <c r="P62" s="23"/>
    </row>
    <row r="63" spans="1:16" ht="21" x14ac:dyDescent="0.55000000000000004">
      <c r="A63" s="23" t="s">
        <v>54</v>
      </c>
      <c r="B63" s="23"/>
      <c r="C63" s="23"/>
      <c r="D63" s="23"/>
      <c r="E63" s="23"/>
      <c r="F63" s="73"/>
      <c r="G63" s="73"/>
      <c r="H63" s="73"/>
      <c r="I63" s="73"/>
      <c r="J63" s="73"/>
      <c r="K63" s="73"/>
      <c r="L63" s="23"/>
      <c r="M63" s="23"/>
      <c r="N63" s="23"/>
      <c r="O63" s="23"/>
      <c r="P63" s="23"/>
    </row>
    <row r="64" spans="1:16" x14ac:dyDescent="0.25">
      <c r="A64" s="23" t="s">
        <v>80</v>
      </c>
      <c r="B64" s="23"/>
      <c r="C64" s="23"/>
      <c r="D64" s="23"/>
      <c r="E64" s="23"/>
      <c r="F64" s="23"/>
      <c r="G64" s="74"/>
      <c r="H64" s="74"/>
      <c r="I64" s="74"/>
      <c r="J64" s="74"/>
      <c r="K64" s="74"/>
      <c r="L64" s="23"/>
      <c r="M64" s="23"/>
      <c r="N64" s="23"/>
      <c r="O64" s="23"/>
      <c r="P64" s="23"/>
    </row>
    <row r="65" spans="1:16" x14ac:dyDescent="0.25">
      <c r="A65" s="23" t="s">
        <v>82</v>
      </c>
      <c r="B65" s="23"/>
      <c r="C65" s="23"/>
      <c r="D65" s="23"/>
      <c r="E65" s="23"/>
      <c r="F65" s="23"/>
      <c r="G65" s="23"/>
      <c r="H65" s="29"/>
      <c r="I65" s="23"/>
      <c r="J65" s="23"/>
      <c r="K65" s="23"/>
      <c r="L65" s="23"/>
      <c r="M65" s="23"/>
      <c r="N65" s="23"/>
      <c r="O65" s="23"/>
      <c r="P65" s="23"/>
    </row>
    <row r="66" spans="1:16" x14ac:dyDescent="0.25">
      <c r="H66" s="5"/>
    </row>
  </sheetData>
  <mergeCells count="8">
    <mergeCell ref="B4:I6"/>
    <mergeCell ref="G41:L41"/>
    <mergeCell ref="G48:L48"/>
    <mergeCell ref="C17:E17"/>
    <mergeCell ref="C18:E18"/>
    <mergeCell ref="C20:E20"/>
    <mergeCell ref="C19:E19"/>
    <mergeCell ref="G26:L26"/>
  </mergeCells>
  <conditionalFormatting sqref="B1">
    <cfRule type="expression" dxfId="1" priority="1" stopIfTrue="1">
      <formula>LEFT($C1,6)="Macros"</formula>
    </cfRule>
  </conditionalFormatting>
  <pageMargins left="0.7" right="0.7" top="0.75" bottom="0.75" header="0.3" footer="0.3"/>
  <pageSetup scale="60" fitToHeight="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10"/>
  <sheetViews>
    <sheetView topLeftCell="A87" zoomScale="75" zoomScaleNormal="75" workbookViewId="0">
      <selection activeCell="A55" sqref="A55:K109"/>
    </sheetView>
  </sheetViews>
  <sheetFormatPr defaultRowHeight="15" x14ac:dyDescent="0.25"/>
  <cols>
    <col min="1" max="1" width="43" customWidth="1"/>
    <col min="2" max="2" width="8" bestFit="1" customWidth="1"/>
    <col min="3" max="3" width="1.5703125" customWidth="1"/>
    <col min="4" max="4" width="23.140625" bestFit="1" customWidth="1"/>
    <col min="5" max="5" width="15.28515625" bestFit="1" customWidth="1"/>
    <col min="6" max="6" width="17" customWidth="1"/>
    <col min="7" max="7" width="2.140625" customWidth="1"/>
    <col min="8" max="8" width="19.28515625" customWidth="1"/>
    <col min="9" max="9" width="11.28515625" customWidth="1"/>
    <col min="10" max="10" width="13.140625" customWidth="1"/>
    <col min="11" max="11" width="16.28515625" bestFit="1" customWidth="1"/>
    <col min="12" max="12" width="12" bestFit="1" customWidth="1"/>
  </cols>
  <sheetData>
    <row r="1" spans="1:11" x14ac:dyDescent="0.25">
      <c r="A1" s="237" t="s">
        <v>0</v>
      </c>
      <c r="B1" s="237"/>
      <c r="C1" s="237"/>
      <c r="D1" s="237"/>
      <c r="E1" s="237"/>
      <c r="F1" s="237"/>
      <c r="G1" s="237"/>
      <c r="H1" s="237"/>
      <c r="I1" s="237"/>
      <c r="J1" s="237"/>
    </row>
    <row r="2" spans="1:11" x14ac:dyDescent="0.25">
      <c r="A2" s="84"/>
      <c r="B2" s="84"/>
      <c r="C2" s="84"/>
      <c r="D2" s="84"/>
      <c r="E2" s="84"/>
      <c r="F2" s="84"/>
      <c r="G2" s="84"/>
      <c r="H2" s="84"/>
      <c r="I2" s="84"/>
      <c r="J2" s="140" t="s">
        <v>69</v>
      </c>
      <c r="K2" s="141" t="str">
        <f>'2020 Commodity Expense Forecast'!L2</f>
        <v>EB-2020-0040</v>
      </c>
    </row>
    <row r="3" spans="1:11" x14ac:dyDescent="0.25">
      <c r="A3" s="84"/>
      <c r="B3" s="84"/>
      <c r="C3" s="84"/>
      <c r="D3" s="84"/>
      <c r="E3" s="84"/>
      <c r="F3" s="84"/>
      <c r="G3" s="84"/>
      <c r="H3" s="84"/>
      <c r="I3" s="84"/>
      <c r="J3" s="140" t="s">
        <v>70</v>
      </c>
      <c r="K3" s="141">
        <f>'2020 Commodity Expense Forecast'!L3</f>
        <v>2</v>
      </c>
    </row>
    <row r="4" spans="1:11" x14ac:dyDescent="0.25">
      <c r="A4" s="84"/>
      <c r="B4" s="84"/>
      <c r="C4" s="84"/>
      <c r="D4" s="84"/>
      <c r="E4" s="84"/>
      <c r="F4" s="84"/>
      <c r="G4" s="84"/>
      <c r="H4" s="84"/>
      <c r="I4" s="84"/>
      <c r="J4" s="140" t="s">
        <v>71</v>
      </c>
      <c r="K4" s="141">
        <f>'2020 Commodity Expense Forecast'!L4</f>
        <v>1</v>
      </c>
    </row>
    <row r="5" spans="1:11" x14ac:dyDescent="0.25">
      <c r="A5" s="84"/>
      <c r="B5" s="84"/>
      <c r="C5" s="84"/>
      <c r="D5" s="84"/>
      <c r="E5" s="84"/>
      <c r="F5" s="84"/>
      <c r="G5" s="84"/>
      <c r="H5" s="84"/>
      <c r="I5" s="84"/>
      <c r="J5" s="140" t="s">
        <v>72</v>
      </c>
      <c r="K5" s="141">
        <f>'2020 Commodity Expense Forecast'!L5</f>
        <v>4</v>
      </c>
    </row>
    <row r="6" spans="1:11" x14ac:dyDescent="0.25">
      <c r="A6" s="84"/>
      <c r="B6" s="84"/>
      <c r="C6" s="84"/>
      <c r="D6" s="84"/>
      <c r="E6" s="84"/>
      <c r="F6" s="84"/>
      <c r="G6" s="84"/>
      <c r="H6" s="84"/>
      <c r="I6" s="84"/>
      <c r="J6" s="140" t="s">
        <v>73</v>
      </c>
      <c r="K6" s="141"/>
    </row>
    <row r="7" spans="1:11" x14ac:dyDescent="0.25">
      <c r="A7" t="s">
        <v>64</v>
      </c>
      <c r="J7" s="140"/>
      <c r="K7" s="25"/>
    </row>
    <row r="8" spans="1:11" x14ac:dyDescent="0.25">
      <c r="A8" t="s">
        <v>66</v>
      </c>
      <c r="J8" s="140" t="s">
        <v>74</v>
      </c>
      <c r="K8" s="142">
        <f>'2020 Commodity Expense Forecast'!L8</f>
        <v>44074</v>
      </c>
    </row>
    <row r="9" spans="1:11" x14ac:dyDescent="0.25">
      <c r="A9" s="5" t="s">
        <v>67</v>
      </c>
      <c r="E9" s="238"/>
      <c r="F9" s="238"/>
      <c r="G9" s="9"/>
      <c r="H9" s="10"/>
      <c r="I9" s="238"/>
      <c r="J9" s="238"/>
    </row>
    <row r="10" spans="1:11" x14ac:dyDescent="0.25">
      <c r="A10" s="5"/>
      <c r="B10" s="8"/>
      <c r="C10" s="20"/>
      <c r="D10" s="167" t="s">
        <v>97</v>
      </c>
      <c r="E10" s="239" t="s">
        <v>1</v>
      </c>
      <c r="F10" s="239"/>
      <c r="G10" s="168"/>
      <c r="H10" s="167" t="s">
        <v>97</v>
      </c>
      <c r="I10" s="239" t="s">
        <v>2</v>
      </c>
      <c r="J10" s="239"/>
      <c r="K10" s="169" t="s">
        <v>78</v>
      </c>
    </row>
    <row r="11" spans="1:11" x14ac:dyDescent="0.25">
      <c r="A11" s="3" t="s">
        <v>26</v>
      </c>
      <c r="B11" s="240" t="s">
        <v>68</v>
      </c>
      <c r="C11" s="86"/>
      <c r="D11" s="18" t="s">
        <v>14</v>
      </c>
      <c r="E11" s="18" t="s">
        <v>6</v>
      </c>
      <c r="F11" s="6" t="s">
        <v>7</v>
      </c>
      <c r="G11" s="9"/>
      <c r="H11" s="18" t="s">
        <v>14</v>
      </c>
      <c r="I11" s="18" t="s">
        <v>6</v>
      </c>
      <c r="J11" s="6" t="s">
        <v>7</v>
      </c>
      <c r="K11" s="147" t="s">
        <v>79</v>
      </c>
    </row>
    <row r="12" spans="1:11" x14ac:dyDescent="0.25">
      <c r="A12" s="4" t="s">
        <v>27</v>
      </c>
      <c r="B12" s="241"/>
      <c r="C12" s="155"/>
      <c r="D12" s="75"/>
      <c r="E12" s="14"/>
      <c r="F12" s="137">
        <f>D12*E12</f>
        <v>0</v>
      </c>
      <c r="G12" s="77"/>
      <c r="H12" s="75"/>
      <c r="I12" s="14"/>
      <c r="J12" s="137"/>
      <c r="K12" s="227"/>
    </row>
    <row r="13" spans="1:11" x14ac:dyDescent="0.25">
      <c r="A13" s="2" t="str">
        <f>IF('2020 Commodity Expense Forecast'!B51=0,"",'2020 Commodity Expense Forecast'!B29)</f>
        <v>Residential</v>
      </c>
      <c r="B13" s="12" t="s">
        <v>4</v>
      </c>
      <c r="C13" s="156"/>
      <c r="D13" s="75">
        <f>'2020 Commodity Expense Forecast'!I29</f>
        <v>447514877.43816632</v>
      </c>
      <c r="E13" s="164"/>
      <c r="F13" s="90">
        <f>D13*'2020 Commodity Expense Forecast'!K29</f>
        <v>57295329.758408435</v>
      </c>
      <c r="G13" s="5"/>
      <c r="H13" s="75">
        <f>'2020 Commodity Expense Forecast'!F29+'2020 Commodity Expense Forecast'!H29</f>
        <v>16746455.116391851</v>
      </c>
      <c r="I13" s="164"/>
      <c r="J13" s="137">
        <f>H13*'2020 Commodity Expense Forecast'!J29</f>
        <v>336436.28328831226</v>
      </c>
      <c r="K13" s="227"/>
    </row>
    <row r="14" spans="1:11" x14ac:dyDescent="0.25">
      <c r="A14" s="2" t="str">
        <f>IF('2020 Commodity Expense Forecast'!B52=0,"",'2020 Commodity Expense Forecast'!B30)</f>
        <v>General Service &lt; 50 kW</v>
      </c>
      <c r="B14" s="12" t="s">
        <v>4</v>
      </c>
      <c r="C14" s="156"/>
      <c r="D14" s="75">
        <f>'2020 Commodity Expense Forecast'!I30</f>
        <v>110995392.84668885</v>
      </c>
      <c r="E14" s="164"/>
      <c r="F14" s="90">
        <f>D14*'2020 Commodity Expense Forecast'!K30</f>
        <v>14210740.146161575</v>
      </c>
      <c r="G14" s="5"/>
      <c r="H14" s="75">
        <f>'2020 Commodity Expense Forecast'!F30+'2020 Commodity Expense Forecast'!H30</f>
        <v>24056285.689707793</v>
      </c>
      <c r="I14" s="164"/>
      <c r="J14" s="137">
        <f>H14*'2020 Commodity Expense Forecast'!J30</f>
        <v>483290.77950622956</v>
      </c>
      <c r="K14" s="227"/>
    </row>
    <row r="15" spans="1:11" x14ac:dyDescent="0.25">
      <c r="A15" s="2" t="str">
        <f>IF('2020 Commodity Expense Forecast'!B53=0,"",'2020 Commodity Expense Forecast'!B31)</f>
        <v>General Service 50 to 4999 kW</v>
      </c>
      <c r="B15" s="12" t="s">
        <v>65</v>
      </c>
      <c r="C15" s="156"/>
      <c r="D15" s="75">
        <f>'2020 Commodity Expense Forecast'!I31</f>
        <v>26512020.787880912</v>
      </c>
      <c r="E15" s="164"/>
      <c r="F15" s="90">
        <f>D15*'2020 Commodity Expense Forecast'!K31</f>
        <v>3394334.0214723935</v>
      </c>
      <c r="G15" s="5"/>
      <c r="H15" s="75">
        <f>'2020 Commodity Expense Forecast'!F31+'2020 Commodity Expense Forecast'!H31</f>
        <v>670936300.67048597</v>
      </c>
      <c r="I15" s="164"/>
      <c r="J15" s="137">
        <f>H15*'2020 Commodity Expense Forecast'!J31</f>
        <v>13479110.280470064</v>
      </c>
      <c r="K15" s="227"/>
    </row>
    <row r="16" spans="1:11" x14ac:dyDescent="0.25">
      <c r="A16" s="2" t="str">
        <f>IF('2020 Commodity Expense Forecast'!B54=0,"",'2020 Commodity Expense Forecast'!B32)</f>
        <v>Unmetered Scattered Load</v>
      </c>
      <c r="B16" s="12" t="s">
        <v>65</v>
      </c>
      <c r="C16" s="156"/>
      <c r="D16" s="75">
        <f>'2020 Commodity Expense Forecast'!I32</f>
        <v>1595465.1252537589</v>
      </c>
      <c r="E16" s="164"/>
      <c r="F16" s="90">
        <f>D16*'2020 Commodity Expense Forecast'!K32</f>
        <v>204267.39998623874</v>
      </c>
      <c r="G16" s="5"/>
      <c r="H16" s="75">
        <f>'2020 Commodity Expense Forecast'!F32+'2020 Commodity Expense Forecast'!H32</f>
        <v>0</v>
      </c>
      <c r="I16" s="164"/>
      <c r="J16" s="137">
        <f>H16*'2020 Commodity Expense Forecast'!J32</f>
        <v>0</v>
      </c>
      <c r="K16" s="227"/>
    </row>
    <row r="17" spans="1:13" x14ac:dyDescent="0.25">
      <c r="A17" s="2" t="str">
        <f>IF('2020 Commodity Expense Forecast'!B55=0,"",'2020 Commodity Expense Forecast'!B33)</f>
        <v>Sentinel Lighting</v>
      </c>
      <c r="B17" s="12" t="s">
        <v>4</v>
      </c>
      <c r="C17" s="156"/>
      <c r="D17" s="75">
        <f>'2020 Commodity Expense Forecast'!I33</f>
        <v>228861.21825627465</v>
      </c>
      <c r="E17" s="164"/>
      <c r="F17" s="90">
        <f>D17*'2020 Commodity Expense Forecast'!K33</f>
        <v>29301.101773350845</v>
      </c>
      <c r="G17" s="5"/>
      <c r="H17" s="75">
        <f>'2020 Commodity Expense Forecast'!F33+'2020 Commodity Expense Forecast'!H33</f>
        <v>0</v>
      </c>
      <c r="I17" s="164"/>
      <c r="J17" s="137">
        <f>H17*'2020 Commodity Expense Forecast'!J33</f>
        <v>0</v>
      </c>
      <c r="K17" s="227"/>
    </row>
    <row r="18" spans="1:13" x14ac:dyDescent="0.25">
      <c r="A18" s="2" t="str">
        <f>IF('2020 Commodity Expense Forecast'!B56=0,"",'2020 Commodity Expense Forecast'!B34)</f>
        <v xml:space="preserve">Street Lighting </v>
      </c>
      <c r="B18" s="12" t="s">
        <v>4</v>
      </c>
      <c r="C18" s="157"/>
      <c r="D18" s="75">
        <f>'2020 Commodity Expense Forecast'!I34</f>
        <v>0</v>
      </c>
      <c r="E18" s="164"/>
      <c r="F18" s="90">
        <f>D18*'2020 Commodity Expense Forecast'!K34</f>
        <v>0</v>
      </c>
      <c r="G18" s="5"/>
      <c r="H18" s="75">
        <f>'2020 Commodity Expense Forecast'!F34+'2020 Commodity Expense Forecast'!H34</f>
        <v>4635893.3631340405</v>
      </c>
      <c r="I18" s="164"/>
      <c r="J18" s="137">
        <f>H18*'2020 Commodity Expense Forecast'!J34</f>
        <v>93135.097665362875</v>
      </c>
      <c r="K18" s="227"/>
    </row>
    <row r="19" spans="1:13" x14ac:dyDescent="0.25">
      <c r="A19" s="2"/>
      <c r="B19" s="14" t="s">
        <v>4</v>
      </c>
      <c r="C19" s="156"/>
      <c r="D19" s="75">
        <f>'2020 Commodity Expense Forecast'!I35</f>
        <v>0</v>
      </c>
      <c r="E19" s="164"/>
      <c r="F19" s="90">
        <f>D19*'2020 Commodity Expense Forecast'!K35</f>
        <v>0</v>
      </c>
      <c r="G19" s="5"/>
      <c r="H19" s="75">
        <f>'2020 Commodity Expense Forecast'!F35+'2020 Commodity Expense Forecast'!H35</f>
        <v>0</v>
      </c>
      <c r="I19" s="164"/>
      <c r="J19" s="137">
        <f>H19*'2020 Commodity Expense Forecast'!J35</f>
        <v>0</v>
      </c>
      <c r="K19" s="227"/>
      <c r="L19" s="5"/>
    </row>
    <row r="20" spans="1:13" x14ac:dyDescent="0.25">
      <c r="A20" s="4" t="s">
        <v>16</v>
      </c>
      <c r="B20" s="12"/>
      <c r="C20" s="156"/>
      <c r="D20" s="75">
        <f>SUM(D13:D19)</f>
        <v>586846617.41624606</v>
      </c>
      <c r="E20" s="85"/>
      <c r="F20" s="90">
        <f>SUM(F13:F19)</f>
        <v>75133972.427801996</v>
      </c>
      <c r="G20" s="2"/>
      <c r="H20" s="134">
        <f>SUM(H13:H19)</f>
        <v>716374934.83971965</v>
      </c>
      <c r="I20" s="161"/>
      <c r="J20" s="138">
        <f>SUM(J13:J19)</f>
        <v>14391972.440929968</v>
      </c>
      <c r="K20" s="136">
        <f>F20+J20</f>
        <v>89525944.868731961</v>
      </c>
      <c r="L20" s="5" t="str">
        <f>IF(K20='2020 Commodity Expense Forecast'!L38,"OK", "ERROR")</f>
        <v>OK</v>
      </c>
    </row>
    <row r="21" spans="1:13" ht="7.5" customHeight="1" x14ac:dyDescent="0.25">
      <c r="D21" s="16"/>
      <c r="G21" s="5"/>
      <c r="H21" s="5"/>
      <c r="I21" s="243"/>
      <c r="J21" s="242"/>
      <c r="L21" s="5"/>
    </row>
    <row r="22" spans="1:13" x14ac:dyDescent="0.25">
      <c r="A22" s="3" t="s">
        <v>63</v>
      </c>
      <c r="B22" s="240" t="s">
        <v>68</v>
      </c>
      <c r="C22" s="86"/>
      <c r="D22" s="231" t="s">
        <v>14</v>
      </c>
      <c r="E22" s="233" t="s">
        <v>6</v>
      </c>
      <c r="F22" s="235" t="s">
        <v>7</v>
      </c>
      <c r="G22" s="9"/>
      <c r="H22" s="244" t="s">
        <v>14</v>
      </c>
      <c r="I22" s="233" t="s">
        <v>6</v>
      </c>
      <c r="J22" s="235" t="s">
        <v>7</v>
      </c>
      <c r="K22" s="229" t="s">
        <v>78</v>
      </c>
    </row>
    <row r="23" spans="1:13" x14ac:dyDescent="0.25">
      <c r="A23" s="4" t="s">
        <v>28</v>
      </c>
      <c r="B23" s="241"/>
      <c r="C23" s="152"/>
      <c r="D23" s="243"/>
      <c r="E23" s="242"/>
      <c r="F23" s="236"/>
      <c r="G23" s="1"/>
      <c r="H23" s="246"/>
      <c r="I23" s="242"/>
      <c r="J23" s="236"/>
      <c r="K23" s="230"/>
    </row>
    <row r="24" spans="1:13" x14ac:dyDescent="0.25">
      <c r="A24" s="2" t="str">
        <f t="shared" ref="A24:A30" si="0">IF(A13=0,"",A13)</f>
        <v>Residential</v>
      </c>
      <c r="B24" s="12" t="s">
        <v>4</v>
      </c>
      <c r="C24" s="156"/>
      <c r="D24" s="89"/>
      <c r="E24" s="89"/>
      <c r="F24" s="87">
        <f>D24*E24</f>
        <v>0</v>
      </c>
      <c r="H24" s="92"/>
      <c r="I24" s="89"/>
      <c r="J24" s="185">
        <f>'2020 Commodity Expense Forecast'!L51</f>
        <v>1790865.9101469445</v>
      </c>
      <c r="K24" s="227"/>
    </row>
    <row r="25" spans="1:13" x14ac:dyDescent="0.25">
      <c r="A25" s="2" t="str">
        <f t="shared" si="0"/>
        <v>General Service &lt; 50 kW</v>
      </c>
      <c r="B25" s="12" t="s">
        <v>4</v>
      </c>
      <c r="C25" s="156"/>
      <c r="D25" s="89"/>
      <c r="E25" s="89"/>
      <c r="F25" s="87">
        <f t="shared" ref="F25:F30" si="1">D25*E25</f>
        <v>0</v>
      </c>
      <c r="H25" s="92"/>
      <c r="I25" s="89"/>
      <c r="J25" s="185">
        <f>'2020 Commodity Expense Forecast'!L52</f>
        <v>2572579.1916573513</v>
      </c>
      <c r="K25" s="227"/>
      <c r="M25" s="5"/>
    </row>
    <row r="26" spans="1:13" x14ac:dyDescent="0.25">
      <c r="A26" s="2" t="str">
        <f t="shared" si="0"/>
        <v>General Service 50 to 4999 kW</v>
      </c>
      <c r="B26" s="12" t="s">
        <v>65</v>
      </c>
      <c r="C26" s="156"/>
      <c r="D26" s="89"/>
      <c r="E26" s="89"/>
      <c r="F26" s="87">
        <f t="shared" si="1"/>
        <v>0</v>
      </c>
      <c r="H26" s="92"/>
      <c r="I26" s="89"/>
      <c r="J26" s="185">
        <f>'2020 Commodity Expense Forecast'!L53+'2020 Commodity Expense Forecast'!L43</f>
        <v>63109548.615747355</v>
      </c>
      <c r="K26" s="227"/>
      <c r="L26" s="5"/>
    </row>
    <row r="27" spans="1:13" x14ac:dyDescent="0.25">
      <c r="A27" s="2" t="str">
        <f t="shared" si="0"/>
        <v>Unmetered Scattered Load</v>
      </c>
      <c r="B27" s="12" t="s">
        <v>65</v>
      </c>
      <c r="C27" s="156"/>
      <c r="D27" s="89"/>
      <c r="E27" s="89"/>
      <c r="F27" s="87">
        <f t="shared" si="1"/>
        <v>0</v>
      </c>
      <c r="H27" s="92"/>
      <c r="I27" s="89"/>
      <c r="J27" s="185">
        <f>'2020 Commodity Expense Forecast'!L54</f>
        <v>0</v>
      </c>
      <c r="K27" s="227"/>
    </row>
    <row r="28" spans="1:13" x14ac:dyDescent="0.25">
      <c r="A28" s="2" t="str">
        <f t="shared" si="0"/>
        <v>Sentinel Lighting</v>
      </c>
      <c r="B28" s="12" t="s">
        <v>4</v>
      </c>
      <c r="C28" s="156"/>
      <c r="D28" s="89"/>
      <c r="E28" s="89"/>
      <c r="F28" s="87">
        <f t="shared" si="1"/>
        <v>0</v>
      </c>
      <c r="H28" s="92"/>
      <c r="I28" s="89"/>
      <c r="J28" s="185">
        <f>'2020 Commodity Expense Forecast'!L55</f>
        <v>0</v>
      </c>
      <c r="K28" s="227"/>
      <c r="L28" s="1"/>
      <c r="M28" s="5"/>
    </row>
    <row r="29" spans="1:13" x14ac:dyDescent="0.25">
      <c r="A29" s="2" t="str">
        <f t="shared" si="0"/>
        <v xml:space="preserve">Street Lighting </v>
      </c>
      <c r="B29" s="12" t="s">
        <v>4</v>
      </c>
      <c r="C29" s="156"/>
      <c r="D29" s="89"/>
      <c r="E29" s="89"/>
      <c r="F29" s="87">
        <f t="shared" si="1"/>
        <v>0</v>
      </c>
      <c r="H29" s="92"/>
      <c r="I29" s="89"/>
      <c r="J29" s="185">
        <f>'2020 Commodity Expense Forecast'!L56</f>
        <v>495762.43625355425</v>
      </c>
      <c r="K29" s="227"/>
    </row>
    <row r="30" spans="1:13" x14ac:dyDescent="0.25">
      <c r="A30" s="2" t="str">
        <f t="shared" si="0"/>
        <v/>
      </c>
      <c r="B30" s="14" t="s">
        <v>4</v>
      </c>
      <c r="C30" s="156"/>
      <c r="D30" s="89"/>
      <c r="E30" s="89"/>
      <c r="F30" s="88">
        <f t="shared" si="1"/>
        <v>0</v>
      </c>
      <c r="H30" s="92"/>
      <c r="I30" s="89"/>
      <c r="J30" s="186">
        <f t="shared" ref="J30" si="2">H30*I30</f>
        <v>0</v>
      </c>
      <c r="K30" s="227"/>
    </row>
    <row r="31" spans="1:13" x14ac:dyDescent="0.25">
      <c r="A31" s="4" t="s">
        <v>16</v>
      </c>
      <c r="B31" s="7"/>
      <c r="C31" s="155"/>
      <c r="D31" s="161">
        <f>SUM(D24:D30)</f>
        <v>0</v>
      </c>
      <c r="E31" s="85"/>
      <c r="F31" s="12">
        <f>SUM(F24:F30)</f>
        <v>0</v>
      </c>
      <c r="G31" s="12"/>
      <c r="H31" s="91"/>
      <c r="I31" s="85"/>
      <c r="J31" s="76">
        <f>SUM(J24:J30)</f>
        <v>67968756.153805196</v>
      </c>
      <c r="K31" s="136">
        <f>F31+J31</f>
        <v>67968756.153805196</v>
      </c>
      <c r="L31" s="193" t="str">
        <f>IF(K31=('2020 Commodity Expense Forecast'!L46+'2020 Commodity Expense Forecast'!L60), "OK","ERROR")</f>
        <v>OK</v>
      </c>
    </row>
    <row r="32" spans="1:13" ht="8.25" customHeight="1" x14ac:dyDescent="0.25">
      <c r="B32" s="16"/>
      <c r="C32" s="5"/>
      <c r="D32" s="16"/>
    </row>
    <row r="33" spans="1:11" x14ac:dyDescent="0.25">
      <c r="A33" s="80" t="s">
        <v>3</v>
      </c>
      <c r="B33" s="242"/>
      <c r="C33" s="152"/>
      <c r="D33" s="243" t="s">
        <v>15</v>
      </c>
      <c r="E33" s="227" t="s">
        <v>6</v>
      </c>
      <c r="F33" s="235" t="s">
        <v>7</v>
      </c>
      <c r="G33" s="9"/>
      <c r="H33" s="244" t="s">
        <v>14</v>
      </c>
      <c r="I33" s="227" t="s">
        <v>6</v>
      </c>
      <c r="J33" s="235" t="s">
        <v>7</v>
      </c>
      <c r="K33" s="231" t="s">
        <v>78</v>
      </c>
    </row>
    <row r="34" spans="1:11" x14ac:dyDescent="0.25">
      <c r="A34" s="4" t="s">
        <v>28</v>
      </c>
      <c r="B34" s="234"/>
      <c r="C34" s="151"/>
      <c r="D34" s="232"/>
      <c r="E34" s="227"/>
      <c r="F34" s="236"/>
      <c r="G34" s="1"/>
      <c r="H34" s="245"/>
      <c r="I34" s="227"/>
      <c r="J34" s="236"/>
      <c r="K34" s="232"/>
    </row>
    <row r="35" spans="1:11" x14ac:dyDescent="0.25">
      <c r="A35" s="2" t="str">
        <f>IF(A24=0,"",A24)</f>
        <v>Residential</v>
      </c>
      <c r="B35" s="7" t="s">
        <v>4</v>
      </c>
      <c r="C35" s="156"/>
      <c r="D35" s="191">
        <f>D13</f>
        <v>447514877.43816632</v>
      </c>
      <c r="E35" s="11">
        <v>7.4000000000000003E-3</v>
      </c>
      <c r="F35" s="192">
        <f>D35*E35</f>
        <v>3311610.0930424309</v>
      </c>
      <c r="H35" s="22">
        <f>H13</f>
        <v>16746455.116391851</v>
      </c>
      <c r="I35" s="11">
        <f>E35</f>
        <v>7.4000000000000003E-3</v>
      </c>
      <c r="J35" s="192">
        <f>H35*I35</f>
        <v>123923.7678612997</v>
      </c>
      <c r="K35" s="227"/>
    </row>
    <row r="36" spans="1:11" x14ac:dyDescent="0.25">
      <c r="A36" s="2" t="str">
        <f t="shared" ref="A36:A41" si="3">IF(A25=0,"",A25)</f>
        <v>General Service &lt; 50 kW</v>
      </c>
      <c r="B36" s="7" t="s">
        <v>4</v>
      </c>
      <c r="C36" s="157"/>
      <c r="D36" s="191">
        <f>D14</f>
        <v>110995392.84668885</v>
      </c>
      <c r="E36" s="195">
        <v>6.7000000000000002E-3</v>
      </c>
      <c r="F36" s="192">
        <f t="shared" ref="F36:F41" si="4">D36*E36</f>
        <v>743669.13207281532</v>
      </c>
      <c r="H36" s="22">
        <f>H14</f>
        <v>24056285.689707793</v>
      </c>
      <c r="I36" s="11">
        <f t="shared" ref="I36:I40" si="5">E36</f>
        <v>6.7000000000000002E-3</v>
      </c>
      <c r="J36" s="192">
        <f t="shared" ref="J36:J41" si="6">H36*I36</f>
        <v>161177.11412104222</v>
      </c>
      <c r="K36" s="227"/>
    </row>
    <row r="37" spans="1:11" x14ac:dyDescent="0.25">
      <c r="A37" s="2" t="str">
        <f t="shared" si="3"/>
        <v>General Service 50 to 4999 kW</v>
      </c>
      <c r="B37" s="7" t="s">
        <v>5</v>
      </c>
      <c r="C37" s="156"/>
      <c r="D37" s="191">
        <v>64708.990296988028</v>
      </c>
      <c r="E37" s="11">
        <v>2.7627999999999999</v>
      </c>
      <c r="F37" s="192">
        <f t="shared" si="4"/>
        <v>178777.99839251852</v>
      </c>
      <c r="H37" s="22">
        <v>1637582.0959611465</v>
      </c>
      <c r="I37" s="11">
        <f t="shared" si="5"/>
        <v>2.7627999999999999</v>
      </c>
      <c r="J37" s="192">
        <f t="shared" si="6"/>
        <v>4524311.8147214558</v>
      </c>
      <c r="K37" s="227"/>
    </row>
    <row r="38" spans="1:11" x14ac:dyDescent="0.25">
      <c r="A38" s="2" t="str">
        <f t="shared" si="3"/>
        <v>Unmetered Scattered Load</v>
      </c>
      <c r="B38" s="7" t="s">
        <v>4</v>
      </c>
      <c r="C38" s="156"/>
      <c r="D38" s="191">
        <f>D16</f>
        <v>1595465.1252537589</v>
      </c>
      <c r="E38" s="11">
        <v>6.7000000000000002E-3</v>
      </c>
      <c r="F38" s="192">
        <f t="shared" si="4"/>
        <v>10689.616339200185</v>
      </c>
      <c r="H38" s="22">
        <f>H16</f>
        <v>0</v>
      </c>
      <c r="I38" s="11">
        <f t="shared" si="5"/>
        <v>6.7000000000000002E-3</v>
      </c>
      <c r="J38" s="192">
        <f t="shared" si="6"/>
        <v>0</v>
      </c>
      <c r="K38" s="227"/>
    </row>
    <row r="39" spans="1:11" x14ac:dyDescent="0.25">
      <c r="A39" s="2" t="str">
        <f t="shared" si="3"/>
        <v>Sentinel Lighting</v>
      </c>
      <c r="B39" s="7" t="s">
        <v>5</v>
      </c>
      <c r="C39" s="156"/>
      <c r="D39" s="191">
        <v>652.37653997240943</v>
      </c>
      <c r="E39" s="11">
        <v>2.0455000000000001</v>
      </c>
      <c r="F39" s="192">
        <f t="shared" si="4"/>
        <v>1334.4362125135635</v>
      </c>
      <c r="H39" s="22">
        <v>0</v>
      </c>
      <c r="I39" s="11">
        <f t="shared" si="5"/>
        <v>2.0455000000000001</v>
      </c>
      <c r="J39" s="192">
        <f t="shared" si="6"/>
        <v>0</v>
      </c>
      <c r="K39" s="227"/>
    </row>
    <row r="40" spans="1:11" x14ac:dyDescent="0.25">
      <c r="A40" s="2" t="str">
        <f t="shared" si="3"/>
        <v xml:space="preserve">Street Lighting </v>
      </c>
      <c r="B40" s="7" t="s">
        <v>5</v>
      </c>
      <c r="C40" s="156"/>
      <c r="D40" s="191">
        <v>0</v>
      </c>
      <c r="E40" s="11">
        <v>2.0884</v>
      </c>
      <c r="F40" s="192">
        <f t="shared" si="4"/>
        <v>0</v>
      </c>
      <c r="H40" s="22">
        <v>12417.895849764438</v>
      </c>
      <c r="I40" s="11">
        <f t="shared" si="5"/>
        <v>2.0884</v>
      </c>
      <c r="J40" s="192">
        <f t="shared" si="6"/>
        <v>25933.533692648052</v>
      </c>
      <c r="K40" s="227"/>
    </row>
    <row r="41" spans="1:11" x14ac:dyDescent="0.25">
      <c r="A41" s="2" t="str">
        <f t="shared" si="3"/>
        <v/>
      </c>
      <c r="B41" s="7"/>
      <c r="C41" s="156"/>
      <c r="D41" s="191"/>
      <c r="E41" s="11"/>
      <c r="F41" s="192">
        <f t="shared" si="4"/>
        <v>0</v>
      </c>
      <c r="H41" s="22"/>
      <c r="I41" s="11"/>
      <c r="J41" s="192">
        <f t="shared" si="6"/>
        <v>0</v>
      </c>
      <c r="K41" s="227"/>
    </row>
    <row r="42" spans="1:11" x14ac:dyDescent="0.25">
      <c r="A42" s="4" t="s">
        <v>16</v>
      </c>
      <c r="B42" s="7"/>
      <c r="C42" s="155"/>
      <c r="D42" s="76"/>
      <c r="E42" s="12"/>
      <c r="F42" s="76">
        <f>SUM(F35:F41)</f>
        <v>4246081.2760594785</v>
      </c>
      <c r="G42" s="12"/>
      <c r="H42" s="134"/>
      <c r="I42" s="12"/>
      <c r="J42" s="76">
        <f>SUM(J35:J41)</f>
        <v>4835346.2303964458</v>
      </c>
      <c r="K42" s="192">
        <f>F42+J42</f>
        <v>9081427.5064559244</v>
      </c>
    </row>
    <row r="43" spans="1:11" ht="5.25" customHeight="1" x14ac:dyDescent="0.25">
      <c r="C43" s="5"/>
    </row>
    <row r="44" spans="1:11" x14ac:dyDescent="0.25">
      <c r="A44" s="3" t="s">
        <v>8</v>
      </c>
      <c r="B44" s="233"/>
      <c r="C44" s="152"/>
      <c r="D44" s="231" t="s">
        <v>14</v>
      </c>
      <c r="E44" s="227" t="s">
        <v>6</v>
      </c>
      <c r="F44" s="235" t="s">
        <v>7</v>
      </c>
      <c r="G44" s="9"/>
      <c r="H44" s="244" t="s">
        <v>14</v>
      </c>
      <c r="I44" s="227" t="s">
        <v>6</v>
      </c>
      <c r="J44" s="235" t="s">
        <v>7</v>
      </c>
      <c r="K44" s="231" t="s">
        <v>78</v>
      </c>
    </row>
    <row r="45" spans="1:11" x14ac:dyDescent="0.25">
      <c r="A45" s="4" t="s">
        <v>28</v>
      </c>
      <c r="B45" s="234"/>
      <c r="C45" s="151"/>
      <c r="D45" s="232"/>
      <c r="E45" s="227"/>
      <c r="F45" s="236"/>
      <c r="G45" s="1"/>
      <c r="H45" s="245"/>
      <c r="I45" s="227"/>
      <c r="J45" s="236"/>
      <c r="K45" s="232"/>
    </row>
    <row r="46" spans="1:11" x14ac:dyDescent="0.25">
      <c r="A46" s="2" t="str">
        <f>IF(A35=0,"",A35)</f>
        <v>Residential</v>
      </c>
      <c r="B46" s="7" t="s">
        <v>4</v>
      </c>
      <c r="C46" s="156"/>
      <c r="D46" s="191">
        <f>D35</f>
        <v>447514877.43816632</v>
      </c>
      <c r="E46" s="195">
        <v>5.4000000000000003E-3</v>
      </c>
      <c r="F46" s="192">
        <f>D46*E46</f>
        <v>2416580.3381660981</v>
      </c>
      <c r="H46" s="22">
        <f>H35</f>
        <v>16746455.116391851</v>
      </c>
      <c r="I46" s="195">
        <f>E46</f>
        <v>5.4000000000000003E-3</v>
      </c>
      <c r="J46" s="192">
        <f>H46*I46</f>
        <v>90430.857628515994</v>
      </c>
      <c r="K46" s="227"/>
    </row>
    <row r="47" spans="1:11" x14ac:dyDescent="0.25">
      <c r="A47" s="2" t="str">
        <f t="shared" ref="A47:A52" si="7">IF(A36=0,"",A36)</f>
        <v>General Service &lt; 50 kW</v>
      </c>
      <c r="B47" s="7" t="s">
        <v>4</v>
      </c>
      <c r="C47" s="91"/>
      <c r="D47" s="191">
        <f t="shared" ref="D47:D51" si="8">D36</f>
        <v>110995392.84668885</v>
      </c>
      <c r="E47" s="195">
        <v>4.7000000000000002E-3</v>
      </c>
      <c r="F47" s="192">
        <f t="shared" ref="F47:F52" si="9">D47*E47</f>
        <v>521678.3463794376</v>
      </c>
      <c r="H47" s="22">
        <f t="shared" ref="H47:H52" si="10">H36</f>
        <v>24056285.689707793</v>
      </c>
      <c r="I47" s="195">
        <f t="shared" ref="I47:I51" si="11">E47</f>
        <v>4.7000000000000002E-3</v>
      </c>
      <c r="J47" s="192">
        <f t="shared" ref="J47:J52" si="12">H47*I47</f>
        <v>113064.54274162663</v>
      </c>
      <c r="K47" s="227"/>
    </row>
    <row r="48" spans="1:11" x14ac:dyDescent="0.25">
      <c r="A48" s="2" t="str">
        <f t="shared" si="7"/>
        <v>General Service 50 to 4999 kW</v>
      </c>
      <c r="B48" s="7" t="s">
        <v>5</v>
      </c>
      <c r="C48" s="19"/>
      <c r="D48" s="191">
        <f t="shared" si="8"/>
        <v>64708.990296988028</v>
      </c>
      <c r="E48" s="195">
        <v>1.9004000000000001</v>
      </c>
      <c r="F48" s="192">
        <f t="shared" si="9"/>
        <v>122972.96516039605</v>
      </c>
      <c r="H48" s="22">
        <f t="shared" si="10"/>
        <v>1637582.0959611465</v>
      </c>
      <c r="I48" s="195">
        <f t="shared" si="11"/>
        <v>1.9004000000000001</v>
      </c>
      <c r="J48" s="192">
        <f t="shared" si="12"/>
        <v>3112061.015164563</v>
      </c>
      <c r="K48" s="227"/>
    </row>
    <row r="49" spans="1:11" x14ac:dyDescent="0.25">
      <c r="A49" s="2" t="str">
        <f t="shared" si="7"/>
        <v>Unmetered Scattered Load</v>
      </c>
      <c r="B49" s="7" t="s">
        <v>4</v>
      </c>
      <c r="C49" s="19"/>
      <c r="D49" s="191">
        <f t="shared" si="8"/>
        <v>1595465.1252537589</v>
      </c>
      <c r="E49" s="195">
        <v>4.7000000000000002E-3</v>
      </c>
      <c r="F49" s="192">
        <f t="shared" si="9"/>
        <v>7498.686088692667</v>
      </c>
      <c r="H49" s="22">
        <f t="shared" si="10"/>
        <v>0</v>
      </c>
      <c r="I49" s="195">
        <f t="shared" si="11"/>
        <v>4.7000000000000002E-3</v>
      </c>
      <c r="J49" s="192">
        <f t="shared" si="12"/>
        <v>0</v>
      </c>
      <c r="K49" s="227"/>
    </row>
    <row r="50" spans="1:11" x14ac:dyDescent="0.25">
      <c r="A50" s="2" t="str">
        <f t="shared" si="7"/>
        <v>Sentinel Lighting</v>
      </c>
      <c r="B50" s="7" t="s">
        <v>5</v>
      </c>
      <c r="C50" s="19"/>
      <c r="D50" s="191">
        <f t="shared" si="8"/>
        <v>652.37653997240943</v>
      </c>
      <c r="E50" s="11">
        <v>1.5881000000000001</v>
      </c>
      <c r="F50" s="192">
        <f t="shared" si="9"/>
        <v>1036.0391831301836</v>
      </c>
      <c r="H50" s="22">
        <f t="shared" si="10"/>
        <v>0</v>
      </c>
      <c r="I50" s="11">
        <f t="shared" si="11"/>
        <v>1.5881000000000001</v>
      </c>
      <c r="J50" s="192">
        <f t="shared" si="12"/>
        <v>0</v>
      </c>
      <c r="K50" s="227"/>
    </row>
    <row r="51" spans="1:11" x14ac:dyDescent="0.25">
      <c r="A51" s="2" t="str">
        <f t="shared" si="7"/>
        <v xml:space="preserve">Street Lighting </v>
      </c>
      <c r="B51" s="7" t="s">
        <v>5</v>
      </c>
      <c r="C51" s="19"/>
      <c r="D51" s="191">
        <f t="shared" si="8"/>
        <v>0</v>
      </c>
      <c r="E51" s="11">
        <v>1.46</v>
      </c>
      <c r="F51" s="192">
        <f t="shared" si="9"/>
        <v>0</v>
      </c>
      <c r="H51" s="22">
        <f t="shared" si="10"/>
        <v>12417.895849764438</v>
      </c>
      <c r="I51" s="11">
        <f t="shared" si="11"/>
        <v>1.46</v>
      </c>
      <c r="J51" s="192">
        <f t="shared" si="12"/>
        <v>18130.127940656079</v>
      </c>
      <c r="K51" s="227"/>
    </row>
    <row r="52" spans="1:11" x14ac:dyDescent="0.25">
      <c r="A52" s="2" t="str">
        <f t="shared" si="7"/>
        <v/>
      </c>
      <c r="B52" s="7"/>
      <c r="C52" s="19"/>
      <c r="D52" s="191"/>
      <c r="E52" s="11"/>
      <c r="F52" s="192">
        <f t="shared" si="9"/>
        <v>0</v>
      </c>
      <c r="H52" s="22">
        <f t="shared" si="10"/>
        <v>0</v>
      </c>
      <c r="I52" s="11"/>
      <c r="J52" s="192">
        <f t="shared" si="12"/>
        <v>0</v>
      </c>
      <c r="K52" s="227"/>
    </row>
    <row r="53" spans="1:11" x14ac:dyDescent="0.25">
      <c r="A53" s="4" t="s">
        <v>16</v>
      </c>
      <c r="B53" s="7"/>
      <c r="C53" s="159"/>
      <c r="D53" s="76"/>
      <c r="E53" s="12"/>
      <c r="F53" s="76">
        <f>SUM(F46:F52)</f>
        <v>3069766.3749777544</v>
      </c>
      <c r="G53" s="12"/>
      <c r="H53" s="2"/>
      <c r="I53" s="12"/>
      <c r="J53" s="76">
        <f>SUM(J46:J52)</f>
        <v>3333686.5434753615</v>
      </c>
      <c r="K53" s="192">
        <f>F53+J53</f>
        <v>6403452.918453116</v>
      </c>
    </row>
    <row r="54" spans="1:11" ht="7.5" customHeight="1" x14ac:dyDescent="0.25">
      <c r="C54" s="5"/>
    </row>
    <row r="55" spans="1:11" x14ac:dyDescent="0.25">
      <c r="A55" s="3" t="s">
        <v>9</v>
      </c>
      <c r="B55" s="231"/>
      <c r="C55" s="153"/>
      <c r="D55" s="231" t="s">
        <v>15</v>
      </c>
      <c r="E55" s="227" t="s">
        <v>6</v>
      </c>
      <c r="F55" s="235" t="s">
        <v>7</v>
      </c>
      <c r="G55" s="9"/>
      <c r="H55" s="244" t="s">
        <v>14</v>
      </c>
      <c r="I55" s="227" t="s">
        <v>6</v>
      </c>
      <c r="J55" s="227" t="s">
        <v>7</v>
      </c>
      <c r="K55" s="231" t="s">
        <v>78</v>
      </c>
    </row>
    <row r="56" spans="1:11" x14ac:dyDescent="0.25">
      <c r="A56" s="4" t="s">
        <v>28</v>
      </c>
      <c r="B56" s="232"/>
      <c r="C56" s="150"/>
      <c r="D56" s="232"/>
      <c r="E56" s="227"/>
      <c r="F56" s="236"/>
      <c r="G56" s="1"/>
      <c r="H56" s="245"/>
      <c r="I56" s="227"/>
      <c r="J56" s="227"/>
      <c r="K56" s="232"/>
    </row>
    <row r="57" spans="1:11" x14ac:dyDescent="0.25">
      <c r="A57" s="2" t="str">
        <f>IF(A46=0,"",A46)</f>
        <v>Residential</v>
      </c>
      <c r="B57" s="12" t="s">
        <v>4</v>
      </c>
      <c r="C57" s="156"/>
      <c r="D57" s="191">
        <f>D13</f>
        <v>447514877.43816632</v>
      </c>
      <c r="E57" s="195">
        <v>3.4000000000000002E-3</v>
      </c>
      <c r="F57" s="192">
        <f>D57*E57</f>
        <v>1521550.5832897655</v>
      </c>
      <c r="H57" s="22">
        <f>H13</f>
        <v>16746455.116391851</v>
      </c>
      <c r="I57" s="195">
        <f>E57</f>
        <v>3.4000000000000002E-3</v>
      </c>
      <c r="J57" s="192">
        <f>H57*I57</f>
        <v>56937.947395732299</v>
      </c>
      <c r="K57" s="227"/>
    </row>
    <row r="58" spans="1:11" x14ac:dyDescent="0.25">
      <c r="A58" s="2" t="str">
        <f t="shared" ref="A58:A62" si="13">IF(A47=0,"",A47)</f>
        <v>General Service &lt; 50 kW</v>
      </c>
      <c r="B58" s="12" t="s">
        <v>4</v>
      </c>
      <c r="C58" s="156"/>
      <c r="D58" s="191">
        <f t="shared" ref="D58:D62" si="14">D14</f>
        <v>110995392.84668885</v>
      </c>
      <c r="E58" s="195">
        <v>3.4000000000000002E-3</v>
      </c>
      <c r="F58" s="192">
        <f t="shared" ref="F58:F63" si="15">D58*E58</f>
        <v>377384.33567874215</v>
      </c>
      <c r="H58" s="22">
        <f t="shared" ref="H58:H62" si="16">H14</f>
        <v>24056285.689707793</v>
      </c>
      <c r="I58" s="195">
        <f t="shared" ref="I58:I62" si="17">E58</f>
        <v>3.4000000000000002E-3</v>
      </c>
      <c r="J58" s="192">
        <f t="shared" ref="J58:J63" si="18">H58*I58</f>
        <v>81791.371345006497</v>
      </c>
      <c r="K58" s="227"/>
    </row>
    <row r="59" spans="1:11" x14ac:dyDescent="0.25">
      <c r="A59" s="2" t="s">
        <v>93</v>
      </c>
      <c r="B59" s="12" t="s">
        <v>4</v>
      </c>
      <c r="C59" s="156"/>
      <c r="D59" s="191">
        <f t="shared" si="14"/>
        <v>26512020.787880912</v>
      </c>
      <c r="E59" s="195">
        <v>3.4000000000000002E-3</v>
      </c>
      <c r="F59" s="192">
        <f t="shared" si="15"/>
        <v>90140.870678795109</v>
      </c>
      <c r="H59" s="22">
        <f>H15-H63</f>
        <v>446749115.858441</v>
      </c>
      <c r="I59" s="195">
        <f t="shared" si="17"/>
        <v>3.4000000000000002E-3</v>
      </c>
      <c r="J59" s="192">
        <f t="shared" si="18"/>
        <v>1518946.9939186994</v>
      </c>
      <c r="K59" s="227"/>
    </row>
    <row r="60" spans="1:11" x14ac:dyDescent="0.25">
      <c r="A60" s="2" t="str">
        <f t="shared" si="13"/>
        <v>Unmetered Scattered Load</v>
      </c>
      <c r="B60" s="12" t="s">
        <v>4</v>
      </c>
      <c r="C60" s="156"/>
      <c r="D60" s="191">
        <f t="shared" si="14"/>
        <v>1595465.1252537589</v>
      </c>
      <c r="E60" s="195">
        <v>3.4000000000000002E-3</v>
      </c>
      <c r="F60" s="192">
        <f t="shared" si="15"/>
        <v>5424.5814258627806</v>
      </c>
      <c r="H60" s="22">
        <f t="shared" si="16"/>
        <v>0</v>
      </c>
      <c r="I60" s="195">
        <f t="shared" si="17"/>
        <v>3.4000000000000002E-3</v>
      </c>
      <c r="J60" s="192">
        <f t="shared" si="18"/>
        <v>0</v>
      </c>
      <c r="K60" s="227"/>
    </row>
    <row r="61" spans="1:11" x14ac:dyDescent="0.25">
      <c r="A61" s="2" t="str">
        <f t="shared" si="13"/>
        <v>Sentinel Lighting</v>
      </c>
      <c r="B61" s="12" t="s">
        <v>4</v>
      </c>
      <c r="C61" s="156"/>
      <c r="D61" s="191">
        <f t="shared" si="14"/>
        <v>228861.21825627465</v>
      </c>
      <c r="E61" s="195">
        <v>3.4000000000000002E-3</v>
      </c>
      <c r="F61" s="192">
        <f t="shared" si="15"/>
        <v>778.12814207133385</v>
      </c>
      <c r="H61" s="22">
        <f t="shared" si="16"/>
        <v>0</v>
      </c>
      <c r="I61" s="195">
        <f t="shared" si="17"/>
        <v>3.4000000000000002E-3</v>
      </c>
      <c r="J61" s="192">
        <f t="shared" si="18"/>
        <v>0</v>
      </c>
      <c r="K61" s="227"/>
    </row>
    <row r="62" spans="1:11" x14ac:dyDescent="0.25">
      <c r="A62" s="2" t="str">
        <f t="shared" si="13"/>
        <v xml:space="preserve">Street Lighting </v>
      </c>
      <c r="B62" s="12" t="s">
        <v>4</v>
      </c>
      <c r="C62" s="156"/>
      <c r="D62" s="191">
        <f t="shared" si="14"/>
        <v>0</v>
      </c>
      <c r="E62" s="195">
        <v>3.4000000000000002E-3</v>
      </c>
      <c r="F62" s="192">
        <f t="shared" si="15"/>
        <v>0</v>
      </c>
      <c r="H62" s="22">
        <f t="shared" si="16"/>
        <v>4635893.3631340405</v>
      </c>
      <c r="I62" s="195">
        <f t="shared" si="17"/>
        <v>3.4000000000000002E-3</v>
      </c>
      <c r="J62" s="192">
        <f t="shared" si="18"/>
        <v>15762.037434655738</v>
      </c>
      <c r="K62" s="227"/>
    </row>
    <row r="63" spans="1:11" x14ac:dyDescent="0.25">
      <c r="A63" s="2" t="s">
        <v>94</v>
      </c>
      <c r="B63" s="12" t="s">
        <v>4</v>
      </c>
      <c r="C63" s="156"/>
      <c r="D63" s="191"/>
      <c r="E63" s="11"/>
      <c r="F63" s="192">
        <f t="shared" si="15"/>
        <v>0</v>
      </c>
      <c r="H63" s="22">
        <f>'2020 Commodity Expense Forecast'!F31</f>
        <v>224187184.81204498</v>
      </c>
      <c r="I63" s="211">
        <v>3.6889945370134568E-3</v>
      </c>
      <c r="J63" s="192">
        <f t="shared" si="18"/>
        <v>827025.30004006019</v>
      </c>
      <c r="K63" s="227"/>
    </row>
    <row r="64" spans="1:11" x14ac:dyDescent="0.25">
      <c r="A64" s="4" t="s">
        <v>16</v>
      </c>
      <c r="B64" s="7"/>
      <c r="C64" s="155"/>
      <c r="D64" s="76"/>
      <c r="E64" s="12"/>
      <c r="F64" s="76">
        <f>SUM(F57:F63)</f>
        <v>1995278.4992152369</v>
      </c>
      <c r="G64" s="12"/>
      <c r="H64" s="2"/>
      <c r="I64" s="12"/>
      <c r="J64" s="76">
        <f>SUM(J57:J63)</f>
        <v>2500463.6501341541</v>
      </c>
      <c r="K64" s="192">
        <f>F64+J64</f>
        <v>4495742.1493493915</v>
      </c>
    </row>
    <row r="65" spans="1:11" ht="6.75" customHeight="1" x14ac:dyDescent="0.25"/>
    <row r="66" spans="1:11" x14ac:dyDescent="0.25">
      <c r="A66" s="3" t="s">
        <v>10</v>
      </c>
      <c r="B66" s="231"/>
      <c r="C66" s="152"/>
      <c r="D66" s="235" t="s">
        <v>15</v>
      </c>
      <c r="E66" s="233" t="s">
        <v>6</v>
      </c>
      <c r="F66" s="227" t="s">
        <v>7</v>
      </c>
      <c r="G66" s="9"/>
      <c r="H66" s="244" t="s">
        <v>14</v>
      </c>
      <c r="I66" s="233" t="s">
        <v>6</v>
      </c>
      <c r="J66" s="227" t="s">
        <v>7</v>
      </c>
      <c r="K66" s="231" t="s">
        <v>78</v>
      </c>
    </row>
    <row r="67" spans="1:11" x14ac:dyDescent="0.25">
      <c r="A67" s="4" t="s">
        <v>28</v>
      </c>
      <c r="B67" s="232"/>
      <c r="C67" s="152"/>
      <c r="D67" s="236"/>
      <c r="E67" s="234"/>
      <c r="F67" s="227"/>
      <c r="G67" s="1"/>
      <c r="H67" s="245"/>
      <c r="I67" s="234"/>
      <c r="J67" s="227"/>
      <c r="K67" s="232"/>
    </row>
    <row r="68" spans="1:11" x14ac:dyDescent="0.25">
      <c r="A68" s="2" t="s">
        <v>87</v>
      </c>
      <c r="B68" s="7" t="s">
        <v>4</v>
      </c>
      <c r="C68" s="156"/>
      <c r="D68" s="191">
        <f>D13</f>
        <v>447514877.43816632</v>
      </c>
      <c r="E68" s="11">
        <v>5.0000000000000001E-4</v>
      </c>
      <c r="F68" s="192">
        <f>D68*E68</f>
        <v>223757.43871908318</v>
      </c>
      <c r="H68" s="22">
        <f>H13</f>
        <v>16746455.116391851</v>
      </c>
      <c r="I68" s="11">
        <f>E68</f>
        <v>5.0000000000000001E-4</v>
      </c>
      <c r="J68" s="192">
        <f>H68*I68</f>
        <v>8373.2275581959257</v>
      </c>
      <c r="K68" s="227"/>
    </row>
    <row r="69" spans="1:11" x14ac:dyDescent="0.25">
      <c r="A69" s="2" t="s">
        <v>88</v>
      </c>
      <c r="B69" s="7" t="s">
        <v>4</v>
      </c>
      <c r="C69" s="156"/>
      <c r="D69" s="191">
        <f t="shared" ref="D69:D74" si="19">D14</f>
        <v>110995392.84668885</v>
      </c>
      <c r="E69" s="11">
        <f>E68</f>
        <v>5.0000000000000001E-4</v>
      </c>
      <c r="F69" s="192">
        <f t="shared" ref="F69:F74" si="20">D69*E69</f>
        <v>55497.696423344431</v>
      </c>
      <c r="H69" s="22">
        <f t="shared" ref="H69:H74" si="21">H14</f>
        <v>24056285.689707793</v>
      </c>
      <c r="I69" s="11">
        <f t="shared" ref="I69:I74" si="22">E69</f>
        <v>5.0000000000000001E-4</v>
      </c>
      <c r="J69" s="192">
        <f t="shared" ref="J69:J74" si="23">H69*I69</f>
        <v>12028.142844853897</v>
      </c>
      <c r="K69" s="227"/>
    </row>
    <row r="70" spans="1:11" x14ac:dyDescent="0.25">
      <c r="A70" s="2" t="s">
        <v>89</v>
      </c>
      <c r="B70" s="7" t="s">
        <v>4</v>
      </c>
      <c r="C70" s="156"/>
      <c r="D70" s="191">
        <f t="shared" si="19"/>
        <v>26512020.787880912</v>
      </c>
      <c r="E70" s="11">
        <f t="shared" ref="E70:E74" si="24">E69</f>
        <v>5.0000000000000001E-4</v>
      </c>
      <c r="F70" s="192">
        <f t="shared" si="20"/>
        <v>13256.010393940456</v>
      </c>
      <c r="H70" s="22">
        <f t="shared" si="21"/>
        <v>670936300.67048597</v>
      </c>
      <c r="I70" s="11">
        <f t="shared" si="22"/>
        <v>5.0000000000000001E-4</v>
      </c>
      <c r="J70" s="192">
        <f t="shared" si="23"/>
        <v>335468.15033524297</v>
      </c>
      <c r="K70" s="227"/>
    </row>
    <row r="71" spans="1:11" x14ac:dyDescent="0.25">
      <c r="A71" s="2" t="s">
        <v>90</v>
      </c>
      <c r="B71" s="7" t="s">
        <v>4</v>
      </c>
      <c r="C71" s="156"/>
      <c r="D71" s="191">
        <f t="shared" si="19"/>
        <v>1595465.1252537589</v>
      </c>
      <c r="E71" s="11">
        <f t="shared" si="24"/>
        <v>5.0000000000000001E-4</v>
      </c>
      <c r="F71" s="192">
        <f t="shared" si="20"/>
        <v>797.73256262687948</v>
      </c>
      <c r="H71" s="22">
        <f t="shared" si="21"/>
        <v>0</v>
      </c>
      <c r="I71" s="11">
        <f t="shared" si="22"/>
        <v>5.0000000000000001E-4</v>
      </c>
      <c r="J71" s="192">
        <f t="shared" si="23"/>
        <v>0</v>
      </c>
      <c r="K71" s="227"/>
    </row>
    <row r="72" spans="1:11" x14ac:dyDescent="0.25">
      <c r="A72" s="2" t="s">
        <v>91</v>
      </c>
      <c r="B72" s="7" t="s">
        <v>4</v>
      </c>
      <c r="C72" s="156"/>
      <c r="D72" s="191">
        <f t="shared" si="19"/>
        <v>228861.21825627465</v>
      </c>
      <c r="E72" s="11">
        <f t="shared" si="24"/>
        <v>5.0000000000000001E-4</v>
      </c>
      <c r="F72" s="192">
        <f t="shared" si="20"/>
        <v>114.43060912813732</v>
      </c>
      <c r="H72" s="22">
        <f t="shared" si="21"/>
        <v>0</v>
      </c>
      <c r="I72" s="11">
        <f t="shared" si="22"/>
        <v>5.0000000000000001E-4</v>
      </c>
      <c r="J72" s="192">
        <f t="shared" si="23"/>
        <v>0</v>
      </c>
      <c r="K72" s="227"/>
    </row>
    <row r="73" spans="1:11" x14ac:dyDescent="0.25">
      <c r="A73" s="2" t="s">
        <v>92</v>
      </c>
      <c r="B73" s="7" t="s">
        <v>4</v>
      </c>
      <c r="C73" s="156"/>
      <c r="D73" s="191">
        <f t="shared" si="19"/>
        <v>0</v>
      </c>
      <c r="E73" s="11">
        <f t="shared" si="24"/>
        <v>5.0000000000000001E-4</v>
      </c>
      <c r="F73" s="192">
        <f t="shared" si="20"/>
        <v>0</v>
      </c>
      <c r="H73" s="22">
        <f t="shared" si="21"/>
        <v>4635893.3631340405</v>
      </c>
      <c r="I73" s="11">
        <f t="shared" si="22"/>
        <v>5.0000000000000001E-4</v>
      </c>
      <c r="J73" s="192">
        <f t="shared" si="23"/>
        <v>2317.9466815670203</v>
      </c>
      <c r="K73" s="227"/>
    </row>
    <row r="74" spans="1:11" x14ac:dyDescent="0.25">
      <c r="A74" s="2"/>
      <c r="B74" s="7" t="s">
        <v>4</v>
      </c>
      <c r="C74" s="156"/>
      <c r="D74" s="191">
        <f t="shared" si="19"/>
        <v>0</v>
      </c>
      <c r="E74" s="11">
        <f t="shared" si="24"/>
        <v>5.0000000000000001E-4</v>
      </c>
      <c r="F74" s="192">
        <f t="shared" si="20"/>
        <v>0</v>
      </c>
      <c r="H74" s="22">
        <f t="shared" si="21"/>
        <v>0</v>
      </c>
      <c r="I74" s="11">
        <f t="shared" si="22"/>
        <v>5.0000000000000001E-4</v>
      </c>
      <c r="J74" s="192">
        <f t="shared" si="23"/>
        <v>0</v>
      </c>
      <c r="K74" s="227"/>
    </row>
    <row r="75" spans="1:11" x14ac:dyDescent="0.25">
      <c r="A75" s="4" t="s">
        <v>16</v>
      </c>
      <c r="B75" s="7"/>
      <c r="C75" s="163"/>
      <c r="D75" s="76"/>
      <c r="E75" s="12"/>
      <c r="F75" s="76">
        <f>SUM(F68:F74)</f>
        <v>293423.30870812311</v>
      </c>
      <c r="G75" s="12"/>
      <c r="H75" s="2"/>
      <c r="I75" s="12"/>
      <c r="J75" s="76">
        <f>SUM(J68:J74)</f>
        <v>358187.46741985978</v>
      </c>
      <c r="K75" s="192">
        <f>F75+J75</f>
        <v>651610.77612798288</v>
      </c>
    </row>
    <row r="76" spans="1:11" ht="8.25" customHeight="1" x14ac:dyDescent="0.25">
      <c r="C76" s="5"/>
    </row>
    <row r="77" spans="1:11" x14ac:dyDescent="0.25">
      <c r="A77" s="3" t="s">
        <v>29</v>
      </c>
      <c r="B77" s="231"/>
      <c r="C77" s="152"/>
      <c r="D77" s="235" t="s">
        <v>14</v>
      </c>
      <c r="E77" s="233" t="s">
        <v>6</v>
      </c>
      <c r="F77" s="227" t="s">
        <v>7</v>
      </c>
      <c r="G77" s="9"/>
      <c r="H77" s="244" t="s">
        <v>14</v>
      </c>
      <c r="I77" s="233" t="s">
        <v>6</v>
      </c>
      <c r="J77" s="227" t="s">
        <v>7</v>
      </c>
      <c r="K77" s="231" t="s">
        <v>78</v>
      </c>
    </row>
    <row r="78" spans="1:11" x14ac:dyDescent="0.25">
      <c r="A78" s="4" t="s">
        <v>28</v>
      </c>
      <c r="B78" s="232"/>
      <c r="C78" s="152"/>
      <c r="D78" s="236"/>
      <c r="E78" s="234"/>
      <c r="F78" s="227"/>
      <c r="G78" s="1"/>
      <c r="H78" s="245"/>
      <c r="I78" s="234"/>
      <c r="J78" s="227"/>
      <c r="K78" s="232"/>
    </row>
    <row r="79" spans="1:11" x14ac:dyDescent="0.25">
      <c r="A79" s="2" t="str">
        <f t="shared" ref="A79:A85" si="25">IF(A68=0,"",A68)</f>
        <v>Residential</v>
      </c>
      <c r="B79" s="7" t="s">
        <v>55</v>
      </c>
      <c r="C79" s="156"/>
      <c r="D79" s="191">
        <v>427058762.70461524</v>
      </c>
      <c r="E79" s="11">
        <v>5.0000000000000001E-4</v>
      </c>
      <c r="F79" s="192">
        <f>D79*E79</f>
        <v>213529.38135230762</v>
      </c>
      <c r="H79" s="22">
        <v>15980966.806366876</v>
      </c>
      <c r="I79" s="11">
        <f>E79</f>
        <v>5.0000000000000001E-4</v>
      </c>
      <c r="J79" s="192">
        <f>H79*I79</f>
        <v>7990.483403183438</v>
      </c>
      <c r="K79" s="228"/>
    </row>
    <row r="80" spans="1:11" x14ac:dyDescent="0.25">
      <c r="A80" s="2" t="str">
        <f t="shared" si="25"/>
        <v>General Service &lt; 50 kW</v>
      </c>
      <c r="B80" s="7" t="s">
        <v>55</v>
      </c>
      <c r="C80" s="156"/>
      <c r="D80" s="185">
        <v>105921741.43209165</v>
      </c>
      <c r="E80" s="11">
        <v>4.0000000000000002E-4</v>
      </c>
      <c r="F80" s="192">
        <f t="shared" ref="F80:F85" si="26">D80*E80</f>
        <v>42368.696572836663</v>
      </c>
      <c r="H80" s="22">
        <v>22956661.599110402</v>
      </c>
      <c r="I80" s="11">
        <f t="shared" ref="I80:I84" si="27">E80</f>
        <v>4.0000000000000002E-4</v>
      </c>
      <c r="J80" s="192">
        <f t="shared" ref="J80:J85" si="28">H80*I80</f>
        <v>9182.6646396441611</v>
      </c>
      <c r="K80" s="228"/>
    </row>
    <row r="81" spans="1:11" x14ac:dyDescent="0.25">
      <c r="A81" s="2" t="str">
        <f t="shared" si="25"/>
        <v>General Service 50 to 4999 kW</v>
      </c>
      <c r="B81" s="149" t="s">
        <v>5</v>
      </c>
      <c r="C81" s="160"/>
      <c r="D81" s="185">
        <v>64708.990296988028</v>
      </c>
      <c r="E81" s="11">
        <v>0.16120000000000001</v>
      </c>
      <c r="F81" s="192">
        <f t="shared" si="26"/>
        <v>10431.089235874471</v>
      </c>
      <c r="H81" s="22">
        <v>1637582.0959611465</v>
      </c>
      <c r="I81" s="11">
        <f t="shared" si="27"/>
        <v>0.16120000000000001</v>
      </c>
      <c r="J81" s="192">
        <f t="shared" si="28"/>
        <v>263978.23386893683</v>
      </c>
      <c r="K81" s="228"/>
    </row>
    <row r="82" spans="1:11" x14ac:dyDescent="0.25">
      <c r="A82" s="2" t="str">
        <f t="shared" si="25"/>
        <v>Unmetered Scattered Load</v>
      </c>
      <c r="B82" s="205" t="s">
        <v>55</v>
      </c>
      <c r="C82" s="160"/>
      <c r="D82" s="185">
        <v>1522535.6668133971</v>
      </c>
      <c r="E82" s="11">
        <v>4.0000000000000002E-4</v>
      </c>
      <c r="F82" s="192">
        <f t="shared" si="26"/>
        <v>609.01426672535888</v>
      </c>
      <c r="H82" s="22">
        <v>0</v>
      </c>
      <c r="I82" s="11">
        <f t="shared" si="27"/>
        <v>4.0000000000000002E-4</v>
      </c>
      <c r="J82" s="192">
        <f t="shared" si="28"/>
        <v>0</v>
      </c>
      <c r="K82" s="228"/>
    </row>
    <row r="83" spans="1:11" x14ac:dyDescent="0.25">
      <c r="A83" s="2" t="str">
        <f t="shared" si="25"/>
        <v>Sentinel Lighting</v>
      </c>
      <c r="B83" s="149" t="s">
        <v>5</v>
      </c>
      <c r="C83" s="160"/>
      <c r="D83" s="191">
        <v>652.37653997240943</v>
      </c>
      <c r="E83" s="11">
        <v>0.13469999999999999</v>
      </c>
      <c r="F83" s="192">
        <f t="shared" si="26"/>
        <v>87.875119934283546</v>
      </c>
      <c r="H83" s="22">
        <v>0</v>
      </c>
      <c r="I83" s="11">
        <f t="shared" si="27"/>
        <v>0.13469999999999999</v>
      </c>
      <c r="J83" s="192">
        <f t="shared" si="28"/>
        <v>0</v>
      </c>
      <c r="K83" s="228"/>
    </row>
    <row r="84" spans="1:11" x14ac:dyDescent="0.25">
      <c r="A84" s="2" t="str">
        <f t="shared" si="25"/>
        <v xml:space="preserve">Street Lighting </v>
      </c>
      <c r="B84" s="205" t="s">
        <v>5</v>
      </c>
      <c r="C84" s="156"/>
      <c r="D84" s="191">
        <v>0</v>
      </c>
      <c r="E84" s="11">
        <v>0.1239</v>
      </c>
      <c r="F84" s="192">
        <f t="shared" si="26"/>
        <v>0</v>
      </c>
      <c r="H84" s="22">
        <v>12417.895849764438</v>
      </c>
      <c r="I84" s="11">
        <f t="shared" si="27"/>
        <v>0.1239</v>
      </c>
      <c r="J84" s="192">
        <f t="shared" si="28"/>
        <v>1538.5772957858139</v>
      </c>
      <c r="K84" s="228"/>
    </row>
    <row r="85" spans="1:11" x14ac:dyDescent="0.25">
      <c r="A85" s="2" t="str">
        <f t="shared" si="25"/>
        <v/>
      </c>
      <c r="B85" s="7"/>
      <c r="C85" s="156"/>
      <c r="D85" s="158"/>
      <c r="E85" s="11"/>
      <c r="F85" s="192">
        <f t="shared" si="26"/>
        <v>0</v>
      </c>
      <c r="H85" s="22"/>
      <c r="I85" s="11"/>
      <c r="J85" s="192">
        <f t="shared" si="28"/>
        <v>0</v>
      </c>
      <c r="K85" s="228"/>
    </row>
    <row r="86" spans="1:11" x14ac:dyDescent="0.25">
      <c r="A86" s="4" t="s">
        <v>16</v>
      </c>
      <c r="B86" s="7"/>
      <c r="C86" s="155"/>
      <c r="D86" s="162">
        <f>SUM(D79:D85)</f>
        <v>534568401.17035717</v>
      </c>
      <c r="E86" s="12"/>
      <c r="F86" s="76">
        <f>SUM(F79:F85)</f>
        <v>267026.05654767837</v>
      </c>
      <c r="G86" s="12"/>
      <c r="H86" s="2"/>
      <c r="I86" s="12"/>
      <c r="J86" s="76">
        <f>SUM(J79:J85)</f>
        <v>282689.95920755027</v>
      </c>
      <c r="K86" s="192">
        <f>F86+J86</f>
        <v>549716.0157552287</v>
      </c>
    </row>
    <row r="87" spans="1:11" ht="9" customHeight="1" x14ac:dyDescent="0.25">
      <c r="C87" s="5"/>
    </row>
    <row r="88" spans="1:11" x14ac:dyDescent="0.25">
      <c r="A88" s="3" t="s">
        <v>11</v>
      </c>
      <c r="B88" s="233"/>
      <c r="C88" s="152"/>
      <c r="D88" s="235" t="s">
        <v>12</v>
      </c>
      <c r="E88" s="233" t="s">
        <v>6</v>
      </c>
      <c r="F88" s="227" t="s">
        <v>7</v>
      </c>
      <c r="G88" s="9"/>
      <c r="H88" s="231" t="s">
        <v>12</v>
      </c>
      <c r="I88" s="233" t="s">
        <v>6</v>
      </c>
      <c r="J88" s="227" t="s">
        <v>7</v>
      </c>
      <c r="K88" s="231" t="s">
        <v>78</v>
      </c>
    </row>
    <row r="89" spans="1:11" x14ac:dyDescent="0.25">
      <c r="A89" s="4" t="s">
        <v>28</v>
      </c>
      <c r="B89" s="234"/>
      <c r="C89" s="152"/>
      <c r="D89" s="236"/>
      <c r="E89" s="234"/>
      <c r="F89" s="227"/>
      <c r="G89" s="1"/>
      <c r="H89" s="232"/>
      <c r="I89" s="234"/>
      <c r="J89" s="227"/>
      <c r="K89" s="232"/>
    </row>
    <row r="90" spans="1:11" x14ac:dyDescent="0.25">
      <c r="A90" s="2" t="s">
        <v>87</v>
      </c>
      <c r="B90" s="7"/>
      <c r="C90" s="156"/>
      <c r="D90" s="185">
        <v>49507.809022466179</v>
      </c>
      <c r="E90" s="196">
        <v>0.56999999999999995</v>
      </c>
      <c r="F90" s="192">
        <f>D90*E90*12</f>
        <v>338633.41371366865</v>
      </c>
      <c r="H90" s="185">
        <v>1852.6318196431009</v>
      </c>
      <c r="I90" s="213">
        <f>E90</f>
        <v>0.56999999999999995</v>
      </c>
      <c r="J90" s="212">
        <f>H90*I90*12</f>
        <v>12672.001646358811</v>
      </c>
      <c r="K90" s="227"/>
    </row>
    <row r="91" spans="1:11" x14ac:dyDescent="0.25">
      <c r="A91" s="13" t="s">
        <v>88</v>
      </c>
      <c r="B91" s="7"/>
      <c r="C91" s="156"/>
      <c r="D91" s="186">
        <v>3704.8125781025442</v>
      </c>
      <c r="E91" s="197">
        <f>E90</f>
        <v>0.56999999999999995</v>
      </c>
      <c r="F91" s="192">
        <f>D91*E91*12</f>
        <v>25340.918034221402</v>
      </c>
      <c r="H91" s="186">
        <v>802.95251469364359</v>
      </c>
      <c r="I91" s="214">
        <f>E91</f>
        <v>0.56999999999999995</v>
      </c>
      <c r="J91" s="212">
        <f>H91*I91*12</f>
        <v>5492.1952005045223</v>
      </c>
      <c r="K91" s="227"/>
    </row>
    <row r="92" spans="1:11" x14ac:dyDescent="0.25">
      <c r="A92" s="13"/>
      <c r="B92" s="7"/>
      <c r="C92" s="156"/>
      <c r="D92" s="186"/>
      <c r="E92" s="197"/>
      <c r="F92" s="192">
        <f>D92*E92*12</f>
        <v>0</v>
      </c>
      <c r="H92" s="15"/>
      <c r="I92" s="15"/>
      <c r="J92" s="2"/>
      <c r="K92" s="170"/>
    </row>
    <row r="93" spans="1:11" x14ac:dyDescent="0.25">
      <c r="A93" s="17" t="s">
        <v>16</v>
      </c>
      <c r="B93" s="7"/>
      <c r="C93" s="156"/>
      <c r="D93" s="2"/>
      <c r="E93" s="2"/>
      <c r="F93" s="192">
        <f>SUM(F90:F92)</f>
        <v>363974.33174789004</v>
      </c>
      <c r="G93" s="2"/>
      <c r="H93" s="2"/>
      <c r="I93" s="2"/>
      <c r="J93" s="192">
        <f>SUM(J90:J91)</f>
        <v>18164.196846863335</v>
      </c>
      <c r="K93" s="192">
        <f>F93+J93</f>
        <v>382138.52859475336</v>
      </c>
    </row>
    <row r="94" spans="1:11" ht="5.25" customHeight="1" x14ac:dyDescent="0.25">
      <c r="A94" s="2"/>
      <c r="B94" s="2"/>
      <c r="C94" s="156"/>
      <c r="D94" s="2"/>
      <c r="E94" s="2"/>
      <c r="F94" s="2"/>
      <c r="G94" s="2"/>
      <c r="H94" s="2"/>
      <c r="I94" s="2"/>
      <c r="J94" s="2"/>
    </row>
    <row r="95" spans="1:11" x14ac:dyDescent="0.25">
      <c r="A95" s="4" t="s">
        <v>30</v>
      </c>
      <c r="B95" s="2"/>
      <c r="C95" s="156"/>
      <c r="D95" s="2"/>
      <c r="E95" s="2"/>
      <c r="F95" s="192">
        <f>SUM(F20+F42+F53+F64+F75+F86+F93)</f>
        <v>85369522.275058135</v>
      </c>
      <c r="G95" s="2"/>
      <c r="H95" s="2"/>
      <c r="I95" s="2"/>
      <c r="J95" s="192">
        <f>J20+J31+J42+J53+J64+J75+J86+J93</f>
        <v>93689266.642215401</v>
      </c>
      <c r="K95" s="198">
        <f>+F95+J95</f>
        <v>179058788.91727352</v>
      </c>
    </row>
    <row r="96" spans="1:11" ht="15.75" thickBot="1" x14ac:dyDescent="0.3">
      <c r="A96" s="4" t="s">
        <v>17</v>
      </c>
      <c r="B96" s="21">
        <v>0.318</v>
      </c>
      <c r="C96" s="156"/>
      <c r="D96" s="2"/>
      <c r="E96" s="2"/>
      <c r="F96" s="199">
        <f>-F95*B96</f>
        <v>-27147508.083468486</v>
      </c>
      <c r="G96" s="2"/>
      <c r="H96" s="2"/>
      <c r="I96" s="2"/>
      <c r="J96" s="2">
        <v>0</v>
      </c>
      <c r="K96" s="198">
        <f>+F96+J96</f>
        <v>-27147508.083468486</v>
      </c>
    </row>
    <row r="97" spans="1:11" ht="15.75" thickBot="1" x14ac:dyDescent="0.3">
      <c r="A97" s="4" t="s">
        <v>13</v>
      </c>
      <c r="B97" s="202"/>
      <c r="C97" s="203"/>
      <c r="D97" s="4"/>
      <c r="E97" s="4"/>
      <c r="F97" s="204">
        <f>+F95+F96</f>
        <v>58222014.191589653</v>
      </c>
      <c r="G97" s="4"/>
      <c r="H97" s="4"/>
      <c r="I97" s="4"/>
      <c r="J97" s="204">
        <f>+J95+J96</f>
        <v>93689266.642215401</v>
      </c>
      <c r="K97" s="204">
        <f>+K95+K96</f>
        <v>151911280.83380502</v>
      </c>
    </row>
    <row r="98" spans="1:11" ht="15.75" thickTop="1" x14ac:dyDescent="0.25">
      <c r="A98" s="166" t="s">
        <v>83</v>
      </c>
    </row>
    <row r="99" spans="1:11" x14ac:dyDescent="0.25">
      <c r="A99" s="165"/>
    </row>
    <row r="100" spans="1:11" x14ac:dyDescent="0.25">
      <c r="D100" s="247" t="s">
        <v>98</v>
      </c>
      <c r="E100" s="247"/>
    </row>
    <row r="101" spans="1:11" x14ac:dyDescent="0.25">
      <c r="D101" s="2" t="s">
        <v>18</v>
      </c>
      <c r="E101" s="135">
        <f>K20</f>
        <v>89525944.868731961</v>
      </c>
    </row>
    <row r="102" spans="1:11" x14ac:dyDescent="0.25">
      <c r="D102" s="2" t="s">
        <v>19</v>
      </c>
      <c r="E102" s="136">
        <f>K31</f>
        <v>67968756.153805196</v>
      </c>
    </row>
    <row r="103" spans="1:11" x14ac:dyDescent="0.25">
      <c r="D103" s="2" t="s">
        <v>20</v>
      </c>
      <c r="E103" s="136">
        <f>K64+K75</f>
        <v>5147352.9254773743</v>
      </c>
    </row>
    <row r="104" spans="1:11" x14ac:dyDescent="0.25">
      <c r="D104" s="2" t="s">
        <v>21</v>
      </c>
      <c r="E104" s="136">
        <f>K42</f>
        <v>9081427.5064559244</v>
      </c>
    </row>
    <row r="105" spans="1:11" x14ac:dyDescent="0.25">
      <c r="D105" s="2" t="s">
        <v>22</v>
      </c>
      <c r="E105" s="136">
        <f>K53</f>
        <v>6403452.918453116</v>
      </c>
    </row>
    <row r="106" spans="1:11" x14ac:dyDescent="0.25">
      <c r="D106" s="2" t="s">
        <v>23</v>
      </c>
      <c r="E106" s="136">
        <f>K86</f>
        <v>549716.0157552287</v>
      </c>
    </row>
    <row r="107" spans="1:11" x14ac:dyDescent="0.25">
      <c r="D107" s="2" t="s">
        <v>24</v>
      </c>
      <c r="E107" s="136">
        <f>K93</f>
        <v>382138.52859475336</v>
      </c>
    </row>
    <row r="108" spans="1:11" x14ac:dyDescent="0.25">
      <c r="D108" s="2" t="s">
        <v>86</v>
      </c>
      <c r="E108" s="136">
        <f>+K96</f>
        <v>-27147508.083468486</v>
      </c>
    </row>
    <row r="109" spans="1:11" x14ac:dyDescent="0.25">
      <c r="D109" s="4" t="s">
        <v>13</v>
      </c>
      <c r="E109" s="148">
        <f>SUM(E101:E108)</f>
        <v>151911280.83380511</v>
      </c>
    </row>
    <row r="110" spans="1:11" x14ac:dyDescent="0.25">
      <c r="E110" s="200">
        <f>+E109-K97</f>
        <v>0</v>
      </c>
    </row>
  </sheetData>
  <mergeCells count="72">
    <mergeCell ref="B11:B12"/>
    <mergeCell ref="J88:J89"/>
    <mergeCell ref="D100:E100"/>
    <mergeCell ref="I66:I67"/>
    <mergeCell ref="J66:J67"/>
    <mergeCell ref="J77:J78"/>
    <mergeCell ref="H66:H67"/>
    <mergeCell ref="H88:H89"/>
    <mergeCell ref="E77:E78"/>
    <mergeCell ref="F77:F78"/>
    <mergeCell ref="I77:I78"/>
    <mergeCell ref="H77:H78"/>
    <mergeCell ref="I88:I89"/>
    <mergeCell ref="E88:E89"/>
    <mergeCell ref="F88:F89"/>
    <mergeCell ref="J33:J34"/>
    <mergeCell ref="F55:F56"/>
    <mergeCell ref="I55:I56"/>
    <mergeCell ref="J55:J56"/>
    <mergeCell ref="H55:H56"/>
    <mergeCell ref="I21:J21"/>
    <mergeCell ref="F33:F34"/>
    <mergeCell ref="I33:I34"/>
    <mergeCell ref="F22:F23"/>
    <mergeCell ref="I22:I23"/>
    <mergeCell ref="J22:J23"/>
    <mergeCell ref="H22:H23"/>
    <mergeCell ref="F44:F45"/>
    <mergeCell ref="I44:I45"/>
    <mergeCell ref="J44:J45"/>
    <mergeCell ref="H33:H34"/>
    <mergeCell ref="H44:H45"/>
    <mergeCell ref="B22:B23"/>
    <mergeCell ref="B33:B34"/>
    <mergeCell ref="E55:E56"/>
    <mergeCell ref="E22:E23"/>
    <mergeCell ref="E33:E34"/>
    <mergeCell ref="D33:D34"/>
    <mergeCell ref="D22:D23"/>
    <mergeCell ref="B44:B45"/>
    <mergeCell ref="D44:D45"/>
    <mergeCell ref="B55:B56"/>
    <mergeCell ref="D55:D56"/>
    <mergeCell ref="E44:E45"/>
    <mergeCell ref="A1:J1"/>
    <mergeCell ref="E9:F9"/>
    <mergeCell ref="I9:J9"/>
    <mergeCell ref="E10:F10"/>
    <mergeCell ref="I10:J10"/>
    <mergeCell ref="F66:F67"/>
    <mergeCell ref="E66:E67"/>
    <mergeCell ref="B77:B78"/>
    <mergeCell ref="D77:D78"/>
    <mergeCell ref="B88:B89"/>
    <mergeCell ref="D88:D89"/>
    <mergeCell ref="B66:B67"/>
    <mergeCell ref="D66:D67"/>
    <mergeCell ref="K68:K74"/>
    <mergeCell ref="K79:K85"/>
    <mergeCell ref="K90:K91"/>
    <mergeCell ref="K12:K19"/>
    <mergeCell ref="K24:K30"/>
    <mergeCell ref="K35:K41"/>
    <mergeCell ref="K46:K52"/>
    <mergeCell ref="K57:K63"/>
    <mergeCell ref="K22:K23"/>
    <mergeCell ref="K33:K34"/>
    <mergeCell ref="K44:K45"/>
    <mergeCell ref="K66:K67"/>
    <mergeCell ref="K77:K78"/>
    <mergeCell ref="K88:K89"/>
    <mergeCell ref="K55:K56"/>
  </mergeCells>
  <pageMargins left="0.7" right="0.7" top="0.75" bottom="0.75" header="0.3" footer="0.3"/>
  <pageSetup scale="64" fitToHeight="2"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6"/>
  <sheetViews>
    <sheetView topLeftCell="A52" zoomScale="75" zoomScaleNormal="75" workbookViewId="0">
      <selection activeCell="N42" sqref="N42"/>
    </sheetView>
  </sheetViews>
  <sheetFormatPr defaultRowHeight="15" outlineLevelRow="1" x14ac:dyDescent="0.25"/>
  <cols>
    <col min="1" max="1" width="9.28515625" customWidth="1"/>
    <col min="2" max="2" width="43.28515625" customWidth="1"/>
    <col min="3" max="3" width="7.140625" customWidth="1"/>
    <col min="4" max="4" width="10.28515625" customWidth="1"/>
    <col min="5" max="5" width="7.7109375" customWidth="1"/>
    <col min="6" max="6" width="20.28515625" customWidth="1"/>
    <col min="7" max="7" width="14.5703125" customWidth="1"/>
    <col min="8" max="10" width="17.42578125" customWidth="1"/>
    <col min="11" max="11" width="21.140625" customWidth="1"/>
    <col min="12" max="12" width="16.5703125" customWidth="1"/>
    <col min="13" max="13" width="12.42578125" bestFit="1" customWidth="1"/>
    <col min="14" max="14" width="12" bestFit="1" customWidth="1"/>
  </cols>
  <sheetData>
    <row r="1" spans="1:27" x14ac:dyDescent="0.25">
      <c r="A1" s="23"/>
      <c r="B1" s="24"/>
      <c r="C1" s="23"/>
      <c r="D1" s="23"/>
      <c r="E1" s="23"/>
      <c r="F1" s="23"/>
      <c r="G1" s="23"/>
      <c r="H1" s="23"/>
      <c r="I1" s="23"/>
      <c r="J1" s="23"/>
      <c r="K1" s="23"/>
      <c r="L1" s="23"/>
      <c r="M1" s="23"/>
      <c r="N1" s="23"/>
      <c r="O1" s="23"/>
      <c r="P1" s="23"/>
    </row>
    <row r="2" spans="1:27" x14ac:dyDescent="0.25">
      <c r="A2" s="115"/>
      <c r="B2" s="115"/>
      <c r="C2" s="115"/>
      <c r="D2" s="115"/>
      <c r="E2" s="115"/>
      <c r="F2" s="23"/>
      <c r="G2" s="23"/>
      <c r="H2" s="23"/>
      <c r="I2" s="23"/>
      <c r="J2" s="23"/>
      <c r="K2" s="140" t="s">
        <v>69</v>
      </c>
      <c r="L2" s="141" t="str">
        <f>'2020 Commodity Expense Forecast'!L2</f>
        <v>EB-2020-0040</v>
      </c>
      <c r="N2" s="23"/>
      <c r="O2" s="23"/>
      <c r="P2" s="23"/>
    </row>
    <row r="3" spans="1:27" ht="18" x14ac:dyDescent="0.25">
      <c r="A3" s="115"/>
      <c r="C3" s="139"/>
      <c r="D3" s="139"/>
      <c r="E3" s="139"/>
      <c r="F3" s="139"/>
      <c r="G3" s="139"/>
      <c r="H3" s="139"/>
      <c r="I3" s="139"/>
      <c r="J3" s="139"/>
      <c r="K3" s="140" t="s">
        <v>70</v>
      </c>
      <c r="L3" s="141">
        <f>'2020 Commodity Expense Forecast'!L3</f>
        <v>2</v>
      </c>
      <c r="N3" s="23"/>
      <c r="O3" s="23"/>
      <c r="P3" s="23"/>
    </row>
    <row r="4" spans="1:27" x14ac:dyDescent="0.25">
      <c r="A4" s="23"/>
      <c r="B4" s="216" t="s">
        <v>31</v>
      </c>
      <c r="C4" s="216"/>
      <c r="D4" s="216"/>
      <c r="E4" s="216"/>
      <c r="F4" s="216"/>
      <c r="G4" s="216"/>
      <c r="H4" s="216"/>
      <c r="I4" s="216"/>
      <c r="J4" s="23"/>
      <c r="K4" s="140" t="s">
        <v>71</v>
      </c>
      <c r="L4" s="141">
        <f>'2020 Commodity Expense Forecast'!L4</f>
        <v>1</v>
      </c>
      <c r="N4" s="23"/>
      <c r="O4" s="23"/>
      <c r="P4" s="23"/>
    </row>
    <row r="5" spans="1:27" ht="18" customHeight="1" x14ac:dyDescent="0.25">
      <c r="A5" s="23"/>
      <c r="B5" s="216"/>
      <c r="C5" s="216"/>
      <c r="D5" s="216"/>
      <c r="E5" s="216"/>
      <c r="F5" s="216"/>
      <c r="G5" s="216"/>
      <c r="H5" s="216"/>
      <c r="I5" s="216"/>
      <c r="J5" s="139"/>
      <c r="K5" s="140" t="s">
        <v>72</v>
      </c>
      <c r="L5" s="141">
        <f>'2020 Commodity Expense Forecast'!L5</f>
        <v>4</v>
      </c>
      <c r="N5" s="23"/>
      <c r="O5" s="23"/>
      <c r="P5" s="23"/>
    </row>
    <row r="6" spans="1:27" ht="15" customHeight="1" x14ac:dyDescent="0.25">
      <c r="A6" s="23"/>
      <c r="B6" s="216"/>
      <c r="C6" s="216"/>
      <c r="D6" s="216"/>
      <c r="E6" s="216"/>
      <c r="F6" s="216"/>
      <c r="G6" s="216"/>
      <c r="H6" s="216"/>
      <c r="I6" s="216"/>
      <c r="J6" s="139"/>
      <c r="K6" s="140" t="s">
        <v>73</v>
      </c>
      <c r="L6" s="141"/>
      <c r="N6" s="23"/>
      <c r="O6" s="23"/>
      <c r="P6" s="23"/>
    </row>
    <row r="7" spans="1:27" x14ac:dyDescent="0.25">
      <c r="A7" s="23"/>
      <c r="B7" s="27"/>
      <c r="C7" s="23"/>
      <c r="D7" s="23"/>
      <c r="E7" s="23"/>
      <c r="F7" s="23"/>
      <c r="G7" s="23"/>
      <c r="H7" s="23"/>
      <c r="I7" s="23"/>
      <c r="J7" s="23"/>
      <c r="K7" s="140"/>
      <c r="L7" s="25"/>
      <c r="N7" s="23"/>
      <c r="O7" s="23"/>
      <c r="P7" s="23"/>
    </row>
    <row r="8" spans="1:27" x14ac:dyDescent="0.25">
      <c r="A8" s="23"/>
      <c r="B8" s="27"/>
      <c r="C8" s="23"/>
      <c r="D8" s="23"/>
      <c r="E8" s="23"/>
      <c r="F8" s="23"/>
      <c r="G8" s="23"/>
      <c r="H8" s="23"/>
      <c r="I8" s="23"/>
      <c r="J8" s="23"/>
      <c r="K8" s="140" t="s">
        <v>74</v>
      </c>
      <c r="L8" s="142">
        <f>'2020 Commodity Expense Forecast'!L8</f>
        <v>44074</v>
      </c>
      <c r="N8" s="23"/>
      <c r="O8" s="23"/>
      <c r="P8" s="23"/>
    </row>
    <row r="9" spans="1:27" x14ac:dyDescent="0.25">
      <c r="A9" s="23"/>
      <c r="B9" s="27"/>
      <c r="C9" s="23"/>
      <c r="D9" s="23"/>
      <c r="E9" s="23"/>
      <c r="F9" s="23"/>
      <c r="G9" s="23"/>
      <c r="H9" s="23"/>
      <c r="I9" s="23"/>
      <c r="J9" s="23"/>
      <c r="K9" s="29"/>
      <c r="L9" s="23"/>
      <c r="N9" s="23"/>
      <c r="O9" s="23"/>
      <c r="P9" s="23"/>
    </row>
    <row r="10" spans="1:27" ht="15.75" thickBot="1" x14ac:dyDescent="0.3">
      <c r="A10" s="35"/>
      <c r="B10" s="36"/>
      <c r="C10" s="37"/>
      <c r="D10" s="38"/>
      <c r="E10" s="38"/>
      <c r="F10" s="38"/>
      <c r="G10" s="35"/>
      <c r="H10" s="35"/>
      <c r="I10" s="35"/>
      <c r="J10" s="35"/>
      <c r="K10" s="35"/>
      <c r="L10" s="38"/>
      <c r="Q10" s="41"/>
      <c r="R10" s="41"/>
      <c r="S10" s="41"/>
      <c r="T10" s="41"/>
      <c r="U10" s="41"/>
      <c r="V10" s="41"/>
      <c r="Y10" s="32"/>
      <c r="Z10" s="32"/>
      <c r="AA10" s="32"/>
    </row>
    <row r="11" spans="1:27" ht="15.75" x14ac:dyDescent="0.25">
      <c r="A11" s="39"/>
      <c r="B11" s="40"/>
      <c r="C11" s="41"/>
      <c r="D11" s="41"/>
      <c r="E11" s="41"/>
      <c r="F11" s="41"/>
      <c r="G11" s="32"/>
      <c r="H11" s="41"/>
      <c r="I11" s="41"/>
      <c r="J11" s="41"/>
      <c r="K11" s="41"/>
      <c r="L11" s="42"/>
      <c r="M11" s="30"/>
      <c r="N11" s="40"/>
      <c r="O11" s="41"/>
      <c r="P11" s="41"/>
      <c r="Q11" s="41"/>
      <c r="R11" s="41"/>
      <c r="S11" s="41"/>
      <c r="T11" s="41"/>
      <c r="U11" s="41"/>
      <c r="V11" s="41"/>
      <c r="Y11" s="32"/>
      <c r="Z11" s="32"/>
      <c r="AA11" s="32"/>
    </row>
    <row r="12" spans="1:27" ht="15.75" x14ac:dyDescent="0.25">
      <c r="A12" s="42" t="s">
        <v>32</v>
      </c>
      <c r="B12" s="30" t="s">
        <v>95</v>
      </c>
      <c r="C12" s="40"/>
      <c r="D12" s="41"/>
      <c r="E12" s="41"/>
      <c r="F12" s="41"/>
      <c r="G12" s="32"/>
      <c r="H12" s="41"/>
      <c r="I12" s="41"/>
      <c r="J12" s="41"/>
      <c r="K12" s="41"/>
      <c r="L12" s="42"/>
      <c r="M12" s="30"/>
      <c r="N12" s="40"/>
      <c r="O12" s="41"/>
      <c r="P12" s="41"/>
      <c r="Q12" s="41"/>
      <c r="R12" s="41"/>
      <c r="S12" s="41"/>
      <c r="T12" s="41"/>
      <c r="U12" s="41"/>
      <c r="V12" s="41"/>
      <c r="Y12" s="32"/>
      <c r="Z12" s="32"/>
      <c r="AA12" s="32"/>
    </row>
    <row r="13" spans="1:27" ht="16.5" thickBot="1" x14ac:dyDescent="0.3">
      <c r="A13" s="39"/>
      <c r="B13" s="40"/>
      <c r="C13" s="41"/>
      <c r="D13" s="41"/>
      <c r="E13" s="41"/>
      <c r="F13" s="41"/>
      <c r="G13" s="32"/>
      <c r="H13" s="41"/>
      <c r="I13" s="41"/>
      <c r="J13" s="41"/>
      <c r="K13" s="41"/>
      <c r="L13" s="42"/>
      <c r="M13" s="30"/>
      <c r="N13" s="40"/>
      <c r="O13" s="41"/>
      <c r="P13" s="41"/>
      <c r="Q13" s="41"/>
      <c r="R13" s="41"/>
      <c r="S13" s="41"/>
      <c r="T13" s="41"/>
      <c r="U13" s="41"/>
      <c r="V13" s="41"/>
      <c r="Y13" s="32"/>
      <c r="Z13" s="32"/>
      <c r="AA13" s="32"/>
    </row>
    <row r="14" spans="1:27" ht="15.75" thickBot="1" x14ac:dyDescent="0.3">
      <c r="A14" s="32"/>
      <c r="B14" s="43" t="s">
        <v>33</v>
      </c>
      <c r="C14" s="43"/>
      <c r="D14" s="43"/>
      <c r="E14" s="43"/>
      <c r="F14" s="32"/>
      <c r="G14" s="98"/>
      <c r="H14" s="99"/>
      <c r="J14" s="104"/>
      <c r="K14" s="104"/>
      <c r="L14" s="5"/>
      <c r="N14" s="44"/>
      <c r="O14" s="44"/>
      <c r="P14" s="32"/>
    </row>
    <row r="15" spans="1:27" x14ac:dyDescent="0.25">
      <c r="A15" s="42"/>
      <c r="B15" s="45" t="s">
        <v>35</v>
      </c>
      <c r="C15" s="43" t="s">
        <v>36</v>
      </c>
      <c r="D15" s="43"/>
      <c r="E15" s="43"/>
      <c r="F15" s="34"/>
      <c r="G15" s="100" t="s">
        <v>2</v>
      </c>
      <c r="H15" s="110" t="s">
        <v>1</v>
      </c>
      <c r="J15" s="105"/>
      <c r="K15" s="105"/>
      <c r="L15" s="5"/>
      <c r="N15" s="44"/>
      <c r="O15" s="44"/>
      <c r="P15" s="32"/>
    </row>
    <row r="16" spans="1:27" ht="15.75" thickBot="1" x14ac:dyDescent="0.3">
      <c r="A16" s="32"/>
      <c r="B16" s="46"/>
      <c r="C16" s="32"/>
      <c r="D16" s="43"/>
      <c r="E16" s="43"/>
      <c r="F16" s="32"/>
      <c r="G16" s="101"/>
      <c r="H16" s="111"/>
      <c r="J16" s="105"/>
      <c r="K16" s="105"/>
      <c r="L16" s="5"/>
      <c r="N16" s="44"/>
      <c r="O16" s="44"/>
      <c r="P16" s="32"/>
    </row>
    <row r="17" spans="1:16" ht="29.25" customHeight="1" x14ac:dyDescent="0.25">
      <c r="A17" s="32"/>
      <c r="B17" s="47" t="s">
        <v>37</v>
      </c>
      <c r="C17" s="221" t="s">
        <v>38</v>
      </c>
      <c r="D17" s="222"/>
      <c r="E17" s="223"/>
      <c r="F17" s="96"/>
      <c r="G17" s="48">
        <v>20.09</v>
      </c>
      <c r="H17" s="112">
        <v>20.09</v>
      </c>
      <c r="J17" s="107"/>
      <c r="K17" s="108"/>
      <c r="L17" s="5"/>
      <c r="N17" s="32"/>
      <c r="O17" s="32"/>
      <c r="P17" s="32"/>
    </row>
    <row r="18" spans="1:16" ht="32.25" customHeight="1" x14ac:dyDescent="0.25">
      <c r="A18" s="32"/>
      <c r="B18" s="47" t="s">
        <v>39</v>
      </c>
      <c r="C18" s="221" t="s">
        <v>40</v>
      </c>
      <c r="D18" s="222"/>
      <c r="E18" s="223"/>
      <c r="F18" s="97"/>
      <c r="G18" s="49">
        <v>106.94</v>
      </c>
      <c r="H18" s="113">
        <v>106.94</v>
      </c>
      <c r="J18" s="107"/>
      <c r="K18" s="108"/>
      <c r="L18" s="5"/>
      <c r="N18" s="32"/>
      <c r="O18" s="32"/>
      <c r="P18" s="32"/>
    </row>
    <row r="19" spans="1:16" x14ac:dyDescent="0.25">
      <c r="A19" s="32"/>
      <c r="B19" s="47" t="s">
        <v>41</v>
      </c>
      <c r="C19" s="224"/>
      <c r="D19" s="225"/>
      <c r="E19" s="226"/>
      <c r="F19" s="97"/>
      <c r="G19" s="201"/>
      <c r="H19" s="113">
        <v>1</v>
      </c>
      <c r="J19" s="109"/>
      <c r="K19" s="108"/>
      <c r="L19" s="5"/>
      <c r="N19" s="32"/>
      <c r="O19" s="32"/>
      <c r="P19" s="32"/>
    </row>
    <row r="20" spans="1:16" ht="40.5" customHeight="1" x14ac:dyDescent="0.25">
      <c r="A20" s="32"/>
      <c r="B20" s="50" t="s">
        <v>42</v>
      </c>
      <c r="C20" s="221" t="s">
        <v>43</v>
      </c>
      <c r="D20" s="222"/>
      <c r="E20" s="223"/>
      <c r="F20" s="97"/>
      <c r="G20" s="51"/>
      <c r="H20" s="114">
        <f>SUM(H17:H19)</f>
        <v>128.03</v>
      </c>
      <c r="J20" s="106"/>
      <c r="K20" s="106"/>
      <c r="L20" s="5"/>
      <c r="N20" s="32"/>
      <c r="O20" s="32"/>
      <c r="P20" s="32"/>
    </row>
    <row r="21" spans="1:16" ht="15.75" thickBot="1" x14ac:dyDescent="0.3">
      <c r="A21" s="35"/>
      <c r="B21" s="35"/>
      <c r="C21" s="35"/>
      <c r="D21" s="35"/>
      <c r="E21" s="35"/>
      <c r="F21" s="35"/>
      <c r="G21" s="35"/>
      <c r="H21" s="35"/>
      <c r="I21" s="35"/>
      <c r="J21" s="35"/>
      <c r="K21" s="35"/>
      <c r="L21" s="35"/>
      <c r="M21" s="32"/>
      <c r="N21" s="32"/>
      <c r="O21" s="32"/>
      <c r="P21" s="32"/>
    </row>
    <row r="22" spans="1:16" x14ac:dyDescent="0.25">
      <c r="A22" s="32"/>
      <c r="B22" s="32"/>
      <c r="C22" s="32"/>
      <c r="D22" s="32"/>
      <c r="E22" s="32"/>
      <c r="F22" s="32"/>
      <c r="G22" s="32"/>
      <c r="H22" s="32"/>
      <c r="I22" s="32"/>
      <c r="J22" s="32"/>
      <c r="K22" s="32"/>
      <c r="L22" s="32"/>
      <c r="M22" s="32"/>
      <c r="N22" s="32"/>
      <c r="O22" s="32"/>
      <c r="P22" s="32"/>
    </row>
    <row r="23" spans="1:16" ht="15.75" customHeight="1" outlineLevel="1" x14ac:dyDescent="0.25">
      <c r="A23" s="42" t="s">
        <v>34</v>
      </c>
      <c r="B23" s="30" t="s">
        <v>44</v>
      </c>
      <c r="C23" s="32"/>
      <c r="D23" s="32"/>
      <c r="E23" s="32"/>
      <c r="F23" s="32"/>
      <c r="G23" s="32"/>
      <c r="H23" s="32"/>
      <c r="I23" s="32"/>
      <c r="J23" s="32"/>
      <c r="K23" s="32"/>
      <c r="L23" s="32"/>
      <c r="M23" s="32"/>
      <c r="N23" s="32"/>
      <c r="O23" s="32"/>
      <c r="P23" s="32"/>
    </row>
    <row r="24" spans="1:16" ht="15" customHeight="1" outlineLevel="1" x14ac:dyDescent="0.25">
      <c r="A24" s="32"/>
      <c r="B24" s="52" t="s">
        <v>45</v>
      </c>
      <c r="C24" s="32"/>
      <c r="D24" s="32"/>
      <c r="E24" s="32"/>
      <c r="F24" s="32"/>
      <c r="G24" s="32"/>
      <c r="H24" s="32"/>
      <c r="I24" s="32"/>
      <c r="J24" s="32"/>
      <c r="K24" s="32"/>
      <c r="L24" s="32"/>
      <c r="M24" s="32"/>
      <c r="N24" s="32"/>
      <c r="O24" s="32"/>
      <c r="P24" s="32"/>
    </row>
    <row r="25" spans="1:16" ht="15" customHeight="1" outlineLevel="1" x14ac:dyDescent="0.25">
      <c r="A25" s="32"/>
      <c r="B25" s="52"/>
      <c r="C25" s="32"/>
      <c r="D25" s="32"/>
      <c r="E25" s="32"/>
      <c r="F25" s="32"/>
      <c r="G25" s="32"/>
      <c r="H25" s="32"/>
      <c r="I25" s="32"/>
      <c r="J25" s="32"/>
      <c r="K25" s="32"/>
      <c r="L25" s="32"/>
      <c r="M25" s="32"/>
      <c r="N25" s="32"/>
      <c r="O25" s="32"/>
      <c r="P25" s="32"/>
    </row>
    <row r="26" spans="1:16" ht="15" customHeight="1" outlineLevel="1" x14ac:dyDescent="0.25">
      <c r="A26" s="32"/>
      <c r="B26" s="53" t="s">
        <v>56</v>
      </c>
      <c r="C26" s="23"/>
      <c r="D26" s="23"/>
      <c r="E26" s="128"/>
      <c r="F26" s="102"/>
      <c r="G26" s="220" t="s">
        <v>96</v>
      </c>
      <c r="H26" s="220"/>
      <c r="I26" s="220"/>
      <c r="J26" s="220"/>
      <c r="K26" s="220"/>
      <c r="L26" s="220"/>
      <c r="M26" s="32"/>
      <c r="N26" s="32"/>
      <c r="O26" s="32"/>
      <c r="P26" s="32"/>
    </row>
    <row r="27" spans="1:16" ht="15" customHeight="1" outlineLevel="1" x14ac:dyDescent="0.25">
      <c r="A27" s="32"/>
      <c r="B27" s="54" t="s">
        <v>46</v>
      </c>
      <c r="C27" s="56"/>
      <c r="D27" s="56" t="s">
        <v>47</v>
      </c>
      <c r="E27" s="61" t="s">
        <v>48</v>
      </c>
      <c r="F27" s="62"/>
      <c r="G27" s="62"/>
      <c r="H27" s="62"/>
      <c r="I27" s="62"/>
      <c r="J27" s="62"/>
      <c r="K27" s="62"/>
      <c r="L27" s="62"/>
      <c r="M27" s="32"/>
      <c r="N27" s="32"/>
      <c r="O27" s="32"/>
      <c r="P27" s="32"/>
    </row>
    <row r="28" spans="1:16" ht="42.75" customHeight="1" outlineLevel="1" x14ac:dyDescent="0.25">
      <c r="A28" s="32"/>
      <c r="B28" s="63" t="s">
        <v>51</v>
      </c>
      <c r="C28" s="55" t="s">
        <v>52</v>
      </c>
      <c r="D28" s="55" t="s">
        <v>53</v>
      </c>
      <c r="E28" s="64" t="s">
        <v>53</v>
      </c>
      <c r="F28" s="78" t="s">
        <v>75</v>
      </c>
      <c r="G28" s="78"/>
      <c r="H28" s="78" t="s">
        <v>76</v>
      </c>
      <c r="I28" s="78" t="s">
        <v>77</v>
      </c>
      <c r="J28" s="78" t="s">
        <v>58</v>
      </c>
      <c r="K28" s="78" t="s">
        <v>59</v>
      </c>
      <c r="L28" s="65" t="s">
        <v>50</v>
      </c>
      <c r="M28" s="32"/>
      <c r="N28" s="32"/>
      <c r="O28" s="32"/>
      <c r="P28" s="32"/>
    </row>
    <row r="29" spans="1:16" ht="15" customHeight="1" outlineLevel="1" x14ac:dyDescent="0.25">
      <c r="A29" s="32"/>
      <c r="B29" s="119" t="s">
        <v>87</v>
      </c>
      <c r="C29" s="57" t="s">
        <v>4</v>
      </c>
      <c r="D29" s="57">
        <v>4006</v>
      </c>
      <c r="E29" s="67">
        <v>4705</v>
      </c>
      <c r="F29" s="93"/>
      <c r="G29" s="81"/>
      <c r="H29" s="94">
        <v>17090770.091974139</v>
      </c>
      <c r="I29" s="82">
        <v>456715993.31772995</v>
      </c>
      <c r="J29" s="79">
        <f t="shared" ref="J29:J37" si="0">+$G$17/1000</f>
        <v>2.009E-2</v>
      </c>
      <c r="K29" s="79">
        <f t="shared" ref="K29:K37" si="1">+$H$20/1000</f>
        <v>0.12803</v>
      </c>
      <c r="L29" s="68">
        <f t="shared" ref="L29:L37" si="2">(+F29+H29)*J29+(I29*K29)</f>
        <v>58816702.19561673</v>
      </c>
      <c r="M29" s="32"/>
      <c r="N29" s="32"/>
      <c r="O29" s="32"/>
      <c r="P29" s="32"/>
    </row>
    <row r="30" spans="1:16" ht="15" customHeight="1" outlineLevel="1" x14ac:dyDescent="0.25">
      <c r="A30" s="32"/>
      <c r="B30" s="119" t="s">
        <v>88</v>
      </c>
      <c r="C30" s="57" t="s">
        <v>4</v>
      </c>
      <c r="D30" s="57">
        <v>4010</v>
      </c>
      <c r="E30" s="67">
        <v>4705</v>
      </c>
      <c r="F30" s="93"/>
      <c r="G30" s="81"/>
      <c r="H30" s="94">
        <v>24498244.597918618</v>
      </c>
      <c r="I30" s="82">
        <v>113034585.56628406</v>
      </c>
      <c r="J30" s="79">
        <f t="shared" si="0"/>
        <v>2.009E-2</v>
      </c>
      <c r="K30" s="79">
        <f t="shared" si="1"/>
        <v>0.12803</v>
      </c>
      <c r="L30" s="68">
        <f t="shared" si="2"/>
        <v>14963987.724023534</v>
      </c>
      <c r="M30" s="32"/>
      <c r="N30" s="32"/>
      <c r="O30" s="32"/>
      <c r="P30" s="32"/>
    </row>
    <row r="31" spans="1:16" ht="15" customHeight="1" outlineLevel="1" x14ac:dyDescent="0.25">
      <c r="A31" s="32"/>
      <c r="B31" s="119" t="s">
        <v>89</v>
      </c>
      <c r="C31" s="57" t="s">
        <v>4</v>
      </c>
      <c r="D31" s="57">
        <v>4035</v>
      </c>
      <c r="E31" s="67">
        <v>4705</v>
      </c>
      <c r="F31" s="93">
        <v>222971416.45954496</v>
      </c>
      <c r="G31" s="81"/>
      <c r="H31" s="94">
        <v>472393621.97238016</v>
      </c>
      <c r="I31" s="82">
        <v>28033876.467172571</v>
      </c>
      <c r="J31" s="79">
        <f t="shared" si="0"/>
        <v>2.009E-2</v>
      </c>
      <c r="K31" s="79">
        <f t="shared" si="1"/>
        <v>0.12803</v>
      </c>
      <c r="L31" s="68">
        <f t="shared" si="2"/>
        <v>17559060.826189481</v>
      </c>
      <c r="M31" s="32"/>
      <c r="N31" s="32"/>
      <c r="O31" s="32"/>
      <c r="P31" s="32"/>
    </row>
    <row r="32" spans="1:16" ht="15" customHeight="1" outlineLevel="1" x14ac:dyDescent="0.25">
      <c r="A32" s="32"/>
      <c r="B32" s="119" t="s">
        <v>90</v>
      </c>
      <c r="C32" s="57" t="s">
        <v>4</v>
      </c>
      <c r="D32" s="57">
        <v>4010</v>
      </c>
      <c r="E32" s="67">
        <v>4705</v>
      </c>
      <c r="F32" s="93"/>
      <c r="G32" s="81"/>
      <c r="H32" s="94">
        <v>0</v>
      </c>
      <c r="I32" s="82">
        <v>1544163.185471622</v>
      </c>
      <c r="J32" s="79">
        <f t="shared" si="0"/>
        <v>2.009E-2</v>
      </c>
      <c r="K32" s="79">
        <f t="shared" si="1"/>
        <v>0.12803</v>
      </c>
      <c r="L32" s="68">
        <f t="shared" si="2"/>
        <v>197699.21263593179</v>
      </c>
      <c r="M32" s="32"/>
      <c r="N32" s="32"/>
      <c r="O32" s="32"/>
      <c r="P32" s="32"/>
    </row>
    <row r="33" spans="1:16" ht="15" customHeight="1" outlineLevel="1" x14ac:dyDescent="0.25">
      <c r="A33" s="32"/>
      <c r="B33" s="119" t="s">
        <v>91</v>
      </c>
      <c r="C33" s="57" t="s">
        <v>4</v>
      </c>
      <c r="D33" s="57">
        <v>4025</v>
      </c>
      <c r="E33" s="67">
        <v>4705</v>
      </c>
      <c r="F33" s="93"/>
      <c r="G33" s="81"/>
      <c r="H33" s="94">
        <v>0</v>
      </c>
      <c r="I33" s="82">
        <v>227842.75057225043</v>
      </c>
      <c r="J33" s="79">
        <f t="shared" si="0"/>
        <v>2.009E-2</v>
      </c>
      <c r="K33" s="79">
        <f t="shared" si="1"/>
        <v>0.12803</v>
      </c>
      <c r="L33" s="68">
        <f t="shared" si="2"/>
        <v>29170.707355765222</v>
      </c>
      <c r="M33" s="32"/>
      <c r="N33" s="32"/>
      <c r="O33" s="32"/>
      <c r="P33" s="32"/>
    </row>
    <row r="34" spans="1:16" ht="15" customHeight="1" outlineLevel="1" x14ac:dyDescent="0.25">
      <c r="A34" s="32"/>
      <c r="B34" s="119" t="s">
        <v>92</v>
      </c>
      <c r="C34" s="57" t="s">
        <v>4</v>
      </c>
      <c r="D34" s="57">
        <v>4025</v>
      </c>
      <c r="E34" s="67">
        <v>4705</v>
      </c>
      <c r="F34" s="93"/>
      <c r="G34" s="81"/>
      <c r="H34" s="94">
        <v>4657773.6968386797</v>
      </c>
      <c r="I34" s="82">
        <v>0</v>
      </c>
      <c r="J34" s="79">
        <f t="shared" si="0"/>
        <v>2.009E-2</v>
      </c>
      <c r="K34" s="79">
        <f t="shared" si="1"/>
        <v>0.12803</v>
      </c>
      <c r="L34" s="68">
        <f t="shared" si="2"/>
        <v>93574.673569489081</v>
      </c>
      <c r="M34" s="32"/>
      <c r="N34" s="32"/>
      <c r="O34" s="32"/>
      <c r="P34" s="32"/>
    </row>
    <row r="35" spans="1:16" ht="15" customHeight="1" outlineLevel="1" x14ac:dyDescent="0.25">
      <c r="A35" s="32"/>
      <c r="B35" s="119"/>
      <c r="C35" s="57" t="s">
        <v>4</v>
      </c>
      <c r="D35" s="57">
        <v>4025</v>
      </c>
      <c r="E35" s="67">
        <v>4705</v>
      </c>
      <c r="F35" s="93"/>
      <c r="G35" s="81"/>
      <c r="H35" s="94"/>
      <c r="I35" s="82"/>
      <c r="J35" s="79">
        <f t="shared" si="0"/>
        <v>2.009E-2</v>
      </c>
      <c r="K35" s="79">
        <f t="shared" si="1"/>
        <v>0.12803</v>
      </c>
      <c r="L35" s="68">
        <f t="shared" si="2"/>
        <v>0</v>
      </c>
      <c r="M35" s="32"/>
      <c r="N35" s="32"/>
      <c r="O35" s="32"/>
      <c r="P35" s="32"/>
    </row>
    <row r="36" spans="1:16" ht="15" customHeight="1" outlineLevel="1" x14ac:dyDescent="0.25">
      <c r="A36" s="32"/>
      <c r="B36" s="119"/>
      <c r="C36" s="57" t="s">
        <v>4</v>
      </c>
      <c r="D36" s="57">
        <v>4025</v>
      </c>
      <c r="E36" s="67">
        <v>4705</v>
      </c>
      <c r="F36" s="93"/>
      <c r="G36" s="81"/>
      <c r="H36" s="94"/>
      <c r="I36" s="82"/>
      <c r="J36" s="79">
        <f t="shared" si="0"/>
        <v>2.009E-2</v>
      </c>
      <c r="K36" s="79">
        <f t="shared" si="1"/>
        <v>0.12803</v>
      </c>
      <c r="L36" s="68">
        <f t="shared" si="2"/>
        <v>0</v>
      </c>
      <c r="M36" s="32"/>
      <c r="N36" s="32"/>
      <c r="O36" s="32"/>
      <c r="P36" s="32"/>
    </row>
    <row r="37" spans="1:16" ht="15" customHeight="1" outlineLevel="1" x14ac:dyDescent="0.25">
      <c r="A37" s="32"/>
      <c r="B37" s="119"/>
      <c r="C37" s="57" t="s">
        <v>4</v>
      </c>
      <c r="D37" s="57">
        <v>4025</v>
      </c>
      <c r="E37" s="67">
        <v>4705</v>
      </c>
      <c r="F37" s="93"/>
      <c r="G37" s="81"/>
      <c r="H37" s="94"/>
      <c r="I37" s="82"/>
      <c r="J37" s="79">
        <f t="shared" si="0"/>
        <v>2.009E-2</v>
      </c>
      <c r="K37" s="79">
        <f t="shared" si="1"/>
        <v>0.12803</v>
      </c>
      <c r="L37" s="68">
        <f t="shared" si="2"/>
        <v>0</v>
      </c>
      <c r="M37" s="32"/>
      <c r="N37" s="32"/>
      <c r="O37" s="32"/>
      <c r="P37" s="32"/>
    </row>
    <row r="38" spans="1:16" ht="15" customHeight="1" outlineLevel="1" x14ac:dyDescent="0.25">
      <c r="A38" s="32"/>
      <c r="B38" s="143" t="s">
        <v>13</v>
      </c>
      <c r="C38" s="144"/>
      <c r="D38" s="145"/>
      <c r="E38" s="146"/>
      <c r="F38" s="70">
        <f>SUM(F29:F37)</f>
        <v>222971416.45954496</v>
      </c>
      <c r="G38" s="118"/>
      <c r="H38" s="70">
        <f>SUM(H29:H37)</f>
        <v>518640410.35911161</v>
      </c>
      <c r="I38" s="95">
        <f>SUM(I29:I37)</f>
        <v>599556461.28723049</v>
      </c>
      <c r="J38" s="95"/>
      <c r="K38" s="70"/>
      <c r="L38" s="71">
        <f>SUM(L29:L37)</f>
        <v>91660195.339390919</v>
      </c>
      <c r="M38" s="32"/>
      <c r="N38" s="32"/>
      <c r="O38" s="32"/>
      <c r="P38" s="32"/>
    </row>
    <row r="39" spans="1:16" ht="15" customHeight="1" outlineLevel="1" x14ac:dyDescent="0.25">
      <c r="A39" s="32"/>
      <c r="B39" s="52"/>
      <c r="C39" s="32"/>
      <c r="D39" s="32"/>
      <c r="E39" s="32"/>
      <c r="F39" s="32"/>
      <c r="G39" s="32"/>
      <c r="H39" s="32"/>
      <c r="I39" s="32"/>
      <c r="J39" s="32"/>
      <c r="K39" s="32"/>
      <c r="L39" s="32"/>
      <c r="M39" s="32"/>
      <c r="N39" s="32"/>
      <c r="O39" s="32"/>
      <c r="P39" s="32"/>
    </row>
    <row r="40" spans="1:16" ht="15" customHeight="1" outlineLevel="1" x14ac:dyDescent="0.25">
      <c r="A40" s="32"/>
      <c r="B40" s="31"/>
      <c r="C40" s="32"/>
      <c r="D40" s="32"/>
      <c r="E40" s="32"/>
      <c r="F40" s="83"/>
      <c r="G40" s="83"/>
      <c r="H40" s="32"/>
      <c r="I40" s="32"/>
      <c r="J40" s="32"/>
      <c r="K40" s="32"/>
      <c r="L40" s="32"/>
      <c r="M40" s="32"/>
      <c r="N40" s="32"/>
      <c r="O40" s="32"/>
      <c r="P40" s="32"/>
    </row>
    <row r="41" spans="1:16" ht="15.75" customHeight="1" outlineLevel="1" x14ac:dyDescent="0.25">
      <c r="A41" s="32"/>
      <c r="B41" s="53" t="s">
        <v>62</v>
      </c>
      <c r="C41" s="23"/>
      <c r="D41" s="23"/>
      <c r="E41" s="128"/>
      <c r="F41" s="103"/>
      <c r="G41" s="217">
        <v>2021</v>
      </c>
      <c r="H41" s="218"/>
      <c r="I41" s="218"/>
      <c r="J41" s="219"/>
      <c r="K41" s="218"/>
      <c r="L41" s="218"/>
      <c r="M41" s="32"/>
      <c r="N41" s="32"/>
      <c r="O41" s="32"/>
      <c r="P41" s="32"/>
    </row>
    <row r="42" spans="1:16" ht="15" customHeight="1" outlineLevel="1" x14ac:dyDescent="0.25">
      <c r="A42" s="32"/>
      <c r="B42" s="54" t="s">
        <v>46</v>
      </c>
      <c r="C42" s="55"/>
      <c r="D42" s="56" t="s">
        <v>47</v>
      </c>
      <c r="E42" s="56" t="s">
        <v>48</v>
      </c>
      <c r="F42" s="56" t="s">
        <v>50</v>
      </c>
      <c r="G42" s="56" t="s">
        <v>49</v>
      </c>
      <c r="H42" s="81"/>
      <c r="I42" s="81"/>
      <c r="J42" s="133"/>
      <c r="K42" s="154" t="s">
        <v>81</v>
      </c>
      <c r="L42" s="56" t="s">
        <v>50</v>
      </c>
      <c r="M42" s="32"/>
      <c r="N42" s="32"/>
      <c r="O42" s="32"/>
      <c r="P42" s="32"/>
    </row>
    <row r="43" spans="1:16" ht="23.25" customHeight="1" outlineLevel="1" x14ac:dyDescent="0.55000000000000004">
      <c r="A43" s="32"/>
      <c r="B43" s="119" t="s">
        <v>89</v>
      </c>
      <c r="C43" s="57"/>
      <c r="D43" s="57">
        <v>4035</v>
      </c>
      <c r="E43" s="57">
        <v>4707</v>
      </c>
      <c r="F43" s="175"/>
      <c r="G43" s="171">
        <f>F31</f>
        <v>222971416.45954496</v>
      </c>
      <c r="H43" s="81"/>
      <c r="I43" s="81"/>
      <c r="J43" s="122"/>
      <c r="K43" s="120">
        <v>6.8399084357572124E-2</v>
      </c>
      <c r="L43" s="58">
        <f>+K43*G43</f>
        <v>15251040.723743761</v>
      </c>
      <c r="M43" s="32"/>
      <c r="N43" s="32"/>
      <c r="O43" s="32"/>
      <c r="P43" s="32"/>
    </row>
    <row r="44" spans="1:16" ht="15" customHeight="1" outlineLevel="1" x14ac:dyDescent="0.55000000000000004">
      <c r="A44" s="32"/>
      <c r="B44" s="119"/>
      <c r="C44" s="57"/>
      <c r="D44" s="57">
        <v>4010</v>
      </c>
      <c r="E44" s="57">
        <v>4707</v>
      </c>
      <c r="F44" s="175"/>
      <c r="G44" s="171"/>
      <c r="H44" s="81"/>
      <c r="I44" s="81"/>
      <c r="J44" s="122"/>
      <c r="K44" s="120"/>
      <c r="L44" s="58">
        <f>+K44*G44</f>
        <v>0</v>
      </c>
      <c r="M44" s="32"/>
      <c r="N44" s="32"/>
      <c r="O44" s="32"/>
      <c r="P44" s="32"/>
    </row>
    <row r="45" spans="1:16" ht="15" customHeight="1" outlineLevel="1" x14ac:dyDescent="0.55000000000000004">
      <c r="A45" s="32"/>
      <c r="B45" s="119"/>
      <c r="C45" s="57"/>
      <c r="D45" s="57">
        <v>4010</v>
      </c>
      <c r="E45" s="57">
        <v>4707</v>
      </c>
      <c r="F45" s="175"/>
      <c r="G45" s="171"/>
      <c r="H45" s="81"/>
      <c r="I45" s="81"/>
      <c r="J45" s="123"/>
      <c r="K45" s="132"/>
      <c r="L45" s="58"/>
      <c r="M45" s="32"/>
      <c r="N45" s="32"/>
      <c r="O45" s="32"/>
      <c r="P45" s="32"/>
    </row>
    <row r="46" spans="1:16" ht="15" customHeight="1" outlineLevel="1" x14ac:dyDescent="0.25">
      <c r="A46" s="32"/>
      <c r="B46" s="23"/>
      <c r="C46" s="23"/>
      <c r="D46" s="23"/>
      <c r="E46" s="23"/>
      <c r="F46" s="176">
        <f>+F43+F44</f>
        <v>0</v>
      </c>
      <c r="G46" s="59">
        <f>SUM(G43:G45)</f>
        <v>222971416.45954496</v>
      </c>
      <c r="H46" s="81"/>
      <c r="I46" s="81"/>
      <c r="J46" s="124"/>
      <c r="K46" s="121"/>
      <c r="L46" s="177">
        <f>SUM(L43:L45)</f>
        <v>15251040.723743761</v>
      </c>
      <c r="M46" s="32"/>
      <c r="N46" s="32"/>
      <c r="O46" s="32"/>
      <c r="P46" s="32"/>
    </row>
    <row r="47" spans="1:16" ht="15" customHeight="1" outlineLevel="1" x14ac:dyDescent="0.25">
      <c r="A47" s="32"/>
      <c r="B47" s="32"/>
      <c r="C47" s="32"/>
      <c r="D47" s="32"/>
      <c r="E47" s="32"/>
      <c r="F47" s="32"/>
      <c r="G47" s="32"/>
      <c r="H47" s="32"/>
      <c r="I47" s="32"/>
      <c r="J47" s="116"/>
      <c r="K47" s="32"/>
      <c r="L47" s="32"/>
      <c r="M47" s="32"/>
      <c r="N47" s="32"/>
      <c r="O47" s="32"/>
      <c r="P47" s="32"/>
    </row>
    <row r="48" spans="1:16" ht="15.75" customHeight="1" outlineLevel="1" x14ac:dyDescent="0.25">
      <c r="A48" s="23"/>
      <c r="B48" s="53" t="s">
        <v>61</v>
      </c>
      <c r="C48" s="23"/>
      <c r="D48" s="23"/>
      <c r="E48" s="128"/>
      <c r="F48" s="102"/>
      <c r="G48" s="220">
        <f>G41</f>
        <v>2021</v>
      </c>
      <c r="H48" s="220"/>
      <c r="I48" s="220"/>
      <c r="J48" s="220"/>
      <c r="K48" s="220"/>
      <c r="L48" s="220"/>
      <c r="M48" s="23"/>
      <c r="N48" s="23"/>
      <c r="O48" s="23"/>
      <c r="P48" s="23"/>
    </row>
    <row r="49" spans="1:16" ht="15" customHeight="1" outlineLevel="1" x14ac:dyDescent="0.25">
      <c r="A49" s="60"/>
      <c r="B49" s="54" t="s">
        <v>46</v>
      </c>
      <c r="C49" s="56"/>
      <c r="D49" s="56" t="s">
        <v>47</v>
      </c>
      <c r="E49" s="61" t="s">
        <v>48</v>
      </c>
      <c r="F49" s="62"/>
      <c r="G49" s="62"/>
      <c r="H49" s="62"/>
      <c r="I49" s="62"/>
      <c r="J49" s="62"/>
      <c r="K49" s="62"/>
      <c r="L49" s="65" t="s">
        <v>50</v>
      </c>
      <c r="M49" s="60"/>
      <c r="N49" s="60"/>
      <c r="O49" s="60"/>
      <c r="P49" s="60"/>
    </row>
    <row r="50" spans="1:16" ht="30.6" customHeight="1" outlineLevel="1" x14ac:dyDescent="0.25">
      <c r="A50" s="23"/>
      <c r="B50" s="63" t="s">
        <v>51</v>
      </c>
      <c r="C50" s="55" t="s">
        <v>52</v>
      </c>
      <c r="D50" s="55" t="s">
        <v>53</v>
      </c>
      <c r="E50" s="64" t="s">
        <v>53</v>
      </c>
      <c r="F50" s="66"/>
      <c r="G50" s="66"/>
      <c r="H50" s="78" t="s">
        <v>57</v>
      </c>
      <c r="I50" s="125"/>
      <c r="J50" s="125"/>
      <c r="K50" s="66" t="s">
        <v>60</v>
      </c>
      <c r="M50" s="23"/>
      <c r="N50" s="23"/>
      <c r="O50" s="23"/>
      <c r="P50" s="23"/>
    </row>
    <row r="51" spans="1:16" ht="15" customHeight="1" outlineLevel="1" x14ac:dyDescent="0.25">
      <c r="A51" s="23"/>
      <c r="B51" s="33" t="str">
        <f>IF(B29=0,"",B29)</f>
        <v>Residential</v>
      </c>
      <c r="C51" s="57" t="s">
        <v>4</v>
      </c>
      <c r="D51" s="57">
        <v>4006</v>
      </c>
      <c r="E51" s="57">
        <v>4707</v>
      </c>
      <c r="F51" s="126"/>
      <c r="G51" s="126"/>
      <c r="H51" s="172">
        <f>+H29</f>
        <v>17090770.091974139</v>
      </c>
      <c r="I51" s="126"/>
      <c r="J51" s="126"/>
      <c r="K51" s="173">
        <f t="shared" ref="K51:K56" si="3">+$G$18/1000</f>
        <v>0.10693999999999999</v>
      </c>
      <c r="L51" s="68">
        <f t="shared" ref="L51:L56" si="4">+K51*H51</f>
        <v>1827686.9536357142</v>
      </c>
      <c r="M51" s="23"/>
      <c r="N51" s="23"/>
      <c r="O51" s="23"/>
      <c r="P51" s="23"/>
    </row>
    <row r="52" spans="1:16" ht="15" customHeight="1" outlineLevel="1" x14ac:dyDescent="0.25">
      <c r="A52" s="23"/>
      <c r="B52" s="33" t="str">
        <f t="shared" ref="B52:B58" si="5">IF(B30=0,"",B30)</f>
        <v>General Service &lt; 50 kW</v>
      </c>
      <c r="C52" s="57" t="s">
        <v>4</v>
      </c>
      <c r="D52" s="57">
        <v>4010</v>
      </c>
      <c r="E52" s="57">
        <v>4707</v>
      </c>
      <c r="F52" s="126"/>
      <c r="G52" s="126"/>
      <c r="H52" s="172">
        <f t="shared" ref="H52:H56" si="6">+H30</f>
        <v>24498244.597918618</v>
      </c>
      <c r="I52" s="126"/>
      <c r="J52" s="126"/>
      <c r="K52" s="173">
        <f t="shared" si="3"/>
        <v>0.10693999999999999</v>
      </c>
      <c r="L52" s="68">
        <f t="shared" si="4"/>
        <v>2619842.2773014167</v>
      </c>
      <c r="M52" s="23"/>
      <c r="N52" s="23"/>
      <c r="O52" s="23"/>
      <c r="P52" s="23"/>
    </row>
    <row r="53" spans="1:16" ht="15" customHeight="1" outlineLevel="1" x14ac:dyDescent="0.25">
      <c r="A53" s="23"/>
      <c r="B53" s="33" t="str">
        <f t="shared" si="5"/>
        <v>General Service 50 to 4999 kW</v>
      </c>
      <c r="C53" s="57" t="s">
        <v>4</v>
      </c>
      <c r="D53" s="57">
        <v>4035</v>
      </c>
      <c r="E53" s="57">
        <v>4707</v>
      </c>
      <c r="F53" s="126"/>
      <c r="G53" s="126"/>
      <c r="H53" s="172">
        <f t="shared" si="6"/>
        <v>472393621.97238016</v>
      </c>
      <c r="I53" s="126"/>
      <c r="J53" s="126"/>
      <c r="K53" s="173">
        <f t="shared" si="3"/>
        <v>0.10693999999999999</v>
      </c>
      <c r="L53" s="68">
        <f t="shared" si="4"/>
        <v>50517773.933726333</v>
      </c>
      <c r="M53" s="23"/>
      <c r="N53" s="23"/>
      <c r="O53" s="23"/>
      <c r="P53" s="23"/>
    </row>
    <row r="54" spans="1:16" ht="15" customHeight="1" outlineLevel="1" x14ac:dyDescent="0.25">
      <c r="A54" s="23"/>
      <c r="B54" s="33" t="str">
        <f t="shared" si="5"/>
        <v>Unmetered Scattered Load</v>
      </c>
      <c r="C54" s="57" t="s">
        <v>4</v>
      </c>
      <c r="D54" s="57">
        <v>4010</v>
      </c>
      <c r="E54" s="57">
        <v>4707</v>
      </c>
      <c r="F54" s="126"/>
      <c r="G54" s="126"/>
      <c r="H54" s="172">
        <f t="shared" si="6"/>
        <v>0</v>
      </c>
      <c r="I54" s="126"/>
      <c r="J54" s="126"/>
      <c r="K54" s="173">
        <f t="shared" si="3"/>
        <v>0.10693999999999999</v>
      </c>
      <c r="L54" s="68">
        <f t="shared" si="4"/>
        <v>0</v>
      </c>
      <c r="M54" s="23"/>
      <c r="N54" s="23"/>
      <c r="O54" s="23"/>
      <c r="P54" s="23"/>
    </row>
    <row r="55" spans="1:16" ht="15" customHeight="1" outlineLevel="1" x14ac:dyDescent="0.25">
      <c r="A55" s="23"/>
      <c r="B55" s="33" t="str">
        <f t="shared" si="5"/>
        <v>Sentinel Lighting</v>
      </c>
      <c r="C55" s="57" t="s">
        <v>4</v>
      </c>
      <c r="D55" s="57">
        <v>4025</v>
      </c>
      <c r="E55" s="57">
        <v>4707</v>
      </c>
      <c r="F55" s="126"/>
      <c r="G55" s="126"/>
      <c r="H55" s="172">
        <f t="shared" si="6"/>
        <v>0</v>
      </c>
      <c r="I55" s="126"/>
      <c r="J55" s="126"/>
      <c r="K55" s="173">
        <f t="shared" si="3"/>
        <v>0.10693999999999999</v>
      </c>
      <c r="L55" s="68">
        <f t="shared" si="4"/>
        <v>0</v>
      </c>
      <c r="M55" s="23"/>
      <c r="N55" s="23"/>
      <c r="O55" s="23"/>
      <c r="P55" s="23"/>
    </row>
    <row r="56" spans="1:16" ht="15" customHeight="1" outlineLevel="1" x14ac:dyDescent="0.25">
      <c r="A56" s="23"/>
      <c r="B56" s="33" t="str">
        <f t="shared" si="5"/>
        <v xml:space="preserve">Street Lighting </v>
      </c>
      <c r="C56" s="57" t="s">
        <v>4</v>
      </c>
      <c r="D56" s="57">
        <v>4025</v>
      </c>
      <c r="E56" s="57">
        <v>4707</v>
      </c>
      <c r="F56" s="126"/>
      <c r="G56" s="126"/>
      <c r="H56" s="172">
        <f t="shared" si="6"/>
        <v>4657773.6968386797</v>
      </c>
      <c r="I56" s="126"/>
      <c r="J56" s="126"/>
      <c r="K56" s="173">
        <f t="shared" si="3"/>
        <v>0.10693999999999999</v>
      </c>
      <c r="L56" s="68">
        <f t="shared" si="4"/>
        <v>498102.31913992838</v>
      </c>
      <c r="M56" s="23"/>
      <c r="N56" s="23"/>
      <c r="O56" s="23"/>
      <c r="P56" s="23"/>
    </row>
    <row r="57" spans="1:16" ht="15" customHeight="1" outlineLevel="1" x14ac:dyDescent="0.25">
      <c r="A57" s="23"/>
      <c r="B57" s="33" t="str">
        <f t="shared" si="5"/>
        <v/>
      </c>
      <c r="C57" s="57" t="s">
        <v>4</v>
      </c>
      <c r="D57" s="57">
        <v>4025</v>
      </c>
      <c r="E57" s="57">
        <v>4707</v>
      </c>
      <c r="F57" s="126"/>
      <c r="G57" s="126"/>
      <c r="H57" s="172"/>
      <c r="I57" s="126"/>
      <c r="J57" s="126"/>
      <c r="K57" s="174"/>
      <c r="L57" s="68">
        <f t="shared" ref="L57" si="7">+K58*H58</f>
        <v>0</v>
      </c>
      <c r="M57" s="23"/>
      <c r="N57" s="23"/>
      <c r="O57" s="23"/>
      <c r="P57" s="23"/>
    </row>
    <row r="58" spans="1:16" ht="15" customHeight="1" outlineLevel="1" x14ac:dyDescent="0.25">
      <c r="A58" s="23"/>
      <c r="B58" s="33" t="str">
        <f t="shared" si="5"/>
        <v/>
      </c>
      <c r="C58" s="57" t="s">
        <v>4</v>
      </c>
      <c r="D58" s="57">
        <v>4025</v>
      </c>
      <c r="E58" s="57">
        <v>4707</v>
      </c>
      <c r="F58" s="126"/>
      <c r="G58" s="126"/>
      <c r="H58" s="188"/>
      <c r="I58" s="126"/>
      <c r="J58" s="126"/>
      <c r="K58" s="174"/>
      <c r="L58" s="68">
        <f>+K59*H59</f>
        <v>0</v>
      </c>
      <c r="M58" s="23"/>
      <c r="N58" s="23"/>
      <c r="O58" s="23"/>
      <c r="P58" s="23"/>
    </row>
    <row r="59" spans="1:16" ht="15" customHeight="1" outlineLevel="1" x14ac:dyDescent="0.25">
      <c r="A59" s="23"/>
      <c r="B59" s="33" t="s">
        <v>85</v>
      </c>
      <c r="C59" s="183"/>
      <c r="D59" s="183"/>
      <c r="E59" s="187"/>
      <c r="F59" s="189"/>
      <c r="G59" s="189"/>
      <c r="H59" s="190">
        <f>SUM(H51:H58)</f>
        <v>518640410.35911161</v>
      </c>
      <c r="I59" s="189"/>
      <c r="J59" s="189"/>
      <c r="K59" s="174"/>
      <c r="L59" s="71"/>
      <c r="M59" s="23"/>
      <c r="N59" s="23"/>
      <c r="O59" s="23"/>
      <c r="P59" s="69"/>
    </row>
    <row r="60" spans="1:16" ht="15" customHeight="1" outlineLevel="1" x14ac:dyDescent="0.25">
      <c r="A60" s="23"/>
      <c r="B60" s="54" t="s">
        <v>13</v>
      </c>
      <c r="C60" s="129"/>
      <c r="D60" s="130"/>
      <c r="E60" s="131"/>
      <c r="F60" s="117"/>
      <c r="G60" s="127"/>
      <c r="H60" s="117"/>
      <c r="I60" s="117"/>
      <c r="J60" s="117"/>
      <c r="K60" s="70"/>
      <c r="L60" s="184">
        <f>SUM(L51:L58)</f>
        <v>55463405.483803391</v>
      </c>
      <c r="M60" s="23"/>
      <c r="N60" s="23"/>
      <c r="O60" s="23"/>
      <c r="P60" s="23"/>
    </row>
    <row r="61" spans="1:16" ht="15" customHeight="1" outlineLevel="1" x14ac:dyDescent="0.25">
      <c r="A61" s="23"/>
      <c r="B61" s="178"/>
      <c r="C61" s="179"/>
      <c r="D61" s="180"/>
      <c r="E61" s="180"/>
      <c r="F61" s="181"/>
      <c r="G61" s="182"/>
      <c r="H61" s="181"/>
      <c r="I61" s="181"/>
      <c r="J61" s="181"/>
      <c r="K61" s="181"/>
      <c r="L61" s="72"/>
      <c r="M61" s="23"/>
      <c r="N61" s="23"/>
      <c r="O61" s="23"/>
      <c r="P61" s="23"/>
    </row>
    <row r="62" spans="1:16" ht="15" customHeight="1" outlineLevel="1" x14ac:dyDescent="0.25">
      <c r="A62" s="23"/>
      <c r="B62" s="23"/>
      <c r="C62" s="23"/>
      <c r="D62" s="23"/>
      <c r="E62" s="23"/>
      <c r="F62" s="29"/>
      <c r="G62" s="23"/>
      <c r="H62" s="23"/>
      <c r="I62" s="23"/>
      <c r="J62" s="23"/>
      <c r="K62" s="23"/>
      <c r="L62" s="194"/>
      <c r="M62" s="23"/>
      <c r="N62" s="23"/>
      <c r="O62" s="23"/>
      <c r="P62" s="23"/>
    </row>
    <row r="63" spans="1:16" ht="21" x14ac:dyDescent="0.55000000000000004">
      <c r="A63" s="23" t="s">
        <v>54</v>
      </c>
      <c r="B63" s="23"/>
      <c r="C63" s="23"/>
      <c r="D63" s="23"/>
      <c r="E63" s="23"/>
      <c r="F63" s="73"/>
      <c r="G63" s="73"/>
      <c r="H63" s="73"/>
      <c r="I63" s="73"/>
      <c r="J63" s="73"/>
      <c r="K63" s="73"/>
      <c r="L63" s="23"/>
      <c r="M63" s="23"/>
      <c r="N63" s="23"/>
      <c r="O63" s="23"/>
      <c r="P63" s="23"/>
    </row>
    <row r="64" spans="1:16" x14ac:dyDescent="0.25">
      <c r="A64" s="23" t="s">
        <v>80</v>
      </c>
      <c r="B64" s="23"/>
      <c r="C64" s="23"/>
      <c r="D64" s="23"/>
      <c r="E64" s="23"/>
      <c r="F64" s="23"/>
      <c r="G64" s="74"/>
      <c r="H64" s="74"/>
      <c r="I64" s="74"/>
      <c r="J64" s="74"/>
      <c r="K64" s="74"/>
      <c r="L64" s="23"/>
      <c r="M64" s="23"/>
      <c r="N64" s="23"/>
      <c r="O64" s="23"/>
      <c r="P64" s="23"/>
    </row>
    <row r="65" spans="1:16" x14ac:dyDescent="0.25">
      <c r="A65" s="23" t="s">
        <v>82</v>
      </c>
      <c r="B65" s="23"/>
      <c r="C65" s="23"/>
      <c r="D65" s="23"/>
      <c r="E65" s="23"/>
      <c r="F65" s="23"/>
      <c r="G65" s="23"/>
      <c r="H65" s="29"/>
      <c r="I65" s="23"/>
      <c r="J65" s="23"/>
      <c r="K65" s="23"/>
      <c r="L65" s="23"/>
      <c r="M65" s="23"/>
      <c r="N65" s="23"/>
      <c r="O65" s="23"/>
      <c r="P65" s="23"/>
    </row>
    <row r="66" spans="1:16" x14ac:dyDescent="0.25">
      <c r="H66" s="5"/>
    </row>
  </sheetData>
  <mergeCells count="8">
    <mergeCell ref="G41:L41"/>
    <mergeCell ref="G48:L48"/>
    <mergeCell ref="B4:I6"/>
    <mergeCell ref="C17:E17"/>
    <mergeCell ref="C18:E18"/>
    <mergeCell ref="C19:E19"/>
    <mergeCell ref="C20:E20"/>
    <mergeCell ref="G26:L26"/>
  </mergeCells>
  <conditionalFormatting sqref="B1">
    <cfRule type="expression" dxfId="0" priority="1" stopIfTrue="1">
      <formula>LEFT($C1,6)="Macros"</formula>
    </cfRule>
  </conditionalFormatting>
  <pageMargins left="0.7" right="0.7" top="0.75" bottom="0.75" header="0.3" footer="0.3"/>
  <pageSetup scale="60" fitToHeight="2"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10"/>
  <sheetViews>
    <sheetView tabSelected="1" topLeftCell="A92" zoomScale="75" zoomScaleNormal="75" workbookViewId="0">
      <selection activeCell="P95" sqref="P95"/>
    </sheetView>
  </sheetViews>
  <sheetFormatPr defaultRowHeight="15" x14ac:dyDescent="0.25"/>
  <cols>
    <col min="1" max="1" width="43" customWidth="1"/>
    <col min="2" max="2" width="8" bestFit="1" customWidth="1"/>
    <col min="3" max="3" width="1.5703125" customWidth="1"/>
    <col min="4" max="4" width="23.140625" bestFit="1" customWidth="1"/>
    <col min="5" max="5" width="15.28515625" bestFit="1" customWidth="1"/>
    <col min="6" max="6" width="17" customWidth="1"/>
    <col min="7" max="7" width="2.140625" customWidth="1"/>
    <col min="8" max="8" width="19.28515625" customWidth="1"/>
    <col min="9" max="9" width="11.28515625" customWidth="1"/>
    <col min="10" max="10" width="13.140625" customWidth="1"/>
    <col min="11" max="11" width="16.28515625" bestFit="1" customWidth="1"/>
    <col min="12" max="12" width="12" bestFit="1" customWidth="1"/>
  </cols>
  <sheetData>
    <row r="1" spans="1:11" x14ac:dyDescent="0.25">
      <c r="A1" s="237" t="s">
        <v>0</v>
      </c>
      <c r="B1" s="237"/>
      <c r="C1" s="237"/>
      <c r="D1" s="237"/>
      <c r="E1" s="237"/>
      <c r="F1" s="237"/>
      <c r="G1" s="237"/>
      <c r="H1" s="237"/>
      <c r="I1" s="237"/>
      <c r="J1" s="237"/>
    </row>
    <row r="2" spans="1:11" x14ac:dyDescent="0.25">
      <c r="A2" s="206"/>
      <c r="B2" s="206"/>
      <c r="C2" s="206"/>
      <c r="D2" s="206"/>
      <c r="E2" s="206"/>
      <c r="F2" s="206"/>
      <c r="G2" s="206"/>
      <c r="H2" s="206"/>
      <c r="I2" s="206"/>
      <c r="J2" s="140" t="s">
        <v>69</v>
      </c>
      <c r="K2" s="141" t="str">
        <f>'2020 Commodity Expense Forecast'!L2</f>
        <v>EB-2020-0040</v>
      </c>
    </row>
    <row r="3" spans="1:11" x14ac:dyDescent="0.25">
      <c r="A3" s="206"/>
      <c r="B3" s="206"/>
      <c r="C3" s="206"/>
      <c r="D3" s="206"/>
      <c r="E3" s="206"/>
      <c r="F3" s="206"/>
      <c r="G3" s="206"/>
      <c r="H3" s="206"/>
      <c r="I3" s="206"/>
      <c r="J3" s="140" t="s">
        <v>70</v>
      </c>
      <c r="K3" s="141">
        <f>'2020 Commodity Expense Forecast'!L3</f>
        <v>2</v>
      </c>
    </row>
    <row r="4" spans="1:11" x14ac:dyDescent="0.25">
      <c r="A4" s="206"/>
      <c r="B4" s="206"/>
      <c r="C4" s="206"/>
      <c r="D4" s="206"/>
      <c r="E4" s="206"/>
      <c r="F4" s="206"/>
      <c r="G4" s="206"/>
      <c r="H4" s="206"/>
      <c r="I4" s="206"/>
      <c r="J4" s="140" t="s">
        <v>71</v>
      </c>
      <c r="K4" s="141">
        <f>'2020 Commodity Expense Forecast'!L4</f>
        <v>1</v>
      </c>
    </row>
    <row r="5" spans="1:11" x14ac:dyDescent="0.25">
      <c r="A5" s="206"/>
      <c r="B5" s="206"/>
      <c r="C5" s="206"/>
      <c r="D5" s="206"/>
      <c r="E5" s="206"/>
      <c r="F5" s="206"/>
      <c r="G5" s="206"/>
      <c r="H5" s="206"/>
      <c r="I5" s="206"/>
      <c r="J5" s="140" t="s">
        <v>72</v>
      </c>
      <c r="K5" s="141">
        <f>'2020 Commodity Expense Forecast'!L5</f>
        <v>4</v>
      </c>
    </row>
    <row r="6" spans="1:11" x14ac:dyDescent="0.25">
      <c r="A6" s="206"/>
      <c r="B6" s="206"/>
      <c r="C6" s="206"/>
      <c r="D6" s="206"/>
      <c r="E6" s="206"/>
      <c r="F6" s="206"/>
      <c r="G6" s="206"/>
      <c r="H6" s="206"/>
      <c r="I6" s="206"/>
      <c r="J6" s="140" t="s">
        <v>73</v>
      </c>
      <c r="K6" s="141"/>
    </row>
    <row r="7" spans="1:11" x14ac:dyDescent="0.25">
      <c r="A7" t="s">
        <v>64</v>
      </c>
      <c r="J7" s="140"/>
      <c r="K7" s="25"/>
    </row>
    <row r="8" spans="1:11" x14ac:dyDescent="0.25">
      <c r="A8" t="s">
        <v>66</v>
      </c>
      <c r="J8" s="140" t="s">
        <v>74</v>
      </c>
      <c r="K8" s="142">
        <f>'2020 Commodity Expense Forecast'!L8</f>
        <v>44074</v>
      </c>
    </row>
    <row r="9" spans="1:11" x14ac:dyDescent="0.25">
      <c r="A9" s="5" t="s">
        <v>67</v>
      </c>
      <c r="E9" s="238"/>
      <c r="F9" s="238"/>
      <c r="G9" s="207"/>
      <c r="H9" s="207"/>
      <c r="I9" s="238"/>
      <c r="J9" s="238"/>
    </row>
    <row r="10" spans="1:11" x14ac:dyDescent="0.25">
      <c r="A10" s="5"/>
      <c r="B10" s="8"/>
      <c r="C10" s="20"/>
      <c r="D10" s="208" t="s">
        <v>96</v>
      </c>
      <c r="E10" s="239" t="s">
        <v>1</v>
      </c>
      <c r="F10" s="239"/>
      <c r="G10" s="168"/>
      <c r="H10" s="208" t="s">
        <v>96</v>
      </c>
      <c r="I10" s="239" t="s">
        <v>2</v>
      </c>
      <c r="J10" s="239"/>
      <c r="K10" s="169" t="s">
        <v>78</v>
      </c>
    </row>
    <row r="11" spans="1:11" x14ac:dyDescent="0.25">
      <c r="A11" s="3" t="s">
        <v>26</v>
      </c>
      <c r="B11" s="240" t="s">
        <v>68</v>
      </c>
      <c r="C11" s="152"/>
      <c r="D11" s="18" t="s">
        <v>14</v>
      </c>
      <c r="E11" s="18" t="s">
        <v>6</v>
      </c>
      <c r="F11" s="205" t="s">
        <v>7</v>
      </c>
      <c r="G11" s="207"/>
      <c r="H11" s="18" t="s">
        <v>14</v>
      </c>
      <c r="I11" s="18" t="s">
        <v>6</v>
      </c>
      <c r="J11" s="205" t="s">
        <v>7</v>
      </c>
      <c r="K11" s="147" t="s">
        <v>79</v>
      </c>
    </row>
    <row r="12" spans="1:11" x14ac:dyDescent="0.25">
      <c r="A12" s="4" t="s">
        <v>27</v>
      </c>
      <c r="B12" s="241"/>
      <c r="C12" s="155"/>
      <c r="D12" s="75"/>
      <c r="E12" s="14"/>
      <c r="F12" s="137">
        <f>D12*E12</f>
        <v>0</v>
      </c>
      <c r="G12" s="77"/>
      <c r="H12" s="75"/>
      <c r="I12" s="14"/>
      <c r="J12" s="137"/>
      <c r="K12" s="227"/>
    </row>
    <row r="13" spans="1:11" x14ac:dyDescent="0.25">
      <c r="A13" s="2" t="str">
        <f>IF('2020 Commodity Expense Forecast'!B51=0,"",'2020 Commodity Expense Forecast'!B29)</f>
        <v>Residential</v>
      </c>
      <c r="B13" s="12" t="s">
        <v>4</v>
      </c>
      <c r="C13" s="156"/>
      <c r="D13" s="75">
        <f>'2021 Commodity Expense Forecast'!I29</f>
        <v>456715993.31772995</v>
      </c>
      <c r="E13" s="164"/>
      <c r="F13" s="90">
        <f>D13*'2021 Commodity Expense Forecast'!K29</f>
        <v>58473348.624468967</v>
      </c>
      <c r="G13" s="5"/>
      <c r="H13" s="75">
        <f>'2021 Commodity Expense Forecast'!F29+'2021 Commodity Expense Forecast'!H29</f>
        <v>17090770.091974139</v>
      </c>
      <c r="I13" s="164"/>
      <c r="J13" s="137">
        <f>H13*'2021 Commodity Expense Forecast'!J29</f>
        <v>343353.57114776043</v>
      </c>
      <c r="K13" s="227"/>
    </row>
    <row r="14" spans="1:11" x14ac:dyDescent="0.25">
      <c r="A14" s="2" t="str">
        <f>IF('2020 Commodity Expense Forecast'!B52=0,"",'2020 Commodity Expense Forecast'!B30)</f>
        <v>General Service &lt; 50 kW</v>
      </c>
      <c r="B14" s="12" t="s">
        <v>4</v>
      </c>
      <c r="C14" s="156"/>
      <c r="D14" s="75">
        <f>'2021 Commodity Expense Forecast'!I30</f>
        <v>113034585.56628406</v>
      </c>
      <c r="E14" s="164"/>
      <c r="F14" s="90">
        <f>D14*'2021 Commodity Expense Forecast'!K30</f>
        <v>14471817.99005135</v>
      </c>
      <c r="G14" s="5"/>
      <c r="H14" s="75">
        <f>'2021 Commodity Expense Forecast'!F30+'2021 Commodity Expense Forecast'!H30</f>
        <v>24498244.597918618</v>
      </c>
      <c r="I14" s="164"/>
      <c r="J14" s="137">
        <f>H14*'2021 Commodity Expense Forecast'!J30</f>
        <v>492169.73397218506</v>
      </c>
      <c r="K14" s="227"/>
    </row>
    <row r="15" spans="1:11" x14ac:dyDescent="0.25">
      <c r="A15" s="2" t="str">
        <f>IF('2020 Commodity Expense Forecast'!B53=0,"",'2020 Commodity Expense Forecast'!B31)</f>
        <v>General Service 50 to 4999 kW</v>
      </c>
      <c r="B15" s="12" t="s">
        <v>65</v>
      </c>
      <c r="C15" s="156"/>
      <c r="D15" s="75">
        <f>'2021 Commodity Expense Forecast'!I31</f>
        <v>28033876.467172571</v>
      </c>
      <c r="E15" s="164"/>
      <c r="F15" s="90">
        <f>D15*'2021 Commodity Expense Forecast'!K31</f>
        <v>3589177.2040921045</v>
      </c>
      <c r="G15" s="5"/>
      <c r="H15" s="75">
        <f>'2021 Commodity Expense Forecast'!F31+'2021 Commodity Expense Forecast'!H31</f>
        <v>695365038.43192506</v>
      </c>
      <c r="I15" s="164"/>
      <c r="J15" s="137">
        <f>H15*'2021 Commodity Expense Forecast'!J31</f>
        <v>13969883.622097375</v>
      </c>
      <c r="K15" s="227"/>
    </row>
    <row r="16" spans="1:11" x14ac:dyDescent="0.25">
      <c r="A16" s="2" t="str">
        <f>IF('2020 Commodity Expense Forecast'!B54=0,"",'2020 Commodity Expense Forecast'!B32)</f>
        <v>Unmetered Scattered Load</v>
      </c>
      <c r="B16" s="12" t="s">
        <v>65</v>
      </c>
      <c r="C16" s="156"/>
      <c r="D16" s="75">
        <f>'2021 Commodity Expense Forecast'!I32</f>
        <v>1544163.185471622</v>
      </c>
      <c r="E16" s="164"/>
      <c r="F16" s="90">
        <f>D16*'2021 Commodity Expense Forecast'!K32</f>
        <v>197699.21263593179</v>
      </c>
      <c r="G16" s="5"/>
      <c r="H16" s="75">
        <f>'2021 Commodity Expense Forecast'!F32+'2021 Commodity Expense Forecast'!H32</f>
        <v>0</v>
      </c>
      <c r="I16" s="164"/>
      <c r="J16" s="137">
        <f>H16*'2021 Commodity Expense Forecast'!J32</f>
        <v>0</v>
      </c>
      <c r="K16" s="227"/>
    </row>
    <row r="17" spans="1:13" x14ac:dyDescent="0.25">
      <c r="A17" s="2" t="str">
        <f>IF('2020 Commodity Expense Forecast'!B55=0,"",'2020 Commodity Expense Forecast'!B33)</f>
        <v>Sentinel Lighting</v>
      </c>
      <c r="B17" s="12" t="s">
        <v>4</v>
      </c>
      <c r="C17" s="156"/>
      <c r="D17" s="75">
        <f>'2021 Commodity Expense Forecast'!I33</f>
        <v>227842.75057225043</v>
      </c>
      <c r="E17" s="164"/>
      <c r="F17" s="90">
        <f>D17*'2021 Commodity Expense Forecast'!K33</f>
        <v>29170.707355765222</v>
      </c>
      <c r="G17" s="5"/>
      <c r="H17" s="75">
        <f>'2021 Commodity Expense Forecast'!F33+'2021 Commodity Expense Forecast'!H33</f>
        <v>0</v>
      </c>
      <c r="I17" s="164"/>
      <c r="J17" s="137">
        <f>H17*'2021 Commodity Expense Forecast'!J33</f>
        <v>0</v>
      </c>
      <c r="K17" s="227"/>
    </row>
    <row r="18" spans="1:13" x14ac:dyDescent="0.25">
      <c r="A18" s="2" t="str">
        <f>IF('2020 Commodity Expense Forecast'!B56=0,"",'2020 Commodity Expense Forecast'!B34)</f>
        <v xml:space="preserve">Street Lighting </v>
      </c>
      <c r="B18" s="12" t="s">
        <v>4</v>
      </c>
      <c r="C18" s="157"/>
      <c r="D18" s="75">
        <f>'2021 Commodity Expense Forecast'!I34</f>
        <v>0</v>
      </c>
      <c r="E18" s="164"/>
      <c r="F18" s="90">
        <f>D18*'2021 Commodity Expense Forecast'!K34</f>
        <v>0</v>
      </c>
      <c r="G18" s="5"/>
      <c r="H18" s="75">
        <f>'2021 Commodity Expense Forecast'!F34+'2021 Commodity Expense Forecast'!H34</f>
        <v>4657773.6968386797</v>
      </c>
      <c r="I18" s="164"/>
      <c r="J18" s="137">
        <f>H18*'2021 Commodity Expense Forecast'!J34</f>
        <v>93574.673569489081</v>
      </c>
      <c r="K18" s="227"/>
    </row>
    <row r="19" spans="1:13" x14ac:dyDescent="0.25">
      <c r="A19" s="2"/>
      <c r="B19" s="14" t="s">
        <v>4</v>
      </c>
      <c r="C19" s="156"/>
      <c r="D19" s="75">
        <f>'2021 Commodity Expense Forecast'!I35</f>
        <v>0</v>
      </c>
      <c r="E19" s="164"/>
      <c r="F19" s="90">
        <f>D19*'2021 Commodity Expense Forecast'!K35</f>
        <v>0</v>
      </c>
      <c r="G19" s="5"/>
      <c r="H19" s="75">
        <f>'2020 Commodity Expense Forecast'!F35+'2020 Commodity Expense Forecast'!H35</f>
        <v>0</v>
      </c>
      <c r="I19" s="164"/>
      <c r="J19" s="137">
        <f>H19*'2021 Commodity Expense Forecast'!J35</f>
        <v>0</v>
      </c>
      <c r="K19" s="227"/>
      <c r="L19" s="5"/>
    </row>
    <row r="20" spans="1:13" x14ac:dyDescent="0.25">
      <c r="A20" s="4" t="s">
        <v>16</v>
      </c>
      <c r="B20" s="12"/>
      <c r="C20" s="156"/>
      <c r="D20" s="75">
        <f>SUM(D13:D19)</f>
        <v>599556461.28723049</v>
      </c>
      <c r="E20" s="85"/>
      <c r="F20" s="90">
        <f>SUM(F13:F19)</f>
        <v>76761213.738604113</v>
      </c>
      <c r="G20" s="2"/>
      <c r="H20" s="134">
        <f>SUM(H13:H19)</f>
        <v>741611826.81865656</v>
      </c>
      <c r="I20" s="161"/>
      <c r="J20" s="138">
        <f>SUM(J13:J19)</f>
        <v>14898981.600786809</v>
      </c>
      <c r="K20" s="136">
        <f>F20+J20</f>
        <v>91660195.339390919</v>
      </c>
      <c r="L20" s="5" t="str">
        <f>IF(K20='2021 Commodity Expense Forecast'!L38,"OK", "ERROR")</f>
        <v>OK</v>
      </c>
    </row>
    <row r="21" spans="1:13" ht="7.5" customHeight="1" x14ac:dyDescent="0.25">
      <c r="D21" s="16"/>
      <c r="G21" s="5"/>
      <c r="H21" s="5"/>
      <c r="I21" s="243"/>
      <c r="J21" s="242"/>
      <c r="L21" s="5"/>
    </row>
    <row r="22" spans="1:13" x14ac:dyDescent="0.25">
      <c r="A22" s="3" t="s">
        <v>63</v>
      </c>
      <c r="B22" s="240" t="s">
        <v>68</v>
      </c>
      <c r="C22" s="152"/>
      <c r="D22" s="231" t="s">
        <v>14</v>
      </c>
      <c r="E22" s="233" t="s">
        <v>6</v>
      </c>
      <c r="F22" s="235" t="s">
        <v>7</v>
      </c>
      <c r="G22" s="207"/>
      <c r="H22" s="244" t="s">
        <v>14</v>
      </c>
      <c r="I22" s="233" t="s">
        <v>6</v>
      </c>
      <c r="J22" s="235" t="s">
        <v>7</v>
      </c>
      <c r="K22" s="229" t="s">
        <v>78</v>
      </c>
    </row>
    <row r="23" spans="1:13" x14ac:dyDescent="0.25">
      <c r="A23" s="4" t="s">
        <v>28</v>
      </c>
      <c r="B23" s="241"/>
      <c r="C23" s="152"/>
      <c r="D23" s="243"/>
      <c r="E23" s="242"/>
      <c r="F23" s="236"/>
      <c r="G23" s="1"/>
      <c r="H23" s="246"/>
      <c r="I23" s="242"/>
      <c r="J23" s="236"/>
      <c r="K23" s="230"/>
    </row>
    <row r="24" spans="1:13" x14ac:dyDescent="0.25">
      <c r="A24" s="2" t="str">
        <f t="shared" ref="A24:A30" si="0">IF(A13=0,"",A13)</f>
        <v>Residential</v>
      </c>
      <c r="B24" s="12" t="s">
        <v>4</v>
      </c>
      <c r="C24" s="156"/>
      <c r="D24" s="89"/>
      <c r="E24" s="89"/>
      <c r="F24" s="87">
        <f>D24*E24</f>
        <v>0</v>
      </c>
      <c r="H24" s="92"/>
      <c r="I24" s="89"/>
      <c r="J24" s="185">
        <f>'2021 Commodity Expense Forecast'!L51</f>
        <v>1827686.9536357142</v>
      </c>
      <c r="K24" s="227"/>
    </row>
    <row r="25" spans="1:13" x14ac:dyDescent="0.25">
      <c r="A25" s="2" t="str">
        <f t="shared" si="0"/>
        <v>General Service &lt; 50 kW</v>
      </c>
      <c r="B25" s="12" t="s">
        <v>4</v>
      </c>
      <c r="C25" s="156"/>
      <c r="D25" s="89"/>
      <c r="E25" s="89"/>
      <c r="F25" s="87">
        <f t="shared" ref="F25:F30" si="1">D25*E25</f>
        <v>0</v>
      </c>
      <c r="H25" s="92"/>
      <c r="I25" s="89"/>
      <c r="J25" s="185">
        <f>'2021 Commodity Expense Forecast'!L52</f>
        <v>2619842.2773014167</v>
      </c>
      <c r="K25" s="227"/>
      <c r="M25" s="5"/>
    </row>
    <row r="26" spans="1:13" x14ac:dyDescent="0.25">
      <c r="A26" s="2" t="str">
        <f t="shared" si="0"/>
        <v>General Service 50 to 4999 kW</v>
      </c>
      <c r="B26" s="12" t="s">
        <v>65</v>
      </c>
      <c r="C26" s="156"/>
      <c r="D26" s="89"/>
      <c r="E26" s="89"/>
      <c r="F26" s="87">
        <f t="shared" si="1"/>
        <v>0</v>
      </c>
      <c r="H26" s="92"/>
      <c r="I26" s="89"/>
      <c r="J26" s="185">
        <f>'2021 Commodity Expense Forecast'!L53+'2021 Commodity Expense Forecast'!L43</f>
        <v>65768814.657470092</v>
      </c>
      <c r="K26" s="227"/>
      <c r="L26" s="5"/>
    </row>
    <row r="27" spans="1:13" x14ac:dyDescent="0.25">
      <c r="A27" s="2" t="str">
        <f t="shared" si="0"/>
        <v>Unmetered Scattered Load</v>
      </c>
      <c r="B27" s="12" t="s">
        <v>65</v>
      </c>
      <c r="C27" s="156"/>
      <c r="D27" s="89"/>
      <c r="E27" s="89"/>
      <c r="F27" s="87">
        <f t="shared" si="1"/>
        <v>0</v>
      </c>
      <c r="H27" s="92"/>
      <c r="I27" s="89"/>
      <c r="J27" s="185">
        <f>'2021 Commodity Expense Forecast'!L54</f>
        <v>0</v>
      </c>
      <c r="K27" s="227"/>
    </row>
    <row r="28" spans="1:13" x14ac:dyDescent="0.25">
      <c r="A28" s="2" t="str">
        <f t="shared" si="0"/>
        <v>Sentinel Lighting</v>
      </c>
      <c r="B28" s="12" t="s">
        <v>4</v>
      </c>
      <c r="C28" s="156"/>
      <c r="D28" s="89"/>
      <c r="E28" s="89"/>
      <c r="F28" s="87">
        <f t="shared" si="1"/>
        <v>0</v>
      </c>
      <c r="H28" s="92"/>
      <c r="I28" s="89"/>
      <c r="J28" s="185">
        <f>'2021 Commodity Expense Forecast'!L55</f>
        <v>0</v>
      </c>
      <c r="K28" s="227"/>
      <c r="L28" s="1"/>
      <c r="M28" s="5"/>
    </row>
    <row r="29" spans="1:13" x14ac:dyDescent="0.25">
      <c r="A29" s="2" t="str">
        <f t="shared" si="0"/>
        <v xml:space="preserve">Street Lighting </v>
      </c>
      <c r="B29" s="12" t="s">
        <v>4</v>
      </c>
      <c r="C29" s="156"/>
      <c r="D29" s="89"/>
      <c r="E29" s="89"/>
      <c r="F29" s="87">
        <f t="shared" si="1"/>
        <v>0</v>
      </c>
      <c r="H29" s="92"/>
      <c r="I29" s="89"/>
      <c r="J29" s="185">
        <f>'2021 Commodity Expense Forecast'!L56</f>
        <v>498102.31913992838</v>
      </c>
      <c r="K29" s="227"/>
    </row>
    <row r="30" spans="1:13" x14ac:dyDescent="0.25">
      <c r="A30" s="2" t="str">
        <f t="shared" si="0"/>
        <v/>
      </c>
      <c r="B30" s="14" t="s">
        <v>4</v>
      </c>
      <c r="C30" s="156"/>
      <c r="D30" s="89"/>
      <c r="E30" s="89"/>
      <c r="F30" s="88">
        <f t="shared" si="1"/>
        <v>0</v>
      </c>
      <c r="H30" s="92"/>
      <c r="I30" s="89"/>
      <c r="J30" s="186">
        <f t="shared" ref="J30" si="2">H30*I30</f>
        <v>0</v>
      </c>
      <c r="K30" s="227"/>
    </row>
    <row r="31" spans="1:13" x14ac:dyDescent="0.25">
      <c r="A31" s="4" t="s">
        <v>16</v>
      </c>
      <c r="B31" s="7"/>
      <c r="C31" s="155"/>
      <c r="D31" s="161">
        <f>SUM(D24:D30)</f>
        <v>0</v>
      </c>
      <c r="E31" s="85"/>
      <c r="F31" s="12">
        <f>SUM(F24:F30)</f>
        <v>0</v>
      </c>
      <c r="G31" s="12"/>
      <c r="H31" s="91"/>
      <c r="I31" s="85"/>
      <c r="J31" s="76">
        <f>SUM(J24:J30)</f>
        <v>70714446.207547158</v>
      </c>
      <c r="K31" s="136">
        <f>F31+J31</f>
        <v>70714446.207547158</v>
      </c>
      <c r="L31" s="193" t="str">
        <f>IF(K31=('2021 Commodity Expense Forecast'!L46+'2021 Commodity Expense Forecast'!L60), "OK","ERROR")</f>
        <v>OK</v>
      </c>
    </row>
    <row r="32" spans="1:13" ht="8.25" customHeight="1" x14ac:dyDescent="0.25">
      <c r="B32" s="16"/>
      <c r="C32" s="5"/>
      <c r="D32" s="16"/>
    </row>
    <row r="33" spans="1:11" x14ac:dyDescent="0.25">
      <c r="A33" s="80" t="s">
        <v>3</v>
      </c>
      <c r="B33" s="242"/>
      <c r="C33" s="152"/>
      <c r="D33" s="243" t="s">
        <v>15</v>
      </c>
      <c r="E33" s="227" t="s">
        <v>6</v>
      </c>
      <c r="F33" s="235" t="s">
        <v>7</v>
      </c>
      <c r="G33" s="207"/>
      <c r="H33" s="244" t="s">
        <v>14</v>
      </c>
      <c r="I33" s="227" t="s">
        <v>6</v>
      </c>
      <c r="J33" s="235" t="s">
        <v>7</v>
      </c>
      <c r="K33" s="231" t="s">
        <v>78</v>
      </c>
    </row>
    <row r="34" spans="1:11" x14ac:dyDescent="0.25">
      <c r="A34" s="4" t="s">
        <v>28</v>
      </c>
      <c r="B34" s="234"/>
      <c r="C34" s="209"/>
      <c r="D34" s="232"/>
      <c r="E34" s="227"/>
      <c r="F34" s="236"/>
      <c r="G34" s="1"/>
      <c r="H34" s="245"/>
      <c r="I34" s="227"/>
      <c r="J34" s="236"/>
      <c r="K34" s="232"/>
    </row>
    <row r="35" spans="1:11" x14ac:dyDescent="0.25">
      <c r="A35" s="2" t="str">
        <f>IF(A24=0,"",A24)</f>
        <v>Residential</v>
      </c>
      <c r="B35" s="7" t="s">
        <v>4</v>
      </c>
      <c r="C35" s="156"/>
      <c r="D35" s="191">
        <f>D13</f>
        <v>456715993.31772995</v>
      </c>
      <c r="E35" s="11">
        <v>7.1999999999999998E-3</v>
      </c>
      <c r="F35" s="192">
        <f>D35*E35</f>
        <v>3288355.1518876557</v>
      </c>
      <c r="H35" s="22">
        <f>H13</f>
        <v>17090770.091974139</v>
      </c>
      <c r="I35" s="11">
        <f>E35</f>
        <v>7.1999999999999998E-3</v>
      </c>
      <c r="J35" s="192">
        <f>H35*I35</f>
        <v>123053.5446622138</v>
      </c>
      <c r="K35" s="227"/>
    </row>
    <row r="36" spans="1:11" x14ac:dyDescent="0.25">
      <c r="A36" s="2" t="str">
        <f t="shared" ref="A36:A41" si="3">IF(A25=0,"",A25)</f>
        <v>General Service &lt; 50 kW</v>
      </c>
      <c r="B36" s="7" t="s">
        <v>4</v>
      </c>
      <c r="C36" s="157"/>
      <c r="D36" s="191">
        <f>D14</f>
        <v>113034585.56628406</v>
      </c>
      <c r="E36" s="195">
        <v>6.4999999999999997E-3</v>
      </c>
      <c r="F36" s="192">
        <f t="shared" ref="F36:F41" si="4">D36*E36</f>
        <v>734724.80618084641</v>
      </c>
      <c r="H36" s="22">
        <f>H14</f>
        <v>24498244.597918618</v>
      </c>
      <c r="I36" s="11">
        <f t="shared" ref="I36:I40" si="5">E36</f>
        <v>6.4999999999999997E-3</v>
      </c>
      <c r="J36" s="192">
        <f t="shared" ref="J36:J41" si="6">H36*I36</f>
        <v>159238.58988647102</v>
      </c>
      <c r="K36" s="227"/>
    </row>
    <row r="37" spans="1:11" x14ac:dyDescent="0.25">
      <c r="A37" s="2" t="str">
        <f t="shared" si="3"/>
        <v>General Service 50 to 4999 kW</v>
      </c>
      <c r="B37" s="7" t="s">
        <v>5</v>
      </c>
      <c r="C37" s="156"/>
      <c r="D37" s="191">
        <v>68796.530631726564</v>
      </c>
      <c r="E37" s="11">
        <v>2.6863999999999999</v>
      </c>
      <c r="F37" s="192">
        <f t="shared" si="4"/>
        <v>184814.99988907023</v>
      </c>
      <c r="H37" s="22">
        <v>1706460.4755154846</v>
      </c>
      <c r="I37" s="11">
        <f t="shared" si="5"/>
        <v>2.6863999999999999</v>
      </c>
      <c r="J37" s="192">
        <f t="shared" si="6"/>
        <v>4584235.4214247977</v>
      </c>
      <c r="K37" s="227"/>
    </row>
    <row r="38" spans="1:11" x14ac:dyDescent="0.25">
      <c r="A38" s="2" t="str">
        <f t="shared" si="3"/>
        <v>Unmetered Scattered Load</v>
      </c>
      <c r="B38" s="7" t="s">
        <v>4</v>
      </c>
      <c r="C38" s="156"/>
      <c r="D38" s="191">
        <f>D16</f>
        <v>1544163.185471622</v>
      </c>
      <c r="E38" s="11">
        <v>6.4999999999999997E-3</v>
      </c>
      <c r="F38" s="192">
        <f t="shared" si="4"/>
        <v>10037.060705565544</v>
      </c>
      <c r="H38" s="22">
        <f>H16</f>
        <v>0</v>
      </c>
      <c r="I38" s="11">
        <f t="shared" si="5"/>
        <v>6.4999999999999997E-3</v>
      </c>
      <c r="J38" s="192">
        <f t="shared" si="6"/>
        <v>0</v>
      </c>
      <c r="K38" s="227"/>
    </row>
    <row r="39" spans="1:11" x14ac:dyDescent="0.25">
      <c r="A39" s="2" t="str">
        <f t="shared" si="3"/>
        <v>Sentinel Lighting</v>
      </c>
      <c r="B39" s="7" t="s">
        <v>5</v>
      </c>
      <c r="C39" s="156"/>
      <c r="D39" s="191">
        <v>653.01466602451069</v>
      </c>
      <c r="E39" s="11">
        <v>1.9888999999999999</v>
      </c>
      <c r="F39" s="192">
        <f t="shared" si="4"/>
        <v>1298.7808692561493</v>
      </c>
      <c r="H39" s="22">
        <v>0</v>
      </c>
      <c r="I39" s="11">
        <f t="shared" si="5"/>
        <v>1.9888999999999999</v>
      </c>
      <c r="J39" s="192">
        <f t="shared" si="6"/>
        <v>0</v>
      </c>
      <c r="K39" s="227"/>
    </row>
    <row r="40" spans="1:11" x14ac:dyDescent="0.25">
      <c r="A40" s="2" t="str">
        <f t="shared" si="3"/>
        <v xml:space="preserve">Street Lighting </v>
      </c>
      <c r="B40" s="7" t="s">
        <v>5</v>
      </c>
      <c r="C40" s="156"/>
      <c r="D40" s="191">
        <v>0</v>
      </c>
      <c r="E40" s="11">
        <v>2.0306000000000002</v>
      </c>
      <c r="F40" s="192">
        <f t="shared" si="4"/>
        <v>0</v>
      </c>
      <c r="H40" s="22">
        <v>12544.534497773584</v>
      </c>
      <c r="I40" s="11">
        <f t="shared" si="5"/>
        <v>2.0306000000000002</v>
      </c>
      <c r="J40" s="192">
        <f t="shared" si="6"/>
        <v>25472.931751179043</v>
      </c>
      <c r="K40" s="227"/>
    </row>
    <row r="41" spans="1:11" x14ac:dyDescent="0.25">
      <c r="A41" s="2" t="str">
        <f t="shared" si="3"/>
        <v/>
      </c>
      <c r="B41" s="7"/>
      <c r="C41" s="156"/>
      <c r="D41" s="191"/>
      <c r="E41" s="11"/>
      <c r="F41" s="192">
        <f t="shared" si="4"/>
        <v>0</v>
      </c>
      <c r="H41" s="22"/>
      <c r="I41" s="11"/>
      <c r="J41" s="192">
        <f t="shared" si="6"/>
        <v>0</v>
      </c>
      <c r="K41" s="227"/>
    </row>
    <row r="42" spans="1:11" x14ac:dyDescent="0.25">
      <c r="A42" s="4" t="s">
        <v>16</v>
      </c>
      <c r="B42" s="7"/>
      <c r="C42" s="155"/>
      <c r="D42" s="76"/>
      <c r="E42" s="12"/>
      <c r="F42" s="76">
        <f>SUM(F35:F41)</f>
        <v>4219230.7995323939</v>
      </c>
      <c r="G42" s="12"/>
      <c r="H42" s="134"/>
      <c r="I42" s="12"/>
      <c r="J42" s="76">
        <f>SUM(J35:J41)</f>
        <v>4892000.4877246618</v>
      </c>
      <c r="K42" s="192">
        <f>F42+J42</f>
        <v>9111231.2872570567</v>
      </c>
    </row>
    <row r="43" spans="1:11" ht="5.25" customHeight="1" x14ac:dyDescent="0.25">
      <c r="C43" s="5"/>
    </row>
    <row r="44" spans="1:11" x14ac:dyDescent="0.25">
      <c r="A44" s="3" t="s">
        <v>8</v>
      </c>
      <c r="B44" s="233"/>
      <c r="C44" s="152"/>
      <c r="D44" s="231" t="s">
        <v>14</v>
      </c>
      <c r="E44" s="227" t="s">
        <v>6</v>
      </c>
      <c r="F44" s="235" t="s">
        <v>7</v>
      </c>
      <c r="G44" s="207"/>
      <c r="H44" s="244" t="s">
        <v>14</v>
      </c>
      <c r="I44" s="227" t="s">
        <v>6</v>
      </c>
      <c r="J44" s="235" t="s">
        <v>7</v>
      </c>
      <c r="K44" s="231" t="s">
        <v>78</v>
      </c>
    </row>
    <row r="45" spans="1:11" x14ac:dyDescent="0.25">
      <c r="A45" s="4" t="s">
        <v>28</v>
      </c>
      <c r="B45" s="234"/>
      <c r="C45" s="209"/>
      <c r="D45" s="232"/>
      <c r="E45" s="227"/>
      <c r="F45" s="236"/>
      <c r="G45" s="1"/>
      <c r="H45" s="245"/>
      <c r="I45" s="227"/>
      <c r="J45" s="236"/>
      <c r="K45" s="232"/>
    </row>
    <row r="46" spans="1:11" x14ac:dyDescent="0.25">
      <c r="A46" s="2" t="str">
        <f>IF(A35=0,"",A35)</f>
        <v>Residential</v>
      </c>
      <c r="B46" s="7" t="s">
        <v>4</v>
      </c>
      <c r="C46" s="156"/>
      <c r="D46" s="191">
        <f>D35</f>
        <v>456715993.31772995</v>
      </c>
      <c r="E46" s="195">
        <v>5.1999999999999998E-3</v>
      </c>
      <c r="F46" s="192">
        <f>D46*E46</f>
        <v>2374923.1652521957</v>
      </c>
      <c r="H46" s="22">
        <f>H35</f>
        <v>17090770.091974139</v>
      </c>
      <c r="I46" s="195">
        <f>E46</f>
        <v>5.1999999999999998E-3</v>
      </c>
      <c r="J46" s="192">
        <f>H46*I46</f>
        <v>88872.004478265517</v>
      </c>
      <c r="K46" s="227"/>
    </row>
    <row r="47" spans="1:11" x14ac:dyDescent="0.25">
      <c r="A47" s="2" t="str">
        <f t="shared" ref="A47:A52" si="7">IF(A36=0,"",A36)</f>
        <v>General Service &lt; 50 kW</v>
      </c>
      <c r="B47" s="7" t="s">
        <v>4</v>
      </c>
      <c r="C47" s="91"/>
      <c r="D47" s="191">
        <f t="shared" ref="D47:D51" si="8">D36</f>
        <v>113034585.56628406</v>
      </c>
      <c r="E47" s="195">
        <v>4.4999999999999997E-3</v>
      </c>
      <c r="F47" s="192">
        <f t="shared" ref="F47:F52" si="9">D47*E47</f>
        <v>508655.63504827826</v>
      </c>
      <c r="H47" s="22">
        <f t="shared" ref="H47:H52" si="10">H36</f>
        <v>24498244.597918618</v>
      </c>
      <c r="I47" s="195">
        <f t="shared" ref="I47:I51" si="11">E47</f>
        <v>4.4999999999999997E-3</v>
      </c>
      <c r="J47" s="192">
        <f t="shared" ref="J47:J52" si="12">H47*I47</f>
        <v>110242.10069063377</v>
      </c>
      <c r="K47" s="227"/>
    </row>
    <row r="48" spans="1:11" x14ac:dyDescent="0.25">
      <c r="A48" s="2" t="str">
        <f t="shared" si="7"/>
        <v>General Service 50 to 4999 kW</v>
      </c>
      <c r="B48" s="7" t="s">
        <v>5</v>
      </c>
      <c r="C48" s="19"/>
      <c r="D48" s="191">
        <f t="shared" si="8"/>
        <v>68796.530631726564</v>
      </c>
      <c r="E48" s="195">
        <v>1.8247</v>
      </c>
      <c r="F48" s="192">
        <f t="shared" si="9"/>
        <v>125533.02944371146</v>
      </c>
      <c r="H48" s="22">
        <f t="shared" si="10"/>
        <v>1706460.4755154846</v>
      </c>
      <c r="I48" s="195">
        <f t="shared" si="11"/>
        <v>1.8247</v>
      </c>
      <c r="J48" s="192">
        <f t="shared" si="12"/>
        <v>3113778.4296731045</v>
      </c>
      <c r="K48" s="227"/>
    </row>
    <row r="49" spans="1:11" x14ac:dyDescent="0.25">
      <c r="A49" s="2" t="str">
        <f t="shared" si="7"/>
        <v>Unmetered Scattered Load</v>
      </c>
      <c r="B49" s="7" t="s">
        <v>4</v>
      </c>
      <c r="C49" s="19"/>
      <c r="D49" s="191">
        <f t="shared" si="8"/>
        <v>1544163.185471622</v>
      </c>
      <c r="E49" s="195">
        <v>4.4999999999999997E-3</v>
      </c>
      <c r="F49" s="192">
        <f t="shared" si="9"/>
        <v>6948.7343346222988</v>
      </c>
      <c r="H49" s="22">
        <f t="shared" si="10"/>
        <v>0</v>
      </c>
      <c r="I49" s="195">
        <f t="shared" si="11"/>
        <v>4.4999999999999997E-3</v>
      </c>
      <c r="J49" s="192">
        <f t="shared" si="12"/>
        <v>0</v>
      </c>
      <c r="K49" s="227"/>
    </row>
    <row r="50" spans="1:11" x14ac:dyDescent="0.25">
      <c r="A50" s="2" t="str">
        <f t="shared" si="7"/>
        <v>Sentinel Lighting</v>
      </c>
      <c r="B50" s="7" t="s">
        <v>5</v>
      </c>
      <c r="C50" s="19"/>
      <c r="D50" s="191">
        <f t="shared" si="8"/>
        <v>653.01466602451069</v>
      </c>
      <c r="E50" s="11">
        <v>1.5247999999999999</v>
      </c>
      <c r="F50" s="192">
        <f t="shared" si="9"/>
        <v>995.71676275417383</v>
      </c>
      <c r="H50" s="22">
        <f t="shared" si="10"/>
        <v>0</v>
      </c>
      <c r="I50" s="11">
        <f t="shared" si="11"/>
        <v>1.5247999999999999</v>
      </c>
      <c r="J50" s="192">
        <f t="shared" si="12"/>
        <v>0</v>
      </c>
      <c r="K50" s="227"/>
    </row>
    <row r="51" spans="1:11" x14ac:dyDescent="0.25">
      <c r="A51" s="2" t="str">
        <f t="shared" si="7"/>
        <v xml:space="preserve">Street Lighting </v>
      </c>
      <c r="B51" s="7" t="s">
        <v>5</v>
      </c>
      <c r="C51" s="19"/>
      <c r="D51" s="191">
        <f t="shared" si="8"/>
        <v>0</v>
      </c>
      <c r="E51" s="11">
        <v>1.4017999999999999</v>
      </c>
      <c r="F51" s="192">
        <f t="shared" si="9"/>
        <v>0</v>
      </c>
      <c r="H51" s="22">
        <f t="shared" si="10"/>
        <v>12544.534497773584</v>
      </c>
      <c r="I51" s="11">
        <f t="shared" si="11"/>
        <v>1.4017999999999999</v>
      </c>
      <c r="J51" s="192">
        <f t="shared" si="12"/>
        <v>17584.928458979008</v>
      </c>
      <c r="K51" s="227"/>
    </row>
    <row r="52" spans="1:11" x14ac:dyDescent="0.25">
      <c r="A52" s="2" t="str">
        <f t="shared" si="7"/>
        <v/>
      </c>
      <c r="B52" s="7"/>
      <c r="C52" s="19"/>
      <c r="D52" s="191"/>
      <c r="E52" s="11"/>
      <c r="F52" s="192">
        <f t="shared" si="9"/>
        <v>0</v>
      </c>
      <c r="H52" s="22">
        <f t="shared" si="10"/>
        <v>0</v>
      </c>
      <c r="I52" s="11"/>
      <c r="J52" s="192">
        <f t="shared" si="12"/>
        <v>0</v>
      </c>
      <c r="K52" s="227"/>
    </row>
    <row r="53" spans="1:11" x14ac:dyDescent="0.25">
      <c r="A53" s="4" t="s">
        <v>16</v>
      </c>
      <c r="B53" s="7"/>
      <c r="C53" s="159"/>
      <c r="D53" s="76"/>
      <c r="E53" s="12"/>
      <c r="F53" s="76">
        <f>SUM(F46:F52)</f>
        <v>3017056.280841562</v>
      </c>
      <c r="G53" s="12"/>
      <c r="H53" s="2"/>
      <c r="I53" s="12"/>
      <c r="J53" s="76">
        <f>SUM(J46:J52)</f>
        <v>3330477.463300983</v>
      </c>
      <c r="K53" s="192">
        <f>F53+J53</f>
        <v>6347533.7441425454</v>
      </c>
    </row>
    <row r="54" spans="1:11" ht="7.5" customHeight="1" x14ac:dyDescent="0.25">
      <c r="C54" s="5"/>
    </row>
    <row r="55" spans="1:11" x14ac:dyDescent="0.25">
      <c r="A55" s="3" t="s">
        <v>9</v>
      </c>
      <c r="B55" s="231"/>
      <c r="C55" s="210"/>
      <c r="D55" s="231" t="s">
        <v>15</v>
      </c>
      <c r="E55" s="227" t="s">
        <v>6</v>
      </c>
      <c r="F55" s="235" t="s">
        <v>7</v>
      </c>
      <c r="G55" s="207"/>
      <c r="H55" s="244" t="s">
        <v>14</v>
      </c>
      <c r="I55" s="227" t="s">
        <v>6</v>
      </c>
      <c r="J55" s="227" t="s">
        <v>7</v>
      </c>
      <c r="K55" s="231" t="s">
        <v>78</v>
      </c>
    </row>
    <row r="56" spans="1:11" x14ac:dyDescent="0.25">
      <c r="A56" s="4" t="s">
        <v>28</v>
      </c>
      <c r="B56" s="232"/>
      <c r="C56" s="207"/>
      <c r="D56" s="232"/>
      <c r="E56" s="227"/>
      <c r="F56" s="236"/>
      <c r="G56" s="1"/>
      <c r="H56" s="245"/>
      <c r="I56" s="227"/>
      <c r="J56" s="227"/>
      <c r="K56" s="232"/>
    </row>
    <row r="57" spans="1:11" x14ac:dyDescent="0.25">
      <c r="A57" s="2" t="str">
        <f>IF(A46=0,"",A46)</f>
        <v>Residential</v>
      </c>
      <c r="B57" s="12" t="s">
        <v>4</v>
      </c>
      <c r="C57" s="156"/>
      <c r="D57" s="191">
        <f>D13</f>
        <v>456715993.31772995</v>
      </c>
      <c r="E57" s="195">
        <v>3.3999999999999998E-3</v>
      </c>
      <c r="F57" s="192">
        <f>D57*E57</f>
        <v>1552834.3772802819</v>
      </c>
      <c r="H57" s="22">
        <f>H13</f>
        <v>17090770.091974139</v>
      </c>
      <c r="I57" s="195">
        <f>E57</f>
        <v>3.3999999999999998E-3</v>
      </c>
      <c r="J57" s="192">
        <f>H57*I57</f>
        <v>58108.618312712068</v>
      </c>
      <c r="K57" s="227"/>
    </row>
    <row r="58" spans="1:11" x14ac:dyDescent="0.25">
      <c r="A58" s="2" t="str">
        <f t="shared" ref="A58:A62" si="13">IF(A47=0,"",A47)</f>
        <v>General Service &lt; 50 kW</v>
      </c>
      <c r="B58" s="12" t="s">
        <v>4</v>
      </c>
      <c r="C58" s="156"/>
      <c r="D58" s="191">
        <f t="shared" ref="D58:D62" si="14">D14</f>
        <v>113034585.56628406</v>
      </c>
      <c r="E58" s="195">
        <v>3.3999999999999998E-3</v>
      </c>
      <c r="F58" s="192">
        <f t="shared" ref="F58:F63" si="15">D58*E58</f>
        <v>384317.5909253658</v>
      </c>
      <c r="H58" s="22">
        <f t="shared" ref="H58:H62" si="16">H14</f>
        <v>24498244.597918618</v>
      </c>
      <c r="I58" s="195">
        <f t="shared" ref="I58:I62" si="17">E58</f>
        <v>3.3999999999999998E-3</v>
      </c>
      <c r="J58" s="192">
        <f t="shared" ref="J58:J63" si="18">H58*I58</f>
        <v>83294.031632923303</v>
      </c>
      <c r="K58" s="227"/>
    </row>
    <row r="59" spans="1:11" x14ac:dyDescent="0.25">
      <c r="A59" s="2" t="s">
        <v>93</v>
      </c>
      <c r="B59" s="12" t="s">
        <v>4</v>
      </c>
      <c r="C59" s="156"/>
      <c r="D59" s="191">
        <f t="shared" si="14"/>
        <v>28033876.467172571</v>
      </c>
      <c r="E59" s="195">
        <v>3.3999999999999998E-3</v>
      </c>
      <c r="F59" s="192">
        <f t="shared" si="15"/>
        <v>95315.179988386735</v>
      </c>
      <c r="H59" s="22">
        <f>H15-H63</f>
        <v>472393621.9723801</v>
      </c>
      <c r="I59" s="195">
        <f t="shared" si="17"/>
        <v>3.3999999999999998E-3</v>
      </c>
      <c r="J59" s="192">
        <f t="shared" si="18"/>
        <v>1606138.3147060922</v>
      </c>
      <c r="K59" s="227"/>
    </row>
    <row r="60" spans="1:11" x14ac:dyDescent="0.25">
      <c r="A60" s="2" t="str">
        <f t="shared" si="13"/>
        <v>Unmetered Scattered Load</v>
      </c>
      <c r="B60" s="12" t="s">
        <v>4</v>
      </c>
      <c r="C60" s="156"/>
      <c r="D60" s="191">
        <f t="shared" si="14"/>
        <v>1544163.185471622</v>
      </c>
      <c r="E60" s="195">
        <v>3.3999999999999998E-3</v>
      </c>
      <c r="F60" s="192">
        <f t="shared" si="15"/>
        <v>5250.1548306035147</v>
      </c>
      <c r="H60" s="22">
        <f t="shared" si="16"/>
        <v>0</v>
      </c>
      <c r="I60" s="195">
        <f t="shared" si="17"/>
        <v>3.3999999999999998E-3</v>
      </c>
      <c r="J60" s="192">
        <f t="shared" si="18"/>
        <v>0</v>
      </c>
      <c r="K60" s="227"/>
    </row>
    <row r="61" spans="1:11" x14ac:dyDescent="0.25">
      <c r="A61" s="2" t="str">
        <f t="shared" si="13"/>
        <v>Sentinel Lighting</v>
      </c>
      <c r="B61" s="12" t="s">
        <v>4</v>
      </c>
      <c r="C61" s="156"/>
      <c r="D61" s="191">
        <f t="shared" si="14"/>
        <v>227842.75057225043</v>
      </c>
      <c r="E61" s="195">
        <v>3.3999999999999998E-3</v>
      </c>
      <c r="F61" s="192">
        <f t="shared" si="15"/>
        <v>774.66535194565142</v>
      </c>
      <c r="H61" s="22">
        <f t="shared" si="16"/>
        <v>0</v>
      </c>
      <c r="I61" s="195">
        <f t="shared" si="17"/>
        <v>3.3999999999999998E-3</v>
      </c>
      <c r="J61" s="192">
        <f t="shared" si="18"/>
        <v>0</v>
      </c>
      <c r="K61" s="227"/>
    </row>
    <row r="62" spans="1:11" x14ac:dyDescent="0.25">
      <c r="A62" s="2" t="str">
        <f t="shared" si="13"/>
        <v xml:space="preserve">Street Lighting </v>
      </c>
      <c r="B62" s="12" t="s">
        <v>4</v>
      </c>
      <c r="C62" s="156"/>
      <c r="D62" s="191">
        <f t="shared" si="14"/>
        <v>0</v>
      </c>
      <c r="E62" s="195">
        <v>3.3999999999999998E-3</v>
      </c>
      <c r="F62" s="192">
        <f t="shared" si="15"/>
        <v>0</v>
      </c>
      <c r="H62" s="22">
        <f t="shared" si="16"/>
        <v>4657773.6968386797</v>
      </c>
      <c r="I62" s="195">
        <f t="shared" si="17"/>
        <v>3.3999999999999998E-3</v>
      </c>
      <c r="J62" s="192">
        <f t="shared" si="18"/>
        <v>15836.43056925151</v>
      </c>
      <c r="K62" s="227"/>
    </row>
    <row r="63" spans="1:11" x14ac:dyDescent="0.25">
      <c r="A63" s="2" t="s">
        <v>94</v>
      </c>
      <c r="B63" s="12" t="s">
        <v>4</v>
      </c>
      <c r="C63" s="156"/>
      <c r="D63" s="191"/>
      <c r="E63" s="11"/>
      <c r="F63" s="192">
        <f t="shared" si="15"/>
        <v>0</v>
      </c>
      <c r="H63" s="22">
        <f>'2021 Commodity Expense Forecast'!F31</f>
        <v>222971416.45954496</v>
      </c>
      <c r="I63" s="211">
        <v>3.6889945370134568E-3</v>
      </c>
      <c r="J63" s="192">
        <f t="shared" si="18"/>
        <v>822540.33722941368</v>
      </c>
      <c r="K63" s="227"/>
    </row>
    <row r="64" spans="1:11" x14ac:dyDescent="0.25">
      <c r="A64" s="4" t="s">
        <v>16</v>
      </c>
      <c r="B64" s="7"/>
      <c r="C64" s="155"/>
      <c r="D64" s="76"/>
      <c r="E64" s="12"/>
      <c r="F64" s="76">
        <f>SUM(F57:F63)</f>
        <v>2038491.9683765837</v>
      </c>
      <c r="G64" s="12"/>
      <c r="H64" s="2"/>
      <c r="I64" s="12"/>
      <c r="J64" s="76">
        <f>SUM(J57:J63)</f>
        <v>2585917.732450393</v>
      </c>
      <c r="K64" s="192">
        <f>F64+J64</f>
        <v>4624409.7008269764</v>
      </c>
    </row>
    <row r="65" spans="1:11" ht="6.75" customHeight="1" x14ac:dyDescent="0.25"/>
    <row r="66" spans="1:11" x14ac:dyDescent="0.25">
      <c r="A66" s="3" t="s">
        <v>10</v>
      </c>
      <c r="B66" s="231"/>
      <c r="C66" s="152"/>
      <c r="D66" s="235" t="s">
        <v>15</v>
      </c>
      <c r="E66" s="233" t="s">
        <v>6</v>
      </c>
      <c r="F66" s="227" t="s">
        <v>7</v>
      </c>
      <c r="G66" s="207"/>
      <c r="H66" s="244" t="s">
        <v>14</v>
      </c>
      <c r="I66" s="233" t="s">
        <v>6</v>
      </c>
      <c r="J66" s="227" t="s">
        <v>7</v>
      </c>
      <c r="K66" s="231" t="s">
        <v>78</v>
      </c>
    </row>
    <row r="67" spans="1:11" x14ac:dyDescent="0.25">
      <c r="A67" s="4" t="s">
        <v>28</v>
      </c>
      <c r="B67" s="232"/>
      <c r="C67" s="152"/>
      <c r="D67" s="236"/>
      <c r="E67" s="234"/>
      <c r="F67" s="227"/>
      <c r="G67" s="1"/>
      <c r="H67" s="245"/>
      <c r="I67" s="234"/>
      <c r="J67" s="227"/>
      <c r="K67" s="232"/>
    </row>
    <row r="68" spans="1:11" x14ac:dyDescent="0.25">
      <c r="A68" s="2" t="s">
        <v>87</v>
      </c>
      <c r="B68" s="7" t="s">
        <v>4</v>
      </c>
      <c r="C68" s="156"/>
      <c r="D68" s="191">
        <f>D13</f>
        <v>456715993.31772995</v>
      </c>
      <c r="E68" s="11">
        <v>5.0000000000000001E-4</v>
      </c>
      <c r="F68" s="192">
        <f>D68*E68</f>
        <v>228357.99665886498</v>
      </c>
      <c r="H68" s="22">
        <f>H13</f>
        <v>17090770.091974139</v>
      </c>
      <c r="I68" s="11">
        <f>E68</f>
        <v>5.0000000000000001E-4</v>
      </c>
      <c r="J68" s="192">
        <f>H68*I68</f>
        <v>8545.38504598707</v>
      </c>
      <c r="K68" s="227"/>
    </row>
    <row r="69" spans="1:11" x14ac:dyDescent="0.25">
      <c r="A69" s="2" t="s">
        <v>88</v>
      </c>
      <c r="B69" s="7" t="s">
        <v>4</v>
      </c>
      <c r="C69" s="156"/>
      <c r="D69" s="191">
        <f t="shared" ref="D69:D74" si="19">D14</f>
        <v>113034585.56628406</v>
      </c>
      <c r="E69" s="11">
        <f>E68</f>
        <v>5.0000000000000001E-4</v>
      </c>
      <c r="F69" s="192">
        <f t="shared" ref="F69:F74" si="20">D69*E69</f>
        <v>56517.292783142031</v>
      </c>
      <c r="H69" s="22">
        <f t="shared" ref="H69:H74" si="21">H14</f>
        <v>24498244.597918618</v>
      </c>
      <c r="I69" s="11">
        <f t="shared" ref="I69:I74" si="22">E69</f>
        <v>5.0000000000000001E-4</v>
      </c>
      <c r="J69" s="192">
        <f t="shared" ref="J69:J74" si="23">H69*I69</f>
        <v>12249.12229895931</v>
      </c>
      <c r="K69" s="227"/>
    </row>
    <row r="70" spans="1:11" x14ac:dyDescent="0.25">
      <c r="A70" s="2" t="s">
        <v>89</v>
      </c>
      <c r="B70" s="7" t="s">
        <v>4</v>
      </c>
      <c r="C70" s="156"/>
      <c r="D70" s="191">
        <f t="shared" si="19"/>
        <v>28033876.467172571</v>
      </c>
      <c r="E70" s="11">
        <f t="shared" ref="E70:E74" si="24">E69</f>
        <v>5.0000000000000001E-4</v>
      </c>
      <c r="F70" s="192">
        <f t="shared" si="20"/>
        <v>14016.938233586285</v>
      </c>
      <c r="H70" s="22">
        <f t="shared" si="21"/>
        <v>695365038.43192506</v>
      </c>
      <c r="I70" s="11">
        <f t="shared" si="22"/>
        <v>5.0000000000000001E-4</v>
      </c>
      <c r="J70" s="192">
        <f t="shared" si="23"/>
        <v>347682.51921596256</v>
      </c>
      <c r="K70" s="227"/>
    </row>
    <row r="71" spans="1:11" x14ac:dyDescent="0.25">
      <c r="A71" s="2" t="s">
        <v>90</v>
      </c>
      <c r="B71" s="7" t="s">
        <v>4</v>
      </c>
      <c r="C71" s="156"/>
      <c r="D71" s="191">
        <f t="shared" si="19"/>
        <v>1544163.185471622</v>
      </c>
      <c r="E71" s="11">
        <f t="shared" si="24"/>
        <v>5.0000000000000001E-4</v>
      </c>
      <c r="F71" s="192">
        <f t="shared" si="20"/>
        <v>772.081592735811</v>
      </c>
      <c r="H71" s="22">
        <f t="shared" si="21"/>
        <v>0</v>
      </c>
      <c r="I71" s="11">
        <f t="shared" si="22"/>
        <v>5.0000000000000001E-4</v>
      </c>
      <c r="J71" s="192">
        <f t="shared" si="23"/>
        <v>0</v>
      </c>
      <c r="K71" s="227"/>
    </row>
    <row r="72" spans="1:11" x14ac:dyDescent="0.25">
      <c r="A72" s="2" t="s">
        <v>91</v>
      </c>
      <c r="B72" s="7" t="s">
        <v>4</v>
      </c>
      <c r="C72" s="156"/>
      <c r="D72" s="191">
        <f t="shared" si="19"/>
        <v>227842.75057225043</v>
      </c>
      <c r="E72" s="11">
        <f t="shared" si="24"/>
        <v>5.0000000000000001E-4</v>
      </c>
      <c r="F72" s="192">
        <f t="shared" si="20"/>
        <v>113.92137528612521</v>
      </c>
      <c r="H72" s="22">
        <f t="shared" si="21"/>
        <v>0</v>
      </c>
      <c r="I72" s="11">
        <f t="shared" si="22"/>
        <v>5.0000000000000001E-4</v>
      </c>
      <c r="J72" s="192">
        <f t="shared" si="23"/>
        <v>0</v>
      </c>
      <c r="K72" s="227"/>
    </row>
    <row r="73" spans="1:11" x14ac:dyDescent="0.25">
      <c r="A73" s="2" t="s">
        <v>92</v>
      </c>
      <c r="B73" s="7" t="s">
        <v>4</v>
      </c>
      <c r="C73" s="156"/>
      <c r="D73" s="191">
        <f t="shared" si="19"/>
        <v>0</v>
      </c>
      <c r="E73" s="11">
        <f t="shared" si="24"/>
        <v>5.0000000000000001E-4</v>
      </c>
      <c r="F73" s="192">
        <f t="shared" si="20"/>
        <v>0</v>
      </c>
      <c r="H73" s="22">
        <f t="shared" si="21"/>
        <v>4657773.6968386797</v>
      </c>
      <c r="I73" s="11">
        <f t="shared" si="22"/>
        <v>5.0000000000000001E-4</v>
      </c>
      <c r="J73" s="192">
        <f t="shared" si="23"/>
        <v>2328.8868484193399</v>
      </c>
      <c r="K73" s="227"/>
    </row>
    <row r="74" spans="1:11" x14ac:dyDescent="0.25">
      <c r="A74" s="2"/>
      <c r="B74" s="7" t="s">
        <v>4</v>
      </c>
      <c r="C74" s="156"/>
      <c r="D74" s="191">
        <f t="shared" si="19"/>
        <v>0</v>
      </c>
      <c r="E74" s="11">
        <f t="shared" si="24"/>
        <v>5.0000000000000001E-4</v>
      </c>
      <c r="F74" s="192">
        <f t="shared" si="20"/>
        <v>0</v>
      </c>
      <c r="H74" s="22">
        <f t="shared" si="21"/>
        <v>0</v>
      </c>
      <c r="I74" s="11">
        <f t="shared" si="22"/>
        <v>5.0000000000000001E-4</v>
      </c>
      <c r="J74" s="192">
        <f t="shared" si="23"/>
        <v>0</v>
      </c>
      <c r="K74" s="227"/>
    </row>
    <row r="75" spans="1:11" x14ac:dyDescent="0.25">
      <c r="A75" s="4" t="s">
        <v>16</v>
      </c>
      <c r="B75" s="7"/>
      <c r="C75" s="163"/>
      <c r="D75" s="76"/>
      <c r="E75" s="12"/>
      <c r="F75" s="76">
        <f>SUM(F68:F74)</f>
        <v>299778.23064361524</v>
      </c>
      <c r="G75" s="12"/>
      <c r="H75" s="2"/>
      <c r="I75" s="12"/>
      <c r="J75" s="76">
        <f>SUM(J68:J74)</f>
        <v>370805.91340932826</v>
      </c>
      <c r="K75" s="192">
        <f>F75+J75</f>
        <v>670584.14405294345</v>
      </c>
    </row>
    <row r="76" spans="1:11" ht="8.25" customHeight="1" x14ac:dyDescent="0.25">
      <c r="C76" s="5"/>
    </row>
    <row r="77" spans="1:11" x14ac:dyDescent="0.25">
      <c r="A77" s="3" t="s">
        <v>29</v>
      </c>
      <c r="B77" s="231"/>
      <c r="C77" s="152"/>
      <c r="D77" s="235" t="s">
        <v>14</v>
      </c>
      <c r="E77" s="233" t="s">
        <v>6</v>
      </c>
      <c r="F77" s="227" t="s">
        <v>7</v>
      </c>
      <c r="G77" s="207"/>
      <c r="H77" s="244" t="s">
        <v>14</v>
      </c>
      <c r="I77" s="233" t="s">
        <v>6</v>
      </c>
      <c r="J77" s="227" t="s">
        <v>7</v>
      </c>
      <c r="K77" s="231" t="s">
        <v>78</v>
      </c>
    </row>
    <row r="78" spans="1:11" x14ac:dyDescent="0.25">
      <c r="A78" s="4" t="s">
        <v>28</v>
      </c>
      <c r="B78" s="232"/>
      <c r="C78" s="152"/>
      <c r="D78" s="236"/>
      <c r="E78" s="234"/>
      <c r="F78" s="227"/>
      <c r="G78" s="1"/>
      <c r="H78" s="245"/>
      <c r="I78" s="234"/>
      <c r="J78" s="227"/>
      <c r="K78" s="232"/>
    </row>
    <row r="79" spans="1:11" x14ac:dyDescent="0.25">
      <c r="A79" s="2" t="str">
        <f t="shared" ref="A79:A85" si="25">IF(A68=0,"",A68)</f>
        <v>Residential</v>
      </c>
      <c r="B79" s="7" t="s">
        <v>55</v>
      </c>
      <c r="C79" s="156"/>
      <c r="D79" s="191">
        <v>438215737.6532988</v>
      </c>
      <c r="E79" s="11">
        <v>1.4E-3</v>
      </c>
      <c r="F79" s="192">
        <f>D79*E79</f>
        <v>613502.03271461825</v>
      </c>
      <c r="H79" s="22">
        <v>16398471.988054726</v>
      </c>
      <c r="I79" s="11">
        <f>E79</f>
        <v>1.4E-3</v>
      </c>
      <c r="J79" s="192">
        <f>H79*I79</f>
        <v>22957.860783276617</v>
      </c>
      <c r="K79" s="228"/>
    </row>
    <row r="80" spans="1:11" x14ac:dyDescent="0.25">
      <c r="A80" s="2" t="str">
        <f t="shared" si="25"/>
        <v>General Service &lt; 50 kW</v>
      </c>
      <c r="B80" s="7" t="s">
        <v>55</v>
      </c>
      <c r="C80" s="156"/>
      <c r="D80" s="185">
        <v>108455878.53063077</v>
      </c>
      <c r="E80" s="11">
        <v>1.1999999999999999E-3</v>
      </c>
      <c r="F80" s="192">
        <f t="shared" ref="F80:F85" si="26">D80*E80</f>
        <v>130147.05423675691</v>
      </c>
      <c r="H80" s="22">
        <v>23505890.936075289</v>
      </c>
      <c r="I80" s="11">
        <f t="shared" ref="I80:I84" si="27">E80</f>
        <v>1.1999999999999999E-3</v>
      </c>
      <c r="J80" s="192">
        <f t="shared" ref="J80:J85" si="28">H80*I80</f>
        <v>28207.069123290345</v>
      </c>
      <c r="K80" s="228"/>
    </row>
    <row r="81" spans="1:11" x14ac:dyDescent="0.25">
      <c r="A81" s="2" t="str">
        <f t="shared" si="25"/>
        <v>General Service 50 to 4999 kW</v>
      </c>
      <c r="B81" s="205" t="s">
        <v>5</v>
      </c>
      <c r="C81" s="160"/>
      <c r="D81" s="185">
        <v>68796.530631726564</v>
      </c>
      <c r="E81" s="11">
        <v>0.47760000000000002</v>
      </c>
      <c r="F81" s="192">
        <f t="shared" si="26"/>
        <v>32857.223029712608</v>
      </c>
      <c r="H81" s="22">
        <v>1706460.4755154846</v>
      </c>
      <c r="I81" s="11">
        <f t="shared" si="27"/>
        <v>0.47760000000000002</v>
      </c>
      <c r="J81" s="192">
        <f t="shared" si="28"/>
        <v>815005.5231061955</v>
      </c>
      <c r="K81" s="228"/>
    </row>
    <row r="82" spans="1:11" x14ac:dyDescent="0.25">
      <c r="A82" s="2" t="str">
        <f t="shared" si="25"/>
        <v>Unmetered Scattered Load</v>
      </c>
      <c r="B82" s="205" t="s">
        <v>55</v>
      </c>
      <c r="C82" s="160"/>
      <c r="D82" s="185">
        <v>1481613.5613358333</v>
      </c>
      <c r="E82" s="11">
        <v>1.1999999999999999E-3</v>
      </c>
      <c r="F82" s="192">
        <f t="shared" si="26"/>
        <v>1777.9362736029998</v>
      </c>
      <c r="H82" s="22">
        <v>0</v>
      </c>
      <c r="I82" s="11">
        <f t="shared" si="27"/>
        <v>1.1999999999999999E-3</v>
      </c>
      <c r="J82" s="192">
        <f t="shared" si="28"/>
        <v>0</v>
      </c>
      <c r="K82" s="228"/>
    </row>
    <row r="83" spans="1:11" x14ac:dyDescent="0.25">
      <c r="A83" s="2" t="str">
        <f t="shared" si="25"/>
        <v>Sentinel Lighting</v>
      </c>
      <c r="B83" s="205" t="s">
        <v>5</v>
      </c>
      <c r="C83" s="160"/>
      <c r="D83" s="191">
        <v>653.01466602451069</v>
      </c>
      <c r="E83" s="11">
        <v>0.39910000000000001</v>
      </c>
      <c r="F83" s="192">
        <f t="shared" si="26"/>
        <v>260.61815321038222</v>
      </c>
      <c r="H83" s="22">
        <v>0</v>
      </c>
      <c r="I83" s="11">
        <f t="shared" si="27"/>
        <v>0.39910000000000001</v>
      </c>
      <c r="J83" s="192">
        <f t="shared" si="28"/>
        <v>0</v>
      </c>
      <c r="K83" s="228"/>
    </row>
    <row r="84" spans="1:11" x14ac:dyDescent="0.25">
      <c r="A84" s="2" t="str">
        <f t="shared" si="25"/>
        <v xml:space="preserve">Street Lighting </v>
      </c>
      <c r="B84" s="205" t="s">
        <v>5</v>
      </c>
      <c r="C84" s="156"/>
      <c r="D84" s="191">
        <v>0</v>
      </c>
      <c r="E84" s="11">
        <v>0.3669</v>
      </c>
      <c r="F84" s="192">
        <f t="shared" si="26"/>
        <v>0</v>
      </c>
      <c r="H84" s="22">
        <v>12544.534497773584</v>
      </c>
      <c r="I84" s="11">
        <f t="shared" si="27"/>
        <v>0.3669</v>
      </c>
      <c r="J84" s="192">
        <f t="shared" si="28"/>
        <v>4602.5897072331281</v>
      </c>
      <c r="K84" s="228"/>
    </row>
    <row r="85" spans="1:11" x14ac:dyDescent="0.25">
      <c r="A85" s="2" t="str">
        <f t="shared" si="25"/>
        <v/>
      </c>
      <c r="B85" s="7"/>
      <c r="C85" s="156"/>
      <c r="D85" s="158"/>
      <c r="E85" s="11"/>
      <c r="F85" s="192">
        <f t="shared" si="26"/>
        <v>0</v>
      </c>
      <c r="H85" s="22"/>
      <c r="I85" s="11"/>
      <c r="J85" s="192">
        <f t="shared" si="28"/>
        <v>0</v>
      </c>
      <c r="K85" s="228"/>
    </row>
    <row r="86" spans="1:11" x14ac:dyDescent="0.25">
      <c r="A86" s="4" t="s">
        <v>16</v>
      </c>
      <c r="B86" s="7"/>
      <c r="C86" s="155"/>
      <c r="D86" s="137">
        <f>SUM(D79:D85)</f>
        <v>548222679.29056323</v>
      </c>
      <c r="E86" s="12"/>
      <c r="F86" s="76">
        <f>SUM(F79:F85)</f>
        <v>778544.86440790107</v>
      </c>
      <c r="G86" s="12"/>
      <c r="H86" s="2"/>
      <c r="I86" s="12"/>
      <c r="J86" s="76">
        <f>SUM(J79:J85)</f>
        <v>870773.0427199956</v>
      </c>
      <c r="K86" s="192">
        <f>F86+J86</f>
        <v>1649317.9071278968</v>
      </c>
    </row>
    <row r="87" spans="1:11" ht="9" customHeight="1" x14ac:dyDescent="0.25">
      <c r="C87" s="5"/>
    </row>
    <row r="88" spans="1:11" x14ac:dyDescent="0.25">
      <c r="A88" s="3" t="s">
        <v>11</v>
      </c>
      <c r="B88" s="233"/>
      <c r="C88" s="152"/>
      <c r="D88" s="235" t="s">
        <v>12</v>
      </c>
      <c r="E88" s="233" t="s">
        <v>6</v>
      </c>
      <c r="F88" s="227" t="s">
        <v>7</v>
      </c>
      <c r="G88" s="207"/>
      <c r="H88" s="231" t="s">
        <v>12</v>
      </c>
      <c r="I88" s="233" t="s">
        <v>6</v>
      </c>
      <c r="J88" s="227" t="s">
        <v>7</v>
      </c>
      <c r="K88" s="231" t="s">
        <v>78</v>
      </c>
    </row>
    <row r="89" spans="1:11" x14ac:dyDescent="0.25">
      <c r="A89" s="4" t="s">
        <v>28</v>
      </c>
      <c r="B89" s="234"/>
      <c r="C89" s="152"/>
      <c r="D89" s="236"/>
      <c r="E89" s="234"/>
      <c r="F89" s="227"/>
      <c r="G89" s="1"/>
      <c r="H89" s="232"/>
      <c r="I89" s="234"/>
      <c r="J89" s="227"/>
      <c r="K89" s="232"/>
    </row>
    <row r="90" spans="1:11" x14ac:dyDescent="0.25">
      <c r="A90" s="2" t="s">
        <v>87</v>
      </c>
      <c r="B90" s="7"/>
      <c r="C90" s="156"/>
      <c r="D90" s="185">
        <v>50061.643152286211</v>
      </c>
      <c r="E90" s="196">
        <v>0.56999999999999995</v>
      </c>
      <c r="F90" s="192">
        <f>D90*E90*12</f>
        <v>342421.63916163763</v>
      </c>
      <c r="H90" s="185">
        <v>1873.3568477137901</v>
      </c>
      <c r="I90" s="213">
        <f>E90</f>
        <v>0.56999999999999995</v>
      </c>
      <c r="J90" s="212">
        <f>H90*I90*12</f>
        <v>12813.760838362323</v>
      </c>
      <c r="K90" s="227"/>
    </row>
    <row r="91" spans="1:11" x14ac:dyDescent="0.25">
      <c r="A91" s="13" t="s">
        <v>88</v>
      </c>
      <c r="B91" s="7"/>
      <c r="C91" s="156"/>
      <c r="D91" s="186">
        <v>3732.1274669013251</v>
      </c>
      <c r="E91" s="197">
        <f>E90</f>
        <v>0.56999999999999995</v>
      </c>
      <c r="F91" s="192">
        <f>D91*E91*12</f>
        <v>25527.751873605059</v>
      </c>
      <c r="H91" s="186">
        <v>808.87253309867481</v>
      </c>
      <c r="I91" s="214">
        <f>E91</f>
        <v>0.56999999999999995</v>
      </c>
      <c r="J91" s="212">
        <f>H91*I91*12</f>
        <v>5532.6881263949354</v>
      </c>
      <c r="K91" s="227"/>
    </row>
    <row r="92" spans="1:11" x14ac:dyDescent="0.25">
      <c r="A92" s="13"/>
      <c r="B92" s="7"/>
      <c r="C92" s="156"/>
      <c r="D92" s="186"/>
      <c r="E92" s="197"/>
      <c r="F92" s="192">
        <f>D92*E92*12</f>
        <v>0</v>
      </c>
      <c r="H92" s="15"/>
      <c r="I92" s="15"/>
      <c r="J92" s="2"/>
      <c r="K92" s="205"/>
    </row>
    <row r="93" spans="1:11" x14ac:dyDescent="0.25">
      <c r="A93" s="17" t="s">
        <v>16</v>
      </c>
      <c r="B93" s="7"/>
      <c r="C93" s="156"/>
      <c r="D93" s="2"/>
      <c r="E93" s="2"/>
      <c r="F93" s="192">
        <f>SUM(F90:F92)</f>
        <v>367949.3910352427</v>
      </c>
      <c r="G93" s="2"/>
      <c r="H93" s="2"/>
      <c r="I93" s="2"/>
      <c r="J93" s="192">
        <f>SUM(J90:J91)</f>
        <v>18346.448964757259</v>
      </c>
      <c r="K93" s="192">
        <f>F93+J93</f>
        <v>386295.83999999997</v>
      </c>
    </row>
    <row r="94" spans="1:11" ht="5.25" customHeight="1" x14ac:dyDescent="0.25">
      <c r="A94" s="2"/>
      <c r="B94" s="2"/>
      <c r="C94" s="156"/>
      <c r="D94" s="2"/>
      <c r="E94" s="2"/>
      <c r="F94" s="2"/>
      <c r="G94" s="2"/>
      <c r="H94" s="2"/>
      <c r="I94" s="2"/>
      <c r="J94" s="2"/>
    </row>
    <row r="95" spans="1:11" x14ac:dyDescent="0.25">
      <c r="A95" s="4" t="s">
        <v>30</v>
      </c>
      <c r="B95" s="2"/>
      <c r="C95" s="156"/>
      <c r="D95" s="2"/>
      <c r="E95" s="2"/>
      <c r="F95" s="192">
        <f>SUM(F20+F42+F53+F64+F75+F86+F93)</f>
        <v>87482265.273441404</v>
      </c>
      <c r="G95" s="2"/>
      <c r="H95" s="2"/>
      <c r="I95" s="2"/>
      <c r="J95" s="192">
        <f>J20+J31+J42+J53+J64+J75+J86+J93</f>
        <v>97681748.896904081</v>
      </c>
      <c r="K95" s="198">
        <f>+F95+J95</f>
        <v>185164014.17034549</v>
      </c>
    </row>
    <row r="96" spans="1:11" ht="15.75" thickBot="1" x14ac:dyDescent="0.3">
      <c r="A96" s="4" t="s">
        <v>17</v>
      </c>
      <c r="B96" s="21">
        <v>0.318</v>
      </c>
      <c r="C96" s="156"/>
      <c r="D96" s="2"/>
      <c r="E96" s="2"/>
      <c r="F96" s="199">
        <f>-F95*B96</f>
        <v>-27819360.356954366</v>
      </c>
      <c r="G96" s="2"/>
      <c r="H96" s="2"/>
      <c r="I96" s="2"/>
      <c r="J96" s="2">
        <v>0</v>
      </c>
      <c r="K96" s="198">
        <f>+F96+J96</f>
        <v>-27819360.356954366</v>
      </c>
    </row>
    <row r="97" spans="1:11" ht="15.75" thickBot="1" x14ac:dyDescent="0.3">
      <c r="A97" s="4" t="s">
        <v>13</v>
      </c>
      <c r="B97" s="202"/>
      <c r="C97" s="203"/>
      <c r="D97" s="4"/>
      <c r="E97" s="4"/>
      <c r="F97" s="204">
        <f>+F95+F96</f>
        <v>59662904.916487038</v>
      </c>
      <c r="G97" s="4"/>
      <c r="H97" s="4"/>
      <c r="I97" s="4"/>
      <c r="J97" s="204">
        <f>+J95+J96</f>
        <v>97681748.896904081</v>
      </c>
      <c r="K97" s="204">
        <f>+K95+K96</f>
        <v>157344653.81339112</v>
      </c>
    </row>
    <row r="98" spans="1:11" ht="15.75" thickTop="1" x14ac:dyDescent="0.25">
      <c r="A98" s="166" t="s">
        <v>83</v>
      </c>
    </row>
    <row r="99" spans="1:11" x14ac:dyDescent="0.25">
      <c r="A99" s="165"/>
    </row>
    <row r="100" spans="1:11" x14ac:dyDescent="0.25">
      <c r="D100" s="247" t="s">
        <v>25</v>
      </c>
      <c r="E100" s="247"/>
    </row>
    <row r="101" spans="1:11" x14ac:dyDescent="0.25">
      <c r="D101" s="2" t="s">
        <v>18</v>
      </c>
      <c r="E101" s="135">
        <f>K20</f>
        <v>91660195.339390919</v>
      </c>
    </row>
    <row r="102" spans="1:11" x14ac:dyDescent="0.25">
      <c r="D102" s="2" t="s">
        <v>19</v>
      </c>
      <c r="E102" s="136">
        <f>K31</f>
        <v>70714446.207547158</v>
      </c>
    </row>
    <row r="103" spans="1:11" x14ac:dyDescent="0.25">
      <c r="D103" s="2" t="s">
        <v>20</v>
      </c>
      <c r="E103" s="136">
        <f>K64+K75</f>
        <v>5294993.8448799197</v>
      </c>
    </row>
    <row r="104" spans="1:11" x14ac:dyDescent="0.25">
      <c r="D104" s="2" t="s">
        <v>21</v>
      </c>
      <c r="E104" s="136">
        <f>K42</f>
        <v>9111231.2872570567</v>
      </c>
    </row>
    <row r="105" spans="1:11" x14ac:dyDescent="0.25">
      <c r="D105" s="2" t="s">
        <v>22</v>
      </c>
      <c r="E105" s="136">
        <f>K53</f>
        <v>6347533.7441425454</v>
      </c>
    </row>
    <row r="106" spans="1:11" x14ac:dyDescent="0.25">
      <c r="D106" s="2" t="s">
        <v>23</v>
      </c>
      <c r="E106" s="136">
        <f>K86</f>
        <v>1649317.9071278968</v>
      </c>
    </row>
    <row r="107" spans="1:11" x14ac:dyDescent="0.25">
      <c r="D107" s="2" t="s">
        <v>24</v>
      </c>
      <c r="E107" s="136">
        <f>K93</f>
        <v>386295.83999999997</v>
      </c>
    </row>
    <row r="108" spans="1:11" x14ac:dyDescent="0.25">
      <c r="D108" s="2" t="s">
        <v>86</v>
      </c>
      <c r="E108" s="136">
        <f>+K96</f>
        <v>-27819360.356954366</v>
      </c>
      <c r="H108" s="215"/>
    </row>
    <row r="109" spans="1:11" x14ac:dyDescent="0.25">
      <c r="D109" s="4" t="s">
        <v>13</v>
      </c>
      <c r="E109" s="148">
        <f>SUM(E101:E108)</f>
        <v>157344653.81339109</v>
      </c>
    </row>
    <row r="110" spans="1:11" x14ac:dyDescent="0.25">
      <c r="E110" s="200">
        <f>+E109-K97</f>
        <v>0</v>
      </c>
    </row>
  </sheetData>
  <mergeCells count="72">
    <mergeCell ref="A1:J1"/>
    <mergeCell ref="E9:F9"/>
    <mergeCell ref="I9:J9"/>
    <mergeCell ref="E10:F10"/>
    <mergeCell ref="I10:J10"/>
    <mergeCell ref="K12:K19"/>
    <mergeCell ref="I21:J21"/>
    <mergeCell ref="B22:B23"/>
    <mergeCell ref="D22:D23"/>
    <mergeCell ref="E22:E23"/>
    <mergeCell ref="F22:F23"/>
    <mergeCell ref="H22:H23"/>
    <mergeCell ref="I22:I23"/>
    <mergeCell ref="J22:J23"/>
    <mergeCell ref="K22:K23"/>
    <mergeCell ref="B11:B12"/>
    <mergeCell ref="K24:K30"/>
    <mergeCell ref="B33:B34"/>
    <mergeCell ref="D33:D34"/>
    <mergeCell ref="E33:E34"/>
    <mergeCell ref="F33:F34"/>
    <mergeCell ref="H33:H34"/>
    <mergeCell ref="I33:I34"/>
    <mergeCell ref="J33:J34"/>
    <mergeCell ref="K33:K34"/>
    <mergeCell ref="K35:K41"/>
    <mergeCell ref="B44:B45"/>
    <mergeCell ref="D44:D45"/>
    <mergeCell ref="E44:E45"/>
    <mergeCell ref="F44:F45"/>
    <mergeCell ref="H44:H45"/>
    <mergeCell ref="I44:I45"/>
    <mergeCell ref="J44:J45"/>
    <mergeCell ref="K44:K45"/>
    <mergeCell ref="K46:K52"/>
    <mergeCell ref="B55:B56"/>
    <mergeCell ref="D55:D56"/>
    <mergeCell ref="E55:E56"/>
    <mergeCell ref="F55:F56"/>
    <mergeCell ref="H55:H56"/>
    <mergeCell ref="I55:I56"/>
    <mergeCell ref="J55:J56"/>
    <mergeCell ref="K55:K56"/>
    <mergeCell ref="K57:K63"/>
    <mergeCell ref="B66:B67"/>
    <mergeCell ref="D66:D67"/>
    <mergeCell ref="E66:E67"/>
    <mergeCell ref="F66:F67"/>
    <mergeCell ref="H66:H67"/>
    <mergeCell ref="I66:I67"/>
    <mergeCell ref="J66:J67"/>
    <mergeCell ref="K66:K67"/>
    <mergeCell ref="K68:K74"/>
    <mergeCell ref="B77:B78"/>
    <mergeCell ref="D77:D78"/>
    <mergeCell ref="E77:E78"/>
    <mergeCell ref="F77:F78"/>
    <mergeCell ref="H77:H78"/>
    <mergeCell ref="I77:I78"/>
    <mergeCell ref="J77:J78"/>
    <mergeCell ref="K77:K78"/>
    <mergeCell ref="K90:K91"/>
    <mergeCell ref="D100:E100"/>
    <mergeCell ref="K79:K85"/>
    <mergeCell ref="B88:B89"/>
    <mergeCell ref="D88:D89"/>
    <mergeCell ref="E88:E89"/>
    <mergeCell ref="F88:F89"/>
    <mergeCell ref="H88:H89"/>
    <mergeCell ref="I88:I89"/>
    <mergeCell ref="J88:J89"/>
    <mergeCell ref="K88:K89"/>
  </mergeCells>
  <pageMargins left="0.7" right="0.7" top="0.75" bottom="0.75" header="0.3" footer="0.3"/>
  <pageSetup scale="64" fitToHeight="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2020 Commodity Expense Forecast</vt:lpstr>
      <vt:lpstr>2020 Cost of Power</vt:lpstr>
      <vt:lpstr>2021 Commodity Expense Forecast</vt:lpstr>
      <vt:lpstr>2021 Cost of Power</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Birgit Armstrong</dc:creator>
  <cp:lastModifiedBy>NPEI</cp:lastModifiedBy>
  <cp:lastPrinted>2020-03-06T18:51:44Z</cp:lastPrinted>
  <dcterms:created xsi:type="dcterms:W3CDTF">2019-10-23T18:30:11Z</dcterms:created>
  <dcterms:modified xsi:type="dcterms:W3CDTF">2020-08-14T14:09:34Z</dcterms:modified>
</cp:coreProperties>
</file>