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6180" tabRatio="800" activeTab="2"/>
  </bookViews>
  <sheets>
    <sheet name="Veridian - 2018Nov" sheetId="5" r:id="rId1"/>
    <sheet name="Veridian 2018 RPP 1st TU" sheetId="6" r:id="rId2"/>
    <sheet name="Ver Settlement Comparison" sheetId="7" r:id="rId3"/>
    <sheet name="Final RSVA Balances" sheetId="9" r:id="rId4"/>
  </sheets>
  <externalReferences>
    <externalReference r:id="rId5"/>
  </externalReferences>
  <definedNames>
    <definedName name="_xlnm.Print_Area" localSheetId="2">'Ver Settlement Comparison'!$A$1:$O$109</definedName>
    <definedName name="_xlnm.Print_Area" localSheetId="0">'Veridian - 2018Nov'!$B$1:$E$89</definedName>
    <definedName name="_xlnm.Print_Area" localSheetId="1">'Veridian 2018 RPP 1st TU'!$A$1:$K$23</definedName>
  </definedNames>
  <calcPr calcId="145621"/>
</workbook>
</file>

<file path=xl/calcChain.xml><?xml version="1.0" encoding="utf-8"?>
<calcChain xmlns="http://schemas.openxmlformats.org/spreadsheetml/2006/main">
  <c r="C49" i="5" l="1"/>
  <c r="J88" i="5" l="1"/>
  <c r="J87" i="5"/>
  <c r="C80" i="5"/>
  <c r="C52" i="5"/>
  <c r="C37" i="7" l="1"/>
  <c r="C51" i="5" l="1"/>
  <c r="F8" i="9" l="1"/>
  <c r="H42" i="7" l="1"/>
  <c r="E21" i="7"/>
  <c r="E20" i="7"/>
  <c r="E19" i="7"/>
  <c r="E18" i="7"/>
  <c r="E17" i="7"/>
  <c r="G47" i="6"/>
  <c r="I38" i="7"/>
  <c r="B8" i="9" l="1"/>
  <c r="G8" i="9" s="1"/>
  <c r="E80" i="5"/>
  <c r="L47" i="6"/>
  <c r="D81" i="5" l="1"/>
  <c r="B9" i="9"/>
  <c r="L23" i="6" l="1"/>
  <c r="D41" i="6"/>
  <c r="D43" i="6" l="1"/>
  <c r="J43" i="6" s="1"/>
  <c r="D42" i="6"/>
  <c r="J42" i="6" s="1"/>
  <c r="D44" i="6"/>
  <c r="J44" i="6" s="1"/>
  <c r="J41" i="6"/>
  <c r="D45" i="6"/>
  <c r="J45" i="6" s="1"/>
  <c r="J47" i="6" l="1"/>
  <c r="D6" i="5"/>
  <c r="E10" i="7" l="1"/>
  <c r="E89" i="7"/>
  <c r="E29" i="5"/>
  <c r="D88" i="5" s="1"/>
  <c r="D25" i="9" l="1"/>
  <c r="F16" i="9"/>
  <c r="E81" i="7" l="1"/>
  <c r="C17" i="9" l="1"/>
  <c r="F9" i="9"/>
  <c r="C9" i="9"/>
  <c r="C7" i="9"/>
  <c r="C26" i="9"/>
  <c r="G9" i="9" l="1"/>
  <c r="I8" i="9" s="1"/>
  <c r="D47" i="9" l="1"/>
  <c r="D46" i="9"/>
  <c r="E65" i="7"/>
  <c r="F65" i="7"/>
  <c r="E87" i="7" l="1"/>
  <c r="F87" i="7"/>
  <c r="F64" i="7"/>
  <c r="E64" i="7"/>
  <c r="E22" i="7" l="1"/>
  <c r="E66" i="7" l="1"/>
  <c r="G11" i="6" l="1"/>
  <c r="D11" i="6"/>
  <c r="C11" i="6"/>
  <c r="B11" i="6"/>
  <c r="G10" i="6"/>
  <c r="D10" i="6"/>
  <c r="C10" i="6"/>
  <c r="B10" i="6"/>
  <c r="G9" i="6"/>
  <c r="D9" i="6"/>
  <c r="C9" i="6"/>
  <c r="B9" i="6"/>
  <c r="G8" i="6"/>
  <c r="D8" i="6"/>
  <c r="C8" i="6"/>
  <c r="B8" i="6"/>
  <c r="G7" i="6"/>
  <c r="D7" i="6"/>
  <c r="C7" i="6"/>
  <c r="B7" i="6"/>
  <c r="H9" i="6" l="1"/>
  <c r="E9" i="6"/>
  <c r="F9" i="6" s="1"/>
  <c r="G12" i="6"/>
  <c r="I7" i="6"/>
  <c r="J10" i="6"/>
  <c r="I11" i="6"/>
  <c r="J8" i="6"/>
  <c r="H11" i="6"/>
  <c r="H7" i="6"/>
  <c r="I9" i="6"/>
  <c r="E11" i="6"/>
  <c r="F11" i="6" s="1"/>
  <c r="E7" i="6"/>
  <c r="J7" i="6"/>
  <c r="H8" i="6"/>
  <c r="J9" i="6"/>
  <c r="H10" i="6"/>
  <c r="J11" i="6"/>
  <c r="E8" i="6"/>
  <c r="I8" i="6"/>
  <c r="E10" i="6"/>
  <c r="I10" i="6"/>
  <c r="H12" i="6" l="1"/>
  <c r="B12" i="6" s="1"/>
  <c r="I12" i="6"/>
  <c r="K11" i="6"/>
  <c r="F7" i="6"/>
  <c r="F10" i="6"/>
  <c r="K8" i="6"/>
  <c r="J12" i="6"/>
  <c r="K7" i="6"/>
  <c r="K10" i="6"/>
  <c r="F8" i="6"/>
  <c r="K9" i="6"/>
  <c r="E38" i="5"/>
  <c r="H30" i="7" s="1"/>
  <c r="E37" i="5"/>
  <c r="H29" i="7" s="1"/>
  <c r="E36" i="5"/>
  <c r="H28" i="7" s="1"/>
  <c r="E35" i="5"/>
  <c r="H27" i="7" s="1"/>
  <c r="E34" i="5"/>
  <c r="H26" i="7" s="1"/>
  <c r="I39" i="5"/>
  <c r="H19" i="7" l="1"/>
  <c r="C71" i="5"/>
  <c r="H17" i="7"/>
  <c r="C69" i="5"/>
  <c r="H20" i="7"/>
  <c r="C72" i="5"/>
  <c r="H21" i="7"/>
  <c r="C73" i="5"/>
  <c r="H18" i="7"/>
  <c r="C70" i="5"/>
  <c r="K12" i="6"/>
  <c r="B19" i="6" l="1"/>
  <c r="B30" i="6" s="1"/>
  <c r="B42" i="6"/>
  <c r="H42" i="6" s="1"/>
  <c r="B21" i="6"/>
  <c r="B32" i="6" s="1"/>
  <c r="B44" i="6"/>
  <c r="H44" i="6" s="1"/>
  <c r="B22" i="6"/>
  <c r="B33" i="6" s="1"/>
  <c r="B45" i="6"/>
  <c r="H45" i="6" s="1"/>
  <c r="B18" i="6"/>
  <c r="B29" i="6" s="1"/>
  <c r="B41" i="6"/>
  <c r="H41" i="6" s="1"/>
  <c r="B20" i="6"/>
  <c r="B31" i="6" s="1"/>
  <c r="B43" i="6"/>
  <c r="H43" i="6" s="1"/>
  <c r="D39" i="5"/>
  <c r="D5" i="5"/>
  <c r="D7" i="5"/>
  <c r="H47" i="6" l="1"/>
  <c r="B47" i="6" s="1"/>
  <c r="D9" i="5"/>
  <c r="D28" i="5"/>
  <c r="B6" i="9" s="1"/>
  <c r="B10" i="9" s="1"/>
  <c r="C34" i="5"/>
  <c r="C17" i="5" s="1"/>
  <c r="C35" i="5"/>
  <c r="C38" i="5"/>
  <c r="C37" i="5"/>
  <c r="C36" i="5"/>
  <c r="E8" i="7" l="1"/>
  <c r="C39" i="5"/>
  <c r="D73" i="5" l="1"/>
  <c r="F21" i="7" s="1"/>
  <c r="E30" i="7" s="1"/>
  <c r="D72" i="5"/>
  <c r="F20" i="7" s="1"/>
  <c r="E29" i="7" s="1"/>
  <c r="D71" i="5"/>
  <c r="F19" i="7" s="1"/>
  <c r="E28" i="7" s="1"/>
  <c r="D70" i="5"/>
  <c r="F18" i="7" s="1"/>
  <c r="E27" i="7" s="1"/>
  <c r="D69" i="5"/>
  <c r="F17" i="7" s="1"/>
  <c r="E79" i="5"/>
  <c r="F83" i="7" s="1"/>
  <c r="D30" i="5"/>
  <c r="E28" i="5"/>
  <c r="C21" i="5"/>
  <c r="C20" i="5"/>
  <c r="C19" i="5"/>
  <c r="C18" i="5"/>
  <c r="E26" i="7" l="1"/>
  <c r="E31" i="7" s="1"/>
  <c r="F22" i="7"/>
  <c r="C28" i="5"/>
  <c r="C11" i="5" s="1"/>
  <c r="D11" i="5" s="1"/>
  <c r="D17" i="5" s="1"/>
  <c r="C6" i="9"/>
  <c r="C10" i="9" s="1"/>
  <c r="D87" i="5"/>
  <c r="D89" i="5" s="1"/>
  <c r="G7" i="9"/>
  <c r="G10" i="9" s="1"/>
  <c r="E24" i="9"/>
  <c r="E83" i="7"/>
  <c r="C22" i="5"/>
  <c r="E70" i="5"/>
  <c r="E71" i="5"/>
  <c r="E30" i="5"/>
  <c r="E26" i="5" s="1"/>
  <c r="J58" i="5"/>
  <c r="D78" i="5"/>
  <c r="E69" i="5"/>
  <c r="E72" i="5"/>
  <c r="E73" i="5"/>
  <c r="C81" i="5"/>
  <c r="D26" i="5"/>
  <c r="C29" i="5"/>
  <c r="C12" i="5" s="1"/>
  <c r="C13" i="5" s="1"/>
  <c r="D74" i="5"/>
  <c r="E81" i="5" l="1"/>
  <c r="I81" i="5" s="1"/>
  <c r="E74" i="5"/>
  <c r="C30" i="5"/>
  <c r="D62" i="5"/>
  <c r="D56" i="5"/>
  <c r="C56" i="5" s="1"/>
  <c r="E58" i="7" l="1"/>
  <c r="F58" i="7"/>
  <c r="E82" i="7"/>
  <c r="E84" i="7" s="1"/>
  <c r="F82" i="7"/>
  <c r="F84" i="7" s="1"/>
  <c r="C74" i="5"/>
  <c r="I62" i="5"/>
  <c r="C62" i="5"/>
  <c r="I56" i="5"/>
  <c r="E9" i="5"/>
  <c r="D57" i="5"/>
  <c r="I74" i="5"/>
  <c r="D12" i="5"/>
  <c r="G58" i="7" l="1"/>
  <c r="G84" i="7"/>
  <c r="B18" i="9"/>
  <c r="B25" i="9" s="1"/>
  <c r="C47" i="9" s="1"/>
  <c r="E47" i="9" s="1"/>
  <c r="C18" i="9"/>
  <c r="B16" i="9"/>
  <c r="I57" i="5"/>
  <c r="C57" i="5"/>
  <c r="E12" i="5"/>
  <c r="D60" i="5"/>
  <c r="D13" i="5"/>
  <c r="D32" i="5" s="1"/>
  <c r="D59" i="5"/>
  <c r="D18" i="5"/>
  <c r="F27" i="7" s="1"/>
  <c r="G27" i="7" s="1"/>
  <c r="I27" i="7" s="1"/>
  <c r="E11" i="5"/>
  <c r="D19" i="5"/>
  <c r="F28" i="7" s="1"/>
  <c r="G28" i="7" s="1"/>
  <c r="I28" i="7" s="1"/>
  <c r="D20" i="5"/>
  <c r="F29" i="7" s="1"/>
  <c r="G29" i="7" s="1"/>
  <c r="I29" i="7" s="1"/>
  <c r="D21" i="5"/>
  <c r="F30" i="7" s="1"/>
  <c r="G30" i="7" s="1"/>
  <c r="I30" i="7" s="1"/>
  <c r="F26" i="7"/>
  <c r="F31" i="7" l="1"/>
  <c r="G26" i="7"/>
  <c r="C88" i="5"/>
  <c r="E88" i="5" s="1"/>
  <c r="C87" i="5" s="1"/>
  <c r="H37" i="7" s="1"/>
  <c r="C16" i="9"/>
  <c r="C34" i="9" s="1"/>
  <c r="B19" i="9"/>
  <c r="C36" i="9"/>
  <c r="C37" i="9"/>
  <c r="C46" i="9"/>
  <c r="E46" i="9" s="1"/>
  <c r="B26" i="9"/>
  <c r="G17" i="7"/>
  <c r="G18" i="6"/>
  <c r="G21" i="7"/>
  <c r="I21" i="7" s="1"/>
  <c r="G22" i="6"/>
  <c r="I88" i="5"/>
  <c r="G18" i="7"/>
  <c r="I18" i="7" s="1"/>
  <c r="G19" i="6"/>
  <c r="G20" i="7"/>
  <c r="I20" i="7" s="1"/>
  <c r="G21" i="6"/>
  <c r="G19" i="7"/>
  <c r="I19" i="7" s="1"/>
  <c r="G20" i="6"/>
  <c r="D22" i="5"/>
  <c r="I87" i="5"/>
  <c r="E13" i="5"/>
  <c r="G31" i="7" l="1"/>
  <c r="I26" i="7"/>
  <c r="I31" i="7" s="1"/>
  <c r="H18" i="6"/>
  <c r="C19" i="9"/>
  <c r="C35" i="9"/>
  <c r="E89" i="5"/>
  <c r="C89" i="5" s="1"/>
  <c r="H19" i="6"/>
  <c r="G30" i="6"/>
  <c r="G31" i="6"/>
  <c r="H20" i="6"/>
  <c r="H21" i="6"/>
  <c r="G32" i="6"/>
  <c r="H22" i="6"/>
  <c r="G33" i="6"/>
  <c r="G29" i="6"/>
  <c r="G23" i="6"/>
  <c r="I17" i="7"/>
  <c r="I22" i="7" s="1"/>
  <c r="G22" i="7"/>
  <c r="G37" i="7" l="1"/>
  <c r="I33" i="7"/>
  <c r="G34" i="6"/>
  <c r="H29" i="6"/>
  <c r="H23" i="6"/>
  <c r="H31" i="6"/>
  <c r="H33" i="6"/>
  <c r="H32" i="6"/>
  <c r="H30" i="6"/>
  <c r="G42" i="7" l="1"/>
  <c r="I42" i="7" s="1"/>
  <c r="I37" i="7"/>
  <c r="I39" i="7" s="1"/>
  <c r="I40" i="7" s="1"/>
  <c r="I34" i="7"/>
  <c r="B23" i="6"/>
  <c r="D6" i="9" s="1"/>
  <c r="F8" i="7"/>
  <c r="H34" i="6"/>
  <c r="I43" i="7" l="1"/>
  <c r="E90" i="7" s="1"/>
  <c r="E107" i="7" s="1"/>
  <c r="B107" i="7" s="1"/>
  <c r="E69" i="7"/>
  <c r="E106" i="7" s="1"/>
  <c r="D35" i="9"/>
  <c r="E35" i="9" s="1"/>
  <c r="E6" i="9"/>
  <c r="G8" i="7"/>
  <c r="H8" i="7" s="1"/>
  <c r="I44" i="7" l="1"/>
  <c r="G16" i="9"/>
  <c r="C60" i="5" l="1"/>
  <c r="G19" i="9"/>
  <c r="E25" i="9"/>
  <c r="E26" i="9" s="1"/>
  <c r="E43" i="9" s="1"/>
  <c r="E48" i="9"/>
  <c r="E60" i="5" l="1"/>
  <c r="F88" i="7" l="1"/>
  <c r="F91" i="7" s="1"/>
  <c r="I93" i="7" s="1"/>
  <c r="I94" i="7" s="1"/>
  <c r="J60" i="5"/>
  <c r="J63" i="5" s="1"/>
  <c r="F93" i="7" l="1"/>
  <c r="D18" i="6" l="1"/>
  <c r="J18" i="6" s="1"/>
  <c r="C59" i="5"/>
  <c r="E59" i="5" s="1"/>
  <c r="E88" i="7" l="1"/>
  <c r="E91" i="7" s="1"/>
  <c r="I59" i="5"/>
  <c r="F67" i="7"/>
  <c r="D20" i="6"/>
  <c r="D19" i="6"/>
  <c r="D22" i="6"/>
  <c r="D21" i="6"/>
  <c r="D29" i="6"/>
  <c r="E93" i="7" l="1"/>
  <c r="G93" i="7" s="1"/>
  <c r="G91" i="7"/>
  <c r="J29" i="6"/>
  <c r="D33" i="6"/>
  <c r="J22" i="6"/>
  <c r="J20" i="6"/>
  <c r="D31" i="6"/>
  <c r="D32" i="6"/>
  <c r="J21" i="6"/>
  <c r="J19" i="6"/>
  <c r="D30" i="6"/>
  <c r="J30" i="6" l="1"/>
  <c r="J23" i="6"/>
  <c r="F10" i="7" s="1"/>
  <c r="J33" i="6"/>
  <c r="J32" i="6"/>
  <c r="J31" i="6"/>
  <c r="G10" i="7" l="1"/>
  <c r="J34" i="6"/>
  <c r="H10" i="7" l="1"/>
  <c r="E78" i="5" l="1"/>
  <c r="E60" i="7" l="1"/>
  <c r="F60" i="7"/>
  <c r="F61" i="7" s="1"/>
  <c r="I75" i="5"/>
  <c r="I76" i="5" s="1"/>
  <c r="E82" i="5"/>
  <c r="C45" i="5"/>
  <c r="G60" i="7" l="1"/>
  <c r="E61" i="7"/>
  <c r="G61" i="7" s="1"/>
  <c r="D16" i="9"/>
  <c r="E16" i="9" s="1"/>
  <c r="C41" i="6"/>
  <c r="I41" i="6" s="1"/>
  <c r="C18" i="6"/>
  <c r="I18" i="6" s="1"/>
  <c r="C42" i="6" l="1"/>
  <c r="I42" i="6" s="1"/>
  <c r="E41" i="6"/>
  <c r="F41" i="6" s="1"/>
  <c r="C19" i="6"/>
  <c r="I19" i="6" s="1"/>
  <c r="K18" i="6"/>
  <c r="M18" i="6" s="1"/>
  <c r="C29" i="6"/>
  <c r="E18" i="6"/>
  <c r="F18" i="6" s="1"/>
  <c r="F29" i="6" s="1"/>
  <c r="E29" i="6" l="1"/>
  <c r="K41" i="6"/>
  <c r="E19" i="6"/>
  <c r="F19" i="6" s="1"/>
  <c r="F30" i="6" s="1"/>
  <c r="C20" i="6"/>
  <c r="I20" i="6" s="1"/>
  <c r="K42" i="6"/>
  <c r="M42" i="6" s="1"/>
  <c r="C43" i="6"/>
  <c r="I43" i="6" s="1"/>
  <c r="E42" i="6"/>
  <c r="F42" i="6" s="1"/>
  <c r="C30" i="6"/>
  <c r="I30" i="6"/>
  <c r="K30" i="6" s="1"/>
  <c r="I29" i="6"/>
  <c r="K29" i="6" s="1"/>
  <c r="E20" i="6"/>
  <c r="E31" i="6" s="1"/>
  <c r="B106" i="7"/>
  <c r="C31" i="6" l="1"/>
  <c r="E30" i="6"/>
  <c r="M41" i="6"/>
  <c r="K43" i="6"/>
  <c r="E43" i="6"/>
  <c r="F43" i="6" s="1"/>
  <c r="C44" i="6"/>
  <c r="C21" i="6"/>
  <c r="K19" i="6"/>
  <c r="M19" i="6" s="1"/>
  <c r="F20" i="6"/>
  <c r="F31" i="6" s="1"/>
  <c r="I44" i="6" l="1"/>
  <c r="E44" i="6"/>
  <c r="F44" i="6" s="1"/>
  <c r="C45" i="6"/>
  <c r="I31" i="6"/>
  <c r="K31" i="6" s="1"/>
  <c r="K20" i="6"/>
  <c r="M20" i="6" s="1"/>
  <c r="I21" i="6"/>
  <c r="C22" i="6"/>
  <c r="C32" i="6"/>
  <c r="E21" i="6"/>
  <c r="M43" i="6"/>
  <c r="K44" i="6" l="1"/>
  <c r="M44" i="6" s="1"/>
  <c r="K21" i="6"/>
  <c r="M21" i="6" s="1"/>
  <c r="I32" i="6"/>
  <c r="K32" i="6" s="1"/>
  <c r="I45" i="6"/>
  <c r="I47" i="6" s="1"/>
  <c r="E45" i="6"/>
  <c r="F45" i="6" s="1"/>
  <c r="I22" i="6"/>
  <c r="I23" i="6" s="1"/>
  <c r="F9" i="7" s="1"/>
  <c r="C33" i="6"/>
  <c r="E22" i="6"/>
  <c r="F21" i="6"/>
  <c r="F32" i="6" s="1"/>
  <c r="E32" i="6"/>
  <c r="E9" i="7" l="1"/>
  <c r="G9" i="7" s="1"/>
  <c r="E68" i="7"/>
  <c r="E70" i="7" s="1"/>
  <c r="E72" i="7" s="1"/>
  <c r="K45" i="6"/>
  <c r="K47" i="6" s="1"/>
  <c r="E5" i="7" s="1"/>
  <c r="E33" i="6"/>
  <c r="F22" i="6"/>
  <c r="F33" i="6" s="1"/>
  <c r="F13" i="7"/>
  <c r="K22" i="6"/>
  <c r="I33" i="6"/>
  <c r="K33" i="6" l="1"/>
  <c r="K34" i="6" s="1"/>
  <c r="I34" i="6"/>
  <c r="K23" i="6"/>
  <c r="M22" i="6"/>
  <c r="M23" i="6" s="1"/>
  <c r="M45" i="6"/>
  <c r="M47" i="6" s="1"/>
  <c r="H9" i="7"/>
  <c r="C46" i="5"/>
  <c r="D9" i="9"/>
  <c r="E9" i="9" s="1"/>
  <c r="D7" i="9"/>
  <c r="J89" i="5"/>
  <c r="E61" i="5" l="1"/>
  <c r="K49" i="6"/>
  <c r="E12" i="7" s="1"/>
  <c r="F68" i="7"/>
  <c r="F70" i="7" s="1"/>
  <c r="H16" i="9"/>
  <c r="D17" i="9"/>
  <c r="C78" i="5"/>
  <c r="D18" i="9"/>
  <c r="E18" i="9" s="1"/>
  <c r="I18" i="9" s="1"/>
  <c r="E7" i="9"/>
  <c r="E10" i="9" s="1"/>
  <c r="D37" i="9"/>
  <c r="E37" i="9" s="1"/>
  <c r="E108" i="7" l="1"/>
  <c r="B108" i="7" s="1"/>
  <c r="G12" i="7"/>
  <c r="G13" i="7" s="1"/>
  <c r="H13" i="7" s="1"/>
  <c r="E13" i="7"/>
  <c r="H19" i="9"/>
  <c r="I16" i="9"/>
  <c r="D34" i="9" s="1"/>
  <c r="E34" i="9" s="1"/>
  <c r="F72" i="7"/>
  <c r="G72" i="7" s="1"/>
  <c r="I72" i="7"/>
  <c r="I73" i="7" s="1"/>
  <c r="G70" i="7"/>
  <c r="E63" i="5"/>
  <c r="I61" i="5"/>
  <c r="I63" i="5" s="1"/>
  <c r="K63" i="5" s="1"/>
  <c r="D36" i="9"/>
  <c r="E36" i="9" s="1"/>
  <c r="E17" i="9"/>
  <c r="E38" i="9" l="1"/>
  <c r="I17" i="9"/>
  <c r="I19" i="9" s="1"/>
  <c r="E31" i="9" s="1"/>
  <c r="E19" i="9"/>
</calcChain>
</file>

<file path=xl/sharedStrings.xml><?xml version="1.0" encoding="utf-8"?>
<sst xmlns="http://schemas.openxmlformats.org/spreadsheetml/2006/main" count="373" uniqueCount="210">
  <si>
    <t>Table 22: Wholesale Volume data per IESO Power Bill</t>
  </si>
  <si>
    <t>GA RPP/non-RPP Ratios</t>
  </si>
  <si>
    <t>GA Volumes</t>
  </si>
  <si>
    <t>Energy Volumes</t>
  </si>
  <si>
    <t>Embedded Generation</t>
  </si>
  <si>
    <t>Class A customer Volumes for GA  (TLF included)</t>
  </si>
  <si>
    <t>Actual RPP Quantity Proportion</t>
  </si>
  <si>
    <t>Actual non-RPP Quantity Proportion</t>
  </si>
  <si>
    <t xml:space="preserve">Wholesale kWh Volumes </t>
  </si>
  <si>
    <t>Table 23: Actual Volumes purchased for RPP Customers (TLF Included)</t>
  </si>
  <si>
    <t>kWh Volumes</t>
  </si>
  <si>
    <t>Actual %</t>
  </si>
  <si>
    <t>Tier 1</t>
  </si>
  <si>
    <t>Tier 2</t>
  </si>
  <si>
    <t>TOU Off-peak</t>
  </si>
  <si>
    <t>TOU Mid-peak</t>
  </si>
  <si>
    <t>TOU On-peak</t>
  </si>
  <si>
    <t>Table 24: Actual Retail Volume Revenue Data (TLF included)</t>
  </si>
  <si>
    <t>Billed/Unbilled Retail Volumes</t>
  </si>
  <si>
    <t>Actual RPP Sales Quantities</t>
  </si>
  <si>
    <t>Actual non-RPP Sales Quantities</t>
  </si>
  <si>
    <t xml:space="preserve">Actual Retail Revenue kWh Volumes </t>
  </si>
  <si>
    <r>
      <t>Table 25: Actual RPP Revenue Volume and Price Data</t>
    </r>
    <r>
      <rPr>
        <b/>
        <vertAlign val="superscript"/>
        <sz val="10"/>
        <color theme="1"/>
        <rFont val="Calibri"/>
        <family val="2"/>
        <scheme val="minor"/>
      </rPr>
      <t>14</t>
    </r>
  </si>
  <si>
    <t>RPP Price/kWh</t>
  </si>
  <si>
    <t>Table 26: Commodity Price Data</t>
  </si>
  <si>
    <t>Wholesale Prices</t>
  </si>
  <si>
    <t>Commodity Price</t>
  </si>
  <si>
    <t>per kWh</t>
  </si>
  <si>
    <t>Actual Average Energy Price for RPP Customers</t>
  </si>
  <si>
    <t>Actual Average Energy Price for non-RPP customers</t>
  </si>
  <si>
    <t>GA 1st estimate</t>
  </si>
  <si>
    <t>GA 2nd estimate</t>
  </si>
  <si>
    <t>Class B - GA actual</t>
  </si>
  <si>
    <t>Class B - GA actual IESO billed</t>
  </si>
  <si>
    <t>Table 27: Commodity Cost of Power Billed by IESO</t>
  </si>
  <si>
    <t>Cost/kWh</t>
  </si>
  <si>
    <t>Amount</t>
  </si>
  <si>
    <t>Actual Payments to Embedded Generators - 4705</t>
  </si>
  <si>
    <t>Charge Type 101 - 4705</t>
  </si>
  <si>
    <t>Charge Type 147 - non-RPP Class A - 4707</t>
  </si>
  <si>
    <r>
      <t>Charge Type 148 - RPP - 4705</t>
    </r>
    <r>
      <rPr>
        <b/>
        <vertAlign val="superscript"/>
        <sz val="11"/>
        <color theme="1"/>
        <rFont val="Calibri"/>
        <family val="2"/>
        <scheme val="minor"/>
      </rPr>
      <t>15</t>
    </r>
  </si>
  <si>
    <r>
      <t>Charge Type 148 - non-RPP - 4707</t>
    </r>
    <r>
      <rPr>
        <b/>
        <vertAlign val="superscript"/>
        <sz val="11"/>
        <color theme="1"/>
        <rFont val="Calibri"/>
        <family val="2"/>
        <scheme val="minor"/>
      </rPr>
      <t>15</t>
    </r>
  </si>
  <si>
    <r>
      <t>Charge Type 1142 - RPP - 4705 - RPP Settlement - Final Settlement Amount</t>
    </r>
    <r>
      <rPr>
        <b/>
        <vertAlign val="superscript"/>
        <sz val="11"/>
        <color theme="1"/>
        <rFont val="Calibri"/>
        <family val="2"/>
        <scheme val="minor"/>
      </rPr>
      <t>16</t>
    </r>
  </si>
  <si>
    <t>Charge Type 1412 - FIT Program Settlement Amount - 4705</t>
  </si>
  <si>
    <t>Actual cost of power</t>
  </si>
  <si>
    <t>Actual Net Accrued &amp; Billed Revenue from RPP &amp; non-RPP Customers:</t>
  </si>
  <si>
    <t>Table 28: RPP Commodity Revenue</t>
  </si>
  <si>
    <t>Total Actual Revenue</t>
  </si>
  <si>
    <t>Table 29: non-RPP Actual Revenue</t>
  </si>
  <si>
    <t>Actual non-RPP Energy Revenue</t>
  </si>
  <si>
    <t>Actual Class A non-RPP GA Revenue at PDF</t>
  </si>
  <si>
    <t>Class B non-RPP GA Revenue at 1st estimate</t>
  </si>
  <si>
    <t>Actual RPP power sales volumes and revenues</t>
  </si>
  <si>
    <t>Actual Non-RPP power sales volumes and revenues</t>
  </si>
  <si>
    <r>
      <rPr>
        <vertAlign val="superscript"/>
        <sz val="11"/>
        <color theme="1"/>
        <rFont val="Calibri"/>
        <family val="2"/>
        <scheme val="minor"/>
      </rPr>
      <t>14</t>
    </r>
    <r>
      <rPr>
        <sz val="11"/>
        <color theme="1"/>
        <rFont val="Calibri"/>
        <family val="2"/>
        <scheme val="minor"/>
      </rPr>
      <t xml:space="preserve"> - Volumes related to each RPP price point for Revenue based on actual consumption during calendar month.
</t>
    </r>
    <r>
      <rPr>
        <vertAlign val="superscript"/>
        <sz val="11"/>
        <color theme="1"/>
        <rFont val="Calibri"/>
        <family val="2"/>
        <scheme val="minor"/>
      </rPr>
      <t>15</t>
    </r>
    <r>
      <rPr>
        <sz val="11"/>
        <color theme="1"/>
        <rFont val="Calibri"/>
        <family val="2"/>
        <scheme val="minor"/>
      </rPr>
      <t xml:space="preserve"> - Updated GA for RPP and non-RPP class B customers based on actual proportions for RPP and non-RPP Class B customers.
</t>
    </r>
    <r>
      <rPr>
        <vertAlign val="superscript"/>
        <sz val="11"/>
        <color theme="1"/>
        <rFont val="Calibri"/>
        <family val="2"/>
        <scheme val="minor"/>
      </rPr>
      <t>16</t>
    </r>
    <r>
      <rPr>
        <sz val="11"/>
        <color theme="1"/>
        <rFont val="Calibri"/>
        <family val="2"/>
        <scheme val="minor"/>
      </rPr>
      <t xml:space="preserve"> - This is the updated cumulative RPP Settlement amount. The true up element of this amount will be incorporated into Charge 
       Type 1142 in the RPP settlement with the IESO for February or March on day four of February or March.</t>
    </r>
  </si>
  <si>
    <t>RPP Settlement Calculation based on Actual GA Price on Business Day 4 of February 2018</t>
  </si>
  <si>
    <t>Table 31: Estimated RPP Revenue &amp; Actual GA price</t>
  </si>
  <si>
    <t>RPP Revenue Prices</t>
  </si>
  <si>
    <t>RPP Price</t>
  </si>
  <si>
    <t>Estimated RPP Energy Price</t>
  </si>
  <si>
    <t>GA Actual</t>
  </si>
  <si>
    <t>Total Commodity</t>
  </si>
  <si>
    <t>Difference</t>
  </si>
  <si>
    <t>$ Estimated RPP Revenue</t>
  </si>
  <si>
    <t>$ Estimated RPP Energy</t>
  </si>
  <si>
    <t>$ Actual GA</t>
  </si>
  <si>
    <t>$ Estimated RPP Settlement</t>
  </si>
  <si>
    <t>Table 32 Final Revised RPP Settlement based on Actual RPP Revenue and Actual GA Price</t>
  </si>
  <si>
    <t>Actual RPP Energy Price</t>
  </si>
  <si>
    <t>$ Actual RPP Revenue</t>
  </si>
  <si>
    <t>$ Actual RPP Energy</t>
  </si>
  <si>
    <t>2nd RPP Settlement True-up</t>
  </si>
  <si>
    <t>Table 33: True-up of RPP Volumes and Revenue and GA price to actual</t>
  </si>
  <si>
    <t>True-Up elements</t>
  </si>
  <si>
    <t>RPP Energy Price Difference</t>
  </si>
  <si>
    <t>GA Price Difference</t>
  </si>
  <si>
    <t>$ True-Up RPP Revenue</t>
  </si>
  <si>
    <t>$ True-up RPP Energy</t>
  </si>
  <si>
    <t>$ True-up GA</t>
  </si>
  <si>
    <t>$ RPP Settlement True-UP</t>
  </si>
  <si>
    <t>GA Revenue</t>
  </si>
  <si>
    <t>Energy Revenue</t>
  </si>
  <si>
    <t>TOU On-peak (total)</t>
  </si>
  <si>
    <t>Total for all RPP</t>
  </si>
  <si>
    <t xml:space="preserve">Table 30: Actual Average unit cost of power sold for RPP &amp; non-RPP for 2nd True-up </t>
  </si>
  <si>
    <t>$ Final RPP Settlement</t>
  </si>
  <si>
    <t>Total</t>
  </si>
  <si>
    <t>Total Actual IESO Settlement</t>
  </si>
  <si>
    <t>Comparison</t>
  </si>
  <si>
    <t>OEB Method</t>
  </si>
  <si>
    <t>RPP Revenue</t>
  </si>
  <si>
    <t>GA - RPP</t>
  </si>
  <si>
    <t>Diff</t>
  </si>
  <si>
    <t>Non-RPP Revenue</t>
  </si>
  <si>
    <t>Energy Revenue - RPP</t>
  </si>
  <si>
    <t>GA RPP Portion</t>
  </si>
  <si>
    <t>GA - T otal Revenue</t>
  </si>
  <si>
    <t>GA - Class A Cost</t>
  </si>
  <si>
    <t xml:space="preserve">GA - Class B Cost </t>
  </si>
  <si>
    <t>GA - Class A Revenue</t>
  </si>
  <si>
    <t>GA - Total Cost</t>
  </si>
  <si>
    <t xml:space="preserve">Final RPP Settlement Calculation </t>
  </si>
  <si>
    <t>(1)</t>
  </si>
  <si>
    <t>Rate</t>
  </si>
  <si>
    <t>$ Amount</t>
  </si>
  <si>
    <t>(2)</t>
  </si>
  <si>
    <t>Retail kWh</t>
  </si>
  <si>
    <t>Wholesale kWh</t>
  </si>
  <si>
    <t>(3)</t>
  </si>
  <si>
    <t>GA - Class B Non-RPP Revenue</t>
  </si>
  <si>
    <t>(A)</t>
  </si>
  <si>
    <t>(B)</t>
  </si>
  <si>
    <t>(C)</t>
  </si>
  <si>
    <t>GA Costs (4707)</t>
  </si>
  <si>
    <t>Cost of Energy (4705)</t>
  </si>
  <si>
    <t>GA - Cost (4707)</t>
  </si>
  <si>
    <t>Power Costs (4705)</t>
  </si>
  <si>
    <t>Total $</t>
  </si>
  <si>
    <t>from above</t>
  </si>
  <si>
    <t>Table 37 - Total Energy and GA Revenue</t>
  </si>
  <si>
    <t>Volume Data by Customer Group</t>
  </si>
  <si>
    <t>Revenue - Energy Sales (Tables 28 &amp; 29)</t>
  </si>
  <si>
    <t>Revenue - GA (Table 29)</t>
  </si>
  <si>
    <t>Customer Group</t>
  </si>
  <si>
    <t>GA Retail
kWh Volumes</t>
  </si>
  <si>
    <t>Energy Retail kWh Volumes</t>
  </si>
  <si>
    <t>1st Estimate GA</t>
  </si>
  <si>
    <t>Class B - RPP</t>
  </si>
  <si>
    <t xml:space="preserve">Class A - Non-RPP </t>
  </si>
  <si>
    <t>Class B - Non-RPP</t>
  </si>
  <si>
    <t>Table 38 - Account 4705 Total Commodity Costs</t>
  </si>
  <si>
    <t>Costs - 4705 (Table 27)</t>
  </si>
  <si>
    <t>Commodity  (Wholesale)</t>
  </si>
  <si>
    <t>GA (Wholesale)</t>
  </si>
  <si>
    <t>Final IESO RPP Settlement</t>
  </si>
  <si>
    <t>Total Wholesale Cost</t>
  </si>
  <si>
    <t>GA Wholesale kWh Volumes</t>
  </si>
  <si>
    <t>Energy Wholesale kWh Volumes</t>
  </si>
  <si>
    <t>Final Purchased Price</t>
  </si>
  <si>
    <t>Actual GA IESO Bill Price</t>
  </si>
  <si>
    <t>Class B  - RPP</t>
  </si>
  <si>
    <t xml:space="preserve"> </t>
  </si>
  <si>
    <t>Table 39 - Account 4705 Total GA Costs</t>
  </si>
  <si>
    <t>GA Costs - 4707 (Table 27)</t>
  </si>
  <si>
    <t>Table 40 - Account 1588 Balance Explanation</t>
  </si>
  <si>
    <t>1588 - RSVA Power - Balance Explanation</t>
  </si>
  <si>
    <t>Balance Per DVA Continuity</t>
  </si>
  <si>
    <t>Variance - Type</t>
  </si>
  <si>
    <t>Quantity</t>
  </si>
  <si>
    <t>Price</t>
  </si>
  <si>
    <t>Explanation</t>
  </si>
  <si>
    <t>Price Variance</t>
  </si>
  <si>
    <t>Retail vs Wholesale Price Variances</t>
  </si>
  <si>
    <t>Volume Variance</t>
  </si>
  <si>
    <t>Retail vs Wholesale Volume Variance - (UFE differences)</t>
  </si>
  <si>
    <t>Price Difference</t>
  </si>
  <si>
    <t>Balance Explained</t>
  </si>
  <si>
    <t>Table 41 - Account 1589 Balance Explanation</t>
  </si>
  <si>
    <t>1589 - RSVA GA - Balance Explanation</t>
  </si>
  <si>
    <t>Retail GA Price Billed vs Wholesale GA Actual Price paid to IESO</t>
  </si>
  <si>
    <t>1589 Variance Account (after true-up)</t>
  </si>
  <si>
    <t>Wholesale</t>
  </si>
  <si>
    <t xml:space="preserve">Sale of Energy </t>
  </si>
  <si>
    <t>not required</t>
  </si>
  <si>
    <t>see split below</t>
  </si>
  <si>
    <t>RPP - Class B GA actual</t>
  </si>
  <si>
    <t>Non RPP - Class B GA actual</t>
  </si>
  <si>
    <t>linked  to final 2nd true-up</t>
  </si>
  <si>
    <t>UFE</t>
  </si>
  <si>
    <t xml:space="preserve">1588 Variance Account - Final(after true-up) </t>
  </si>
  <si>
    <t>Retail</t>
  </si>
  <si>
    <t>For Informational Purposes Only:</t>
  </si>
  <si>
    <t>Final IESO Settlement (A-B-C)</t>
  </si>
  <si>
    <t xml:space="preserve">FIT/MicroFit @ spot </t>
  </si>
  <si>
    <t>Summary and Explanation of Final Balances of RSVA 1588 and 1589 -OEB Guidance</t>
  </si>
  <si>
    <t>Summary:</t>
  </si>
  <si>
    <t>Energy  Cost</t>
  </si>
  <si>
    <t>GA Cost</t>
  </si>
  <si>
    <t xml:space="preserve">  Adjustment for OEB Accounting Guidance (UFE)</t>
  </si>
  <si>
    <t>Materiality Threshold</t>
  </si>
  <si>
    <t>Entry to Align to OEB Methodology Outcome:</t>
  </si>
  <si>
    <t>EV Method</t>
  </si>
  <si>
    <t>COMPARISON - EV AND OEB METHODOLOGY OUTCOME</t>
  </si>
  <si>
    <t>IESO AQEW</t>
  </si>
  <si>
    <t>Recalculated $
1st True-UP Submitted 20190807</t>
  </si>
  <si>
    <t>Difference = $ Final RPP Settlement</t>
  </si>
  <si>
    <t>+ve = payment to IESO</t>
  </si>
  <si>
    <t>-ve = payment from IESO</t>
  </si>
  <si>
    <t>Table 32a Final Revised RPP Settlement based on Actual RPP Revenue and Actual GA Price - Veridian Methodology</t>
  </si>
  <si>
    <t>Additional Supply - Hydro One</t>
  </si>
  <si>
    <t>HO/Powerstream</t>
  </si>
  <si>
    <t>Commodity Cost of Power per IESO/Hydro One Invoice:</t>
  </si>
  <si>
    <t>Class B non-RPP GA Revenue at actual (embedded)</t>
  </si>
  <si>
    <t>Actual vs. Estimate Tier Volume (kWh):</t>
  </si>
  <si>
    <t>Estimate Tier</t>
  </si>
  <si>
    <t>Actual Tier</t>
  </si>
  <si>
    <t>(1a)</t>
  </si>
  <si>
    <t>Wholesale vs Retail Volume Differences (UFE ):</t>
  </si>
  <si>
    <t>(1b)</t>
  </si>
  <si>
    <t>Total  Difference (1a + 1b)</t>
  </si>
  <si>
    <t xml:space="preserve">  Adjustment for OEB Accounting Guidance (Act Tier + UFE)</t>
  </si>
  <si>
    <t>Net Energy Cost Settlement (IESO CT 101 + Hydro One)</t>
  </si>
  <si>
    <t>* EV Method splits 1598 settlement as follows:  1)RPP less Energy posted to 4705 and 2) GA portion posted to 4707</t>
  </si>
  <si>
    <t>1598 Final Settlement*</t>
  </si>
  <si>
    <t>A/R IESO</t>
  </si>
  <si>
    <t>Data for Final RPP Settlement based on Actual Revenue Volumes Nov 2018:</t>
  </si>
  <si>
    <t xml:space="preserve">Actual </t>
  </si>
  <si>
    <t>1st estimate</t>
  </si>
  <si>
    <t xml:space="preserve">RPP Settlement </t>
  </si>
  <si>
    <t xml:space="preserve">Account Balance </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</si>
</sst>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00_);_(* \(#,##0.00000\);_(* &quot;-&quot;??_);_(@_)"/>
    <numFmt numFmtId="167" formatCode="_(&quot;$&quot;* #,##0.0000_);_(&quot;$&quot;* \(#,##0.0000\);_(&quot;$&quot;* &quot;-&quot;??_);_(@_)"/>
    <numFmt numFmtId="168" formatCode="_-* #,##0_-;\-* #,##0_-;_-* &quot;-&quot;??_-;_-@_-"/>
    <numFmt numFmtId="169" formatCode="_(&quot;$&quot;* #,##0.000_);_(&quot;$&quot;* \(#,##0.000\);_(&quot;$&quot;* &quot;-&quot;??_);_(@_)"/>
    <numFmt numFmtId="170" formatCode="_(* #,##0.0000_);_(* \(#,##0.0000\);_(* &quot;-&quot;??_);_(@_)"/>
    <numFmt numFmtId="171" formatCode="_-&quot;$&quot;* #,##0.0000_-;\-&quot;$&quot;* #,##0.0000_-;_-&quot;$&quot;* &quot;-&quot;??_-;_-@_-"/>
    <numFmt numFmtId="172" formatCode="_(&quot;$&quot;* #,##0.00000_);_(&quot;$&quot;* \(#,##0.00000\);_(&quot;$&quot;* &quot;-&quot;??_);_(@_)"/>
    <numFmt numFmtId="173" formatCode="_-&quot;$&quot;* #,##0.00_-;\-&quot;$&quot;* #,##0.00_-;_-&quot;$&quot;* &quot;-&quot;??_-;_-@_-"/>
    <numFmt numFmtId="174" formatCode="_-* #,##0.00_-;\-* #,##0.00_-;_-* &quot;-&quot;??_-;_-@_-"/>
    <numFmt numFmtId="175" formatCode="_-&quot;$&quot;* #,##0_-;\-&quot;$&quot;* #,##0_-;_-&quot;$&quot;* &quot;-&quot;????_-;_-@_-"/>
    <numFmt numFmtId="176" formatCode="_-&quot;$&quot;* #,##0_-;\-&quot;$&quot;* #,##0_-;_-&quot;$&quot;* &quot;-&quot;??_-;_-@_-"/>
    <numFmt numFmtId="177" formatCode="_-&quot;$&quot;* #,##0.00000_-;\-&quot;$&quot;* #,##0.00000_-;_-&quot;$&quot;* &quot;-&quot;??_-;_-@_-"/>
    <numFmt numFmtId="178" formatCode="0.000000"/>
    <numFmt numFmtId="179" formatCode="_(* #,##0.000_);_(* \(#,##0.000\);_(* &quot;-&quot;??_);_(@_)"/>
    <numFmt numFmtId="180" formatCode="0.00000"/>
    <numFmt numFmtId="181" formatCode="\ mm\/dd\/yyyy"/>
    <numFmt numFmtId="182" formatCode="0.0000"/>
    <numFmt numFmtId="183" formatCode="_(* #,##0.000000_);_(* \(#,##0.000000\);_(* &quot;-&quot;??_);_(@_)"/>
    <numFmt numFmtId="184" formatCode="0.0%"/>
    <numFmt numFmtId="185" formatCode="_(&quot;$&quot;* #,##0.000000_);_(&quot;$&quot;* \(#,##0.000000\);_(&quot;$&quot;* &quot;-&quot;??_);_(@_)"/>
    <numFmt numFmtId="186" formatCode="0.000%"/>
    <numFmt numFmtId="187" formatCode="_(* #,##0.0000000_);_(* \(#,##0.0000000\);_(* &quot;-&quot;??_);_(@_)"/>
    <numFmt numFmtId="188" formatCode="_-* #,##0.000000_-;\-* #,##0.000000_-;_-* &quot;-&quot;??_-;_-@_-"/>
    <numFmt numFmtId="189" formatCode="#,##0.00000_);[Red]\(#,##0.00000\)"/>
    <numFmt numFmtId="190" formatCode="_(&quot;$&quot;* #,##0.0000_);_(&quot;$&quot;* \(#,##0.0000\);_(&quot;$&quot;*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11"/>
      <name val="Calibri"/>
      <family val="2"/>
      <scheme val="minor"/>
    </font>
    <font>
      <b/>
      <vertAlign val="superscript"/>
      <sz val="10"/>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20"/>
      <color theme="1"/>
      <name val="Calibri"/>
      <family val="2"/>
      <scheme val="minor"/>
    </font>
    <font>
      <i/>
      <sz val="11"/>
      <color theme="1"/>
      <name val="Calibri"/>
      <family val="2"/>
      <scheme val="minor"/>
    </font>
    <font>
      <sz val="9"/>
      <color theme="1"/>
      <name val="Calibri"/>
      <family val="2"/>
      <scheme val="minor"/>
    </font>
    <font>
      <u/>
      <sz val="11"/>
      <color theme="1"/>
      <name val="Calibri"/>
      <family val="2"/>
      <scheme val="minor"/>
    </font>
    <font>
      <sz val="12"/>
      <name val="Arial"/>
      <family val="2"/>
    </font>
    <font>
      <u/>
      <sz val="10"/>
      <name val="Arial"/>
      <family val="2"/>
    </font>
    <font>
      <sz val="11"/>
      <name val="Comic Sans MS"/>
      <family val="4"/>
    </font>
    <font>
      <b/>
      <u/>
      <sz val="20"/>
      <color theme="1"/>
      <name val="Calibri"/>
      <family val="2"/>
      <scheme val="minor"/>
    </font>
    <font>
      <b/>
      <sz val="12"/>
      <color theme="1"/>
      <name val="Calibri"/>
      <family val="2"/>
      <scheme val="minor"/>
    </font>
    <font>
      <sz val="10"/>
      <color theme="1"/>
      <name val="Calibri"/>
      <family val="2"/>
      <scheme val="minor"/>
    </font>
    <font>
      <i/>
      <sz val="10"/>
      <color theme="1"/>
      <name val="Calibri"/>
      <family val="2"/>
      <scheme val="minor"/>
    </font>
    <font>
      <b/>
      <u/>
      <sz val="18"/>
      <color theme="1"/>
      <name val="Calibri"/>
      <family val="2"/>
      <scheme val="minor"/>
    </font>
    <font>
      <u/>
      <sz val="10"/>
      <color theme="1"/>
      <name val="Calibri"/>
      <family val="2"/>
      <scheme val="minor"/>
    </font>
    <font>
      <b/>
      <u/>
      <sz val="16"/>
      <color theme="1"/>
      <name val="Calibri"/>
      <family val="2"/>
      <scheme val="minor"/>
    </font>
    <font>
      <i/>
      <sz val="9"/>
      <color theme="1"/>
      <name val="Calibri"/>
      <family val="2"/>
      <scheme val="minor"/>
    </font>
    <font>
      <sz val="10"/>
      <name val="Arial"/>
      <family val="2"/>
    </font>
  </fonts>
  <fills count="7">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s>
  <borders count="68">
    <border>
      <left/>
      <right/>
      <top/>
      <bottom/>
      <diagonal/>
    </border>
    <border>
      <left/>
      <right/>
      <top style="thin">
        <color indexed="64"/>
      </top>
      <bottom style="thin">
        <color auto="1"/>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auto="1"/>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thin">
        <color auto="1"/>
      </top>
      <bottom style="medium">
        <color auto="1"/>
      </bottom>
      <diagonal/>
    </border>
    <border>
      <left style="thin">
        <color indexed="64"/>
      </left>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top style="medium">
        <color auto="1"/>
      </top>
      <bottom style="medium">
        <color auto="1"/>
      </bottom>
      <diagonal/>
    </border>
    <border>
      <left style="dashed">
        <color indexed="64"/>
      </left>
      <right style="thin">
        <color auto="1"/>
      </right>
      <top style="medium">
        <color auto="1"/>
      </top>
      <bottom style="medium">
        <color auto="1"/>
      </bottom>
      <diagonal/>
    </border>
    <border>
      <left style="thin">
        <color auto="1"/>
      </left>
      <right style="thin">
        <color auto="1"/>
      </right>
      <top style="medium">
        <color auto="1"/>
      </top>
      <bottom style="thin">
        <color indexed="64"/>
      </bottom>
      <diagonal/>
    </border>
    <border>
      <left style="thin">
        <color auto="1"/>
      </left>
      <right style="thin">
        <color auto="1"/>
      </right>
      <top style="thin">
        <color auto="1"/>
      </top>
      <bottom style="medium">
        <color auto="1"/>
      </bottom>
      <diagonal/>
    </border>
    <border>
      <left style="thin">
        <color indexed="64"/>
      </left>
      <right style="thin">
        <color auto="1"/>
      </right>
      <top style="medium">
        <color auto="1"/>
      </top>
      <bottom style="double">
        <color indexed="64"/>
      </bottom>
      <diagonal/>
    </border>
    <border>
      <left style="dashed">
        <color indexed="64"/>
      </left>
      <right style="thin">
        <color auto="1"/>
      </right>
      <top style="medium">
        <color auto="1"/>
      </top>
      <bottom style="double">
        <color indexed="64"/>
      </bottom>
      <diagonal/>
    </border>
    <border>
      <left/>
      <right style="thin">
        <color auto="1"/>
      </right>
      <top style="medium">
        <color auto="1"/>
      </top>
      <bottom style="medium">
        <color auto="1"/>
      </bottom>
      <diagonal/>
    </border>
    <border>
      <left/>
      <right style="hair">
        <color auto="1"/>
      </right>
      <top style="medium">
        <color auto="1"/>
      </top>
      <bottom style="medium">
        <color auto="1"/>
      </bottom>
      <diagonal/>
    </border>
    <border>
      <left style="thin">
        <color auto="1"/>
      </left>
      <right/>
      <top style="medium">
        <color auto="1"/>
      </top>
      <bottom style="thin">
        <color auto="1"/>
      </bottom>
      <diagonal/>
    </border>
    <border>
      <left style="dashed">
        <color indexed="64"/>
      </left>
      <right style="thin">
        <color auto="1"/>
      </right>
      <top style="medium">
        <color auto="1"/>
      </top>
      <bottom style="thin">
        <color auto="1"/>
      </bottom>
      <diagonal/>
    </border>
    <border>
      <left/>
      <right style="hair">
        <color auto="1"/>
      </right>
      <top style="medium">
        <color auto="1"/>
      </top>
      <bottom style="thin">
        <color auto="1"/>
      </bottom>
      <diagonal/>
    </border>
    <border>
      <left/>
      <right style="thin">
        <color indexed="64"/>
      </right>
      <top style="medium">
        <color auto="1"/>
      </top>
      <bottom style="thin">
        <color auto="1"/>
      </bottom>
      <diagonal/>
    </border>
    <border>
      <left style="dashed">
        <color indexed="64"/>
      </left>
      <right style="thin">
        <color auto="1"/>
      </right>
      <top style="thin">
        <color indexed="64"/>
      </top>
      <bottom style="thin">
        <color indexed="64"/>
      </bottom>
      <diagonal/>
    </border>
    <border>
      <left/>
      <right style="hair">
        <color auto="1"/>
      </right>
      <top style="thin">
        <color auto="1"/>
      </top>
      <bottom style="thin">
        <color auto="1"/>
      </bottom>
      <diagonal/>
    </border>
    <border>
      <left style="thin">
        <color auto="1"/>
      </left>
      <right style="dashed">
        <color indexed="64"/>
      </right>
      <top style="thin">
        <color auto="1"/>
      </top>
      <bottom style="medium">
        <color auto="1"/>
      </bottom>
      <diagonal/>
    </border>
    <border>
      <left style="dashed">
        <color indexed="64"/>
      </left>
      <right style="medium">
        <color auto="1"/>
      </right>
      <top style="medium">
        <color auto="1"/>
      </top>
      <bottom style="medium">
        <color auto="1"/>
      </bottom>
      <diagonal/>
    </border>
    <border>
      <left style="dashed">
        <color indexed="64"/>
      </left>
      <right style="thin">
        <color auto="1"/>
      </right>
      <top style="thin">
        <color indexed="64"/>
      </top>
      <bottom style="medium">
        <color auto="1"/>
      </bottom>
      <diagonal/>
    </border>
    <border>
      <left/>
      <right style="thin">
        <color indexed="64"/>
      </right>
      <top style="medium">
        <color auto="1"/>
      </top>
      <bottom style="double">
        <color auto="1"/>
      </bottom>
      <diagonal/>
    </border>
    <border>
      <left style="thin">
        <color auto="1"/>
      </left>
      <right/>
      <top/>
      <bottom style="medium">
        <color auto="1"/>
      </bottom>
      <diagonal/>
    </border>
    <border>
      <left/>
      <right style="thin">
        <color indexed="64"/>
      </right>
      <top/>
      <bottom style="medium">
        <color auto="1"/>
      </bottom>
      <diagonal/>
    </border>
    <border>
      <left style="dashed">
        <color indexed="64"/>
      </left>
      <right style="dashed">
        <color indexed="64"/>
      </right>
      <top style="medium">
        <color auto="1"/>
      </top>
      <bottom style="medium">
        <color auto="1"/>
      </bottom>
      <diagonal/>
    </border>
    <border>
      <left style="medium">
        <color auto="1"/>
      </left>
      <right/>
      <top style="medium">
        <color auto="1"/>
      </top>
      <bottom style="thin">
        <color auto="1"/>
      </bottom>
      <diagonal/>
    </border>
    <border>
      <left style="dashed">
        <color indexed="64"/>
      </left>
      <right style="dashed">
        <color indexed="64"/>
      </right>
      <top style="medium">
        <color auto="1"/>
      </top>
      <bottom style="thin">
        <color auto="1"/>
      </bottom>
      <diagonal/>
    </border>
    <border>
      <left/>
      <right style="medium">
        <color auto="1"/>
      </right>
      <top style="medium">
        <color auto="1"/>
      </top>
      <bottom style="thin">
        <color auto="1"/>
      </bottom>
      <diagonal/>
    </border>
    <border>
      <left style="dashed">
        <color indexed="64"/>
      </left>
      <right style="dashed">
        <color indexed="64"/>
      </right>
      <top style="thin">
        <color indexed="64"/>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dashed">
        <color indexed="64"/>
      </left>
      <right style="dashed">
        <color indexed="64"/>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3" fillId="0" borderId="0"/>
    <xf numFmtId="0" fontId="24" fillId="0" borderId="0"/>
    <xf numFmtId="43" fontId="1" fillId="0" borderId="0" applyFont="0" applyFill="0" applyBorder="0" applyAlignment="0" applyProtection="0"/>
  </cellStyleXfs>
  <cellXfs count="444">
    <xf numFmtId="0" fontId="0" fillId="0" borderId="0" xfId="0"/>
    <xf numFmtId="0" fontId="3" fillId="0" borderId="0" xfId="0" applyFont="1"/>
    <xf numFmtId="0" fontId="2" fillId="0" borderId="0" xfId="0" applyFont="1"/>
    <xf numFmtId="0" fontId="0" fillId="0" borderId="0" xfId="0" applyBorder="1"/>
    <xf numFmtId="0" fontId="0" fillId="0" borderId="0" xfId="0" applyFont="1"/>
    <xf numFmtId="164" fontId="0" fillId="0" borderId="0" xfId="1" applyNumberFormat="1" applyFont="1" applyFill="1"/>
    <xf numFmtId="164" fontId="0" fillId="0" borderId="0" xfId="1" applyNumberFormat="1" applyFont="1"/>
    <xf numFmtId="164" fontId="0" fillId="0" borderId="0" xfId="0" applyNumberFormat="1"/>
    <xf numFmtId="0" fontId="3" fillId="0" borderId="0" xfId="0" applyFont="1" applyBorder="1"/>
    <xf numFmtId="165" fontId="0" fillId="0" borderId="0" xfId="0" applyNumberFormat="1" applyBorder="1"/>
    <xf numFmtId="164" fontId="0" fillId="0" borderId="1" xfId="1" applyNumberFormat="1" applyFont="1" applyFill="1" applyBorder="1"/>
    <xf numFmtId="0" fontId="2" fillId="0" borderId="0" xfId="0" applyFont="1" applyBorder="1" applyAlignment="1">
      <alignment horizontal="center"/>
    </xf>
    <xf numFmtId="164" fontId="2" fillId="0" borderId="0" xfId="1" applyNumberFormat="1" applyFont="1" applyBorder="1" applyAlignment="1">
      <alignment horizontal="center"/>
    </xf>
    <xf numFmtId="0" fontId="2" fillId="0" borderId="0" xfId="0" applyFont="1" applyBorder="1" applyAlignment="1">
      <alignment horizontal="center" wrapText="1"/>
    </xf>
    <xf numFmtId="10" fontId="0" fillId="0" borderId="0" xfId="3" applyNumberFormat="1" applyFont="1"/>
    <xf numFmtId="10" fontId="0" fillId="0" borderId="0" xfId="3" applyNumberFormat="1" applyFont="1" applyFill="1"/>
    <xf numFmtId="166" fontId="0" fillId="0" borderId="0" xfId="0" applyNumberFormat="1" applyBorder="1"/>
    <xf numFmtId="167" fontId="0" fillId="0" borderId="0" xfId="0" applyNumberFormat="1" applyBorder="1"/>
    <xf numFmtId="164" fontId="0" fillId="0" borderId="0" xfId="0" applyNumberFormat="1" applyBorder="1"/>
    <xf numFmtId="165" fontId="0" fillId="0" borderId="0" xfId="2" applyNumberFormat="1" applyFont="1" applyBorder="1"/>
    <xf numFmtId="10" fontId="0" fillId="0" borderId="0" xfId="3" applyNumberFormat="1" applyFont="1" applyBorder="1"/>
    <xf numFmtId="0" fontId="0" fillId="0" borderId="0" xfId="0" applyFill="1"/>
    <xf numFmtId="10" fontId="0" fillId="0" borderId="2" xfId="0" applyNumberFormat="1" applyBorder="1"/>
    <xf numFmtId="164" fontId="0" fillId="0" borderId="2" xfId="0" applyNumberFormat="1" applyBorder="1"/>
    <xf numFmtId="0" fontId="4" fillId="0" borderId="0" xfId="0" applyFont="1"/>
    <xf numFmtId="167" fontId="0" fillId="0" borderId="0" xfId="0" applyNumberFormat="1"/>
    <xf numFmtId="165" fontId="0" fillId="0" borderId="0" xfId="2" applyNumberFormat="1" applyFont="1"/>
    <xf numFmtId="168" fontId="0" fillId="0" borderId="0" xfId="1" applyNumberFormat="1" applyFont="1"/>
    <xf numFmtId="169" fontId="0" fillId="0" borderId="0" xfId="2" applyNumberFormat="1" applyFont="1" applyFill="1"/>
    <xf numFmtId="169" fontId="0" fillId="0" borderId="0" xfId="2" applyNumberFormat="1" applyFont="1"/>
    <xf numFmtId="164" fontId="5" fillId="0" borderId="0" xfId="1" applyNumberFormat="1" applyFont="1" applyFill="1"/>
    <xf numFmtId="43" fontId="0" fillId="0" borderId="0" xfId="0" applyNumberFormat="1"/>
    <xf numFmtId="164" fontId="0" fillId="0" borderId="0" xfId="3" applyNumberFormat="1" applyFont="1"/>
    <xf numFmtId="0" fontId="0" fillId="0" borderId="0" xfId="0" applyAlignment="1">
      <alignment horizontal="center"/>
    </xf>
    <xf numFmtId="170" fontId="0" fillId="0" borderId="0" xfId="0" applyNumberFormat="1"/>
    <xf numFmtId="167" fontId="0" fillId="0" borderId="0" xfId="2" applyNumberFormat="1" applyFont="1"/>
    <xf numFmtId="44" fontId="0" fillId="0" borderId="0" xfId="0" applyNumberFormat="1"/>
    <xf numFmtId="171" fontId="0" fillId="0" borderId="0" xfId="0" applyNumberFormat="1"/>
    <xf numFmtId="165" fontId="2" fillId="0" borderId="0" xfId="2" applyNumberFormat="1" applyFont="1" applyBorder="1" applyAlignment="1">
      <alignment horizontal="center"/>
    </xf>
    <xf numFmtId="165" fontId="0" fillId="0" borderId="0" xfId="2" applyNumberFormat="1" applyFont="1" applyFill="1"/>
    <xf numFmtId="165" fontId="0" fillId="0" borderId="0" xfId="0" applyNumberFormat="1" applyFill="1"/>
    <xf numFmtId="172" fontId="0" fillId="0" borderId="0" xfId="0" applyNumberFormat="1" applyFill="1"/>
    <xf numFmtId="165" fontId="0" fillId="0" borderId="2" xfId="2" applyNumberFormat="1" applyFont="1" applyFill="1" applyBorder="1"/>
    <xf numFmtId="44" fontId="0" fillId="0" borderId="0" xfId="2" applyFont="1"/>
    <xf numFmtId="44" fontId="0" fillId="0" borderId="0" xfId="2" applyFont="1" applyFill="1"/>
    <xf numFmtId="165" fontId="0" fillId="0" borderId="0" xfId="0" applyNumberFormat="1"/>
    <xf numFmtId="164" fontId="0" fillId="0" borderId="0" xfId="0" applyNumberFormat="1" applyFill="1"/>
    <xf numFmtId="0" fontId="2" fillId="0" borderId="0" xfId="0" applyFont="1" applyFill="1" applyAlignment="1">
      <alignment horizontal="center" wrapText="1"/>
    </xf>
    <xf numFmtId="173" fontId="0" fillId="0" borderId="0" xfId="0" applyNumberFormat="1"/>
    <xf numFmtId="174" fontId="0" fillId="0" borderId="0" xfId="0" applyNumberFormat="1" applyFill="1"/>
    <xf numFmtId="175" fontId="0" fillId="0" borderId="0" xfId="0" applyNumberFormat="1"/>
    <xf numFmtId="175" fontId="0" fillId="0" borderId="0" xfId="0" applyNumberFormat="1" applyFill="1"/>
    <xf numFmtId="164" fontId="0" fillId="0" borderId="2" xfId="1" applyNumberFormat="1" applyFont="1" applyBorder="1"/>
    <xf numFmtId="165" fontId="0" fillId="0" borderId="0" xfId="2" applyNumberFormat="1" applyFont="1" applyFill="1" applyBorder="1"/>
    <xf numFmtId="164" fontId="0" fillId="0" borderId="0" xfId="1" applyNumberFormat="1" applyFont="1" applyBorder="1"/>
    <xf numFmtId="44" fontId="0" fillId="0" borderId="0" xfId="0" applyNumberFormat="1" applyFill="1"/>
    <xf numFmtId="165" fontId="2" fillId="0" borderId="0" xfId="2" applyNumberFormat="1" applyFont="1" applyFill="1" applyBorder="1" applyAlignment="1">
      <alignment horizontal="center"/>
    </xf>
    <xf numFmtId="167" fontId="0" fillId="0" borderId="0" xfId="0" applyNumberFormat="1" applyFont="1" applyFill="1"/>
    <xf numFmtId="164" fontId="1" fillId="0" borderId="0" xfId="1" applyNumberFormat="1" applyFont="1" applyBorder="1"/>
    <xf numFmtId="165" fontId="1" fillId="0" borderId="0" xfId="2" applyNumberFormat="1" applyFont="1" applyFill="1" applyBorder="1"/>
    <xf numFmtId="165" fontId="0" fillId="0" borderId="2" xfId="2" applyNumberFormat="1" applyFont="1" applyBorder="1"/>
    <xf numFmtId="10" fontId="0" fillId="0" borderId="0" xfId="3" applyNumberFormat="1" applyFont="1" applyFill="1" applyBorder="1"/>
    <xf numFmtId="174" fontId="0" fillId="0" borderId="0" xfId="0" applyNumberFormat="1"/>
    <xf numFmtId="9" fontId="0" fillId="0" borderId="0" xfId="3" applyFont="1" applyBorder="1"/>
    <xf numFmtId="166" fontId="0" fillId="0" borderId="0" xfId="1" applyNumberFormat="1" applyFont="1" applyBorder="1"/>
    <xf numFmtId="177" fontId="0" fillId="0" borderId="0" xfId="0" applyNumberFormat="1"/>
    <xf numFmtId="167" fontId="0" fillId="0" borderId="1" xfId="0" applyNumberFormat="1" applyBorder="1"/>
    <xf numFmtId="164" fontId="0" fillId="0" borderId="1" xfId="1" applyNumberFormat="1" applyFont="1" applyBorder="1"/>
    <xf numFmtId="165" fontId="0" fillId="0" borderId="2" xfId="0" applyNumberFormat="1" applyBorder="1"/>
    <xf numFmtId="172" fontId="0" fillId="0" borderId="0" xfId="3" applyNumberFormat="1" applyFont="1" applyBorder="1"/>
    <xf numFmtId="174" fontId="0" fillId="0" borderId="0" xfId="1" applyNumberFormat="1" applyFont="1" applyBorder="1"/>
    <xf numFmtId="172" fontId="0" fillId="0" borderId="0" xfId="2" applyNumberFormat="1" applyFont="1" applyBorder="1"/>
    <xf numFmtId="43" fontId="0" fillId="0" borderId="0" xfId="1" applyFont="1" applyBorder="1"/>
    <xf numFmtId="0" fontId="0" fillId="0" borderId="0" xfId="0" applyFill="1" applyBorder="1"/>
    <xf numFmtId="0" fontId="2" fillId="0" borderId="0" xfId="0" applyFont="1" applyFill="1" applyBorder="1" applyAlignment="1">
      <alignment horizontal="center"/>
    </xf>
    <xf numFmtId="164" fontId="0" fillId="0" borderId="0" xfId="1" applyNumberFormat="1" applyFont="1" applyFill="1" applyBorder="1"/>
    <xf numFmtId="165" fontId="0" fillId="0" borderId="0" xfId="0" applyNumberFormat="1" applyFill="1" applyBorder="1"/>
    <xf numFmtId="0" fontId="9" fillId="0" borderId="0" xfId="0" applyFont="1"/>
    <xf numFmtId="0" fontId="2" fillId="0" borderId="0" xfId="0" applyFont="1" applyBorder="1"/>
    <xf numFmtId="0" fontId="2" fillId="0" borderId="3" xfId="0" applyFont="1" applyBorder="1"/>
    <xf numFmtId="0" fontId="2" fillId="0" borderId="3" xfId="0" applyFont="1" applyBorder="1" applyAlignment="1">
      <alignment horizontal="center"/>
    </xf>
    <xf numFmtId="0" fontId="2" fillId="0" borderId="3" xfId="0" applyFont="1" applyBorder="1" applyAlignment="1">
      <alignment horizontal="center" wrapText="1"/>
    </xf>
    <xf numFmtId="0" fontId="2" fillId="0" borderId="0" xfId="0" applyFont="1" applyBorder="1" applyAlignment="1">
      <alignment wrapText="1"/>
    </xf>
    <xf numFmtId="0" fontId="0" fillId="0" borderId="4" xfId="0" applyBorder="1"/>
    <xf numFmtId="167" fontId="0" fillId="0" borderId="5" xfId="2" applyNumberFormat="1" applyFont="1" applyBorder="1"/>
    <xf numFmtId="171" fontId="0" fillId="0" borderId="5" xfId="0" applyNumberFormat="1" applyBorder="1"/>
    <xf numFmtId="169" fontId="0" fillId="0" borderId="0" xfId="0" applyNumberFormat="1" applyBorder="1"/>
    <xf numFmtId="167" fontId="0" fillId="0" borderId="0" xfId="2" applyNumberFormat="1" applyFont="1" applyBorder="1"/>
    <xf numFmtId="171" fontId="0" fillId="0" borderId="0" xfId="0" applyNumberFormat="1" applyBorder="1"/>
    <xf numFmtId="164" fontId="0" fillId="0" borderId="0" xfId="3" applyNumberFormat="1" applyFont="1" applyBorder="1"/>
    <xf numFmtId="0" fontId="0" fillId="0" borderId="6" xfId="0" applyBorder="1"/>
    <xf numFmtId="0" fontId="0" fillId="0" borderId="7" xfId="0" applyBorder="1"/>
    <xf numFmtId="167" fontId="0" fillId="0" borderId="8" xfId="2" applyNumberFormat="1" applyFont="1" applyBorder="1"/>
    <xf numFmtId="171" fontId="0" fillId="0" borderId="8" xfId="0" applyNumberFormat="1" applyBorder="1"/>
    <xf numFmtId="167" fontId="0" fillId="0" borderId="9" xfId="2" applyNumberFormat="1" applyFont="1" applyBorder="1"/>
    <xf numFmtId="177" fontId="0" fillId="0" borderId="0" xfId="0" applyNumberFormat="1" applyBorder="1"/>
    <xf numFmtId="0" fontId="0" fillId="0" borderId="0" xfId="0" applyBorder="1" applyAlignment="1">
      <alignment horizontal="center"/>
    </xf>
    <xf numFmtId="173" fontId="0" fillId="0" borderId="0" xfId="0" applyNumberFormat="1" applyBorder="1"/>
    <xf numFmtId="0" fontId="2" fillId="0" borderId="3" xfId="0" applyFont="1" applyBorder="1" applyAlignment="1">
      <alignment wrapText="1"/>
    </xf>
    <xf numFmtId="0" fontId="2" fillId="0" borderId="0" xfId="0" applyFont="1" applyFill="1" applyBorder="1" applyAlignment="1">
      <alignment horizontal="center" wrapText="1"/>
    </xf>
    <xf numFmtId="169" fontId="0" fillId="0" borderId="5" xfId="0" applyNumberFormat="1" applyBorder="1"/>
    <xf numFmtId="169" fontId="0" fillId="0" borderId="8" xfId="0" applyNumberFormat="1" applyBorder="1"/>
    <xf numFmtId="0" fontId="2" fillId="0" borderId="0" xfId="0" applyFont="1" applyAlignment="1">
      <alignment horizontal="center"/>
    </xf>
    <xf numFmtId="0" fontId="2" fillId="0" borderId="0" xfId="0" applyFont="1" applyAlignment="1">
      <alignment horizontal="center" wrapText="1"/>
    </xf>
    <xf numFmtId="0" fontId="0" fillId="0" borderId="0" xfId="0" applyFill="1" applyAlignment="1">
      <alignment horizontal="center"/>
    </xf>
    <xf numFmtId="0" fontId="0" fillId="0" borderId="11" xfId="0" applyBorder="1"/>
    <xf numFmtId="0" fontId="0" fillId="0" borderId="0" xfId="0" applyBorder="1" applyAlignment="1">
      <alignment horizontal="left"/>
    </xf>
    <xf numFmtId="0" fontId="11" fillId="0" borderId="0" xfId="0" applyFont="1" applyFill="1"/>
    <xf numFmtId="0" fontId="0" fillId="0" borderId="8" xfId="0" applyBorder="1" applyAlignment="1">
      <alignment horizontal="center"/>
    </xf>
    <xf numFmtId="164" fontId="0" fillId="2" borderId="0" xfId="1" applyNumberFormat="1" applyFont="1" applyFill="1"/>
    <xf numFmtId="164" fontId="0" fillId="2" borderId="0" xfId="0" applyNumberFormat="1" applyFill="1"/>
    <xf numFmtId="172" fontId="0" fillId="0" borderId="0" xfId="0" applyNumberFormat="1"/>
    <xf numFmtId="167" fontId="0" fillId="0" borderId="5" xfId="2" applyNumberFormat="1" applyFont="1" applyFill="1" applyBorder="1"/>
    <xf numFmtId="167" fontId="0" fillId="0" borderId="0" xfId="2" applyNumberFormat="1" applyFont="1" applyFill="1" applyBorder="1"/>
    <xf numFmtId="167" fontId="0" fillId="0" borderId="8" xfId="2" applyNumberFormat="1" applyFont="1" applyFill="1" applyBorder="1"/>
    <xf numFmtId="0" fontId="0" fillId="0" borderId="0" xfId="0" applyFill="1" applyBorder="1" applyAlignment="1">
      <alignment horizontal="center"/>
    </xf>
    <xf numFmtId="164" fontId="2" fillId="0" borderId="0" xfId="0" applyNumberFormat="1" applyFont="1" applyBorder="1" applyAlignment="1">
      <alignment horizontal="center"/>
    </xf>
    <xf numFmtId="43" fontId="0" fillId="0" borderId="0" xfId="1" applyFont="1"/>
    <xf numFmtId="43" fontId="0" fillId="0" borderId="0" xfId="1" applyNumberFormat="1" applyFont="1" applyFill="1" applyBorder="1"/>
    <xf numFmtId="0" fontId="16" fillId="0" borderId="0" xfId="0" applyFont="1" applyAlignment="1"/>
    <xf numFmtId="0" fontId="0" fillId="0" borderId="0" xfId="0" applyAlignment="1">
      <alignment wrapText="1"/>
    </xf>
    <xf numFmtId="0" fontId="16" fillId="0" borderId="0" xfId="0" applyFont="1" applyAlignment="1">
      <alignment horizontal="center"/>
    </xf>
    <xf numFmtId="0" fontId="2" fillId="0" borderId="33" xfId="0" applyFont="1" applyBorder="1"/>
    <xf numFmtId="0" fontId="2" fillId="0" borderId="34" xfId="0" applyFont="1" applyBorder="1" applyAlignment="1">
      <alignment horizontal="center" wrapText="1"/>
    </xf>
    <xf numFmtId="0" fontId="2" fillId="0" borderId="35" xfId="0" applyFont="1" applyBorder="1" applyAlignment="1">
      <alignment horizontal="center"/>
    </xf>
    <xf numFmtId="0" fontId="2" fillId="0" borderId="36" xfId="0" applyFont="1" applyBorder="1" applyAlignment="1">
      <alignment horizontal="center"/>
    </xf>
    <xf numFmtId="0" fontId="2" fillId="0" borderId="35" xfId="0" applyFont="1" applyBorder="1" applyAlignment="1">
      <alignment horizontal="center" wrapText="1"/>
    </xf>
    <xf numFmtId="164" fontId="0" fillId="0" borderId="0" xfId="0" applyNumberFormat="1" applyAlignment="1">
      <alignment wrapText="1"/>
    </xf>
    <xf numFmtId="164" fontId="0" fillId="0" borderId="0" xfId="1" applyNumberFormat="1" applyFont="1" applyAlignment="1">
      <alignment wrapText="1"/>
    </xf>
    <xf numFmtId="187" fontId="0" fillId="0" borderId="0" xfId="0" applyNumberFormat="1" applyAlignment="1">
      <alignment wrapText="1"/>
    </xf>
    <xf numFmtId="0" fontId="0" fillId="0" borderId="3" xfId="0" applyFont="1" applyBorder="1"/>
    <xf numFmtId="164" fontId="0" fillId="0" borderId="37" xfId="0" applyNumberFormat="1" applyBorder="1"/>
    <xf numFmtId="167" fontId="0" fillId="0" borderId="37" xfId="0" applyNumberFormat="1" applyBorder="1"/>
    <xf numFmtId="0" fontId="0" fillId="0" borderId="37" xfId="0" applyBorder="1"/>
    <xf numFmtId="164" fontId="0" fillId="0" borderId="3" xfId="0" applyNumberFormat="1" applyBorder="1"/>
    <xf numFmtId="167" fontId="0" fillId="0" borderId="3" xfId="0" applyNumberFormat="1" applyBorder="1"/>
    <xf numFmtId="0" fontId="0" fillId="0" borderId="3" xfId="0" applyBorder="1"/>
    <xf numFmtId="164" fontId="0" fillId="0" borderId="38" xfId="0" applyNumberFormat="1" applyBorder="1"/>
    <xf numFmtId="167" fontId="0" fillId="0" borderId="38" xfId="0" applyNumberFormat="1" applyBorder="1"/>
    <xf numFmtId="43" fontId="0" fillId="0" borderId="0" xfId="0" applyNumberFormat="1" applyAlignment="1">
      <alignment wrapText="1"/>
    </xf>
    <xf numFmtId="164" fontId="0" fillId="0" borderId="39" xfId="0" applyNumberFormat="1" applyBorder="1"/>
    <xf numFmtId="0" fontId="0" fillId="0" borderId="30" xfId="0" applyBorder="1"/>
    <xf numFmtId="165" fontId="0" fillId="0" borderId="0" xfId="0" applyNumberFormat="1" applyAlignment="1">
      <alignment wrapText="1"/>
    </xf>
    <xf numFmtId="166" fontId="0" fillId="0" borderId="0" xfId="0" applyNumberFormat="1" applyAlignment="1">
      <alignment wrapText="1"/>
    </xf>
    <xf numFmtId="164" fontId="0" fillId="0" borderId="0" xfId="0" applyNumberFormat="1" applyFill="1" applyBorder="1"/>
    <xf numFmtId="0" fontId="0" fillId="3" borderId="4" xfId="0" applyFill="1" applyBorder="1"/>
    <xf numFmtId="0" fontId="0" fillId="3" borderId="5" xfId="0" applyFill="1" applyBorder="1"/>
    <xf numFmtId="0" fontId="0" fillId="3" borderId="31" xfId="0" applyFill="1" applyBorder="1"/>
    <xf numFmtId="0" fontId="2" fillId="0" borderId="42" xfId="0" applyFont="1" applyBorder="1" applyAlignment="1">
      <alignment horizontal="center" wrapText="1"/>
    </xf>
    <xf numFmtId="0" fontId="2" fillId="0" borderId="23" xfId="0" applyFont="1" applyBorder="1" applyAlignment="1">
      <alignment horizontal="center" wrapText="1"/>
    </xf>
    <xf numFmtId="0" fontId="2" fillId="0" borderId="23" xfId="0" applyFont="1" applyBorder="1" applyAlignment="1">
      <alignment horizontal="center"/>
    </xf>
    <xf numFmtId="0" fontId="0" fillId="0" borderId="20" xfId="0" applyFont="1" applyBorder="1"/>
    <xf numFmtId="164" fontId="0" fillId="0" borderId="43" xfId="0" applyNumberFormat="1" applyBorder="1"/>
    <xf numFmtId="164" fontId="0" fillId="0" borderId="44" xfId="0" applyNumberFormat="1" applyBorder="1"/>
    <xf numFmtId="167" fontId="0" fillId="0" borderId="43" xfId="0" applyNumberFormat="1" applyBorder="1"/>
    <xf numFmtId="164" fontId="0" fillId="0" borderId="45" xfId="1" applyNumberFormat="1" applyFont="1" applyBorder="1"/>
    <xf numFmtId="164" fontId="0" fillId="0" borderId="46" xfId="0" applyNumberFormat="1" applyBorder="1"/>
    <xf numFmtId="164" fontId="0" fillId="0" borderId="4" xfId="0" applyNumberFormat="1" applyBorder="1"/>
    <xf numFmtId="164" fontId="0" fillId="0" borderId="47" xfId="0" applyNumberFormat="1" applyBorder="1"/>
    <xf numFmtId="167" fontId="0" fillId="0" borderId="32" xfId="0" applyNumberFormat="1" applyBorder="1"/>
    <xf numFmtId="0" fontId="0" fillId="0" borderId="48" xfId="0" applyBorder="1"/>
    <xf numFmtId="164" fontId="0" fillId="0" borderId="28" xfId="0" applyNumberFormat="1" applyBorder="1"/>
    <xf numFmtId="170" fontId="0" fillId="0" borderId="0" xfId="0" applyNumberFormat="1" applyAlignment="1">
      <alignment wrapText="1"/>
    </xf>
    <xf numFmtId="164" fontId="0" fillId="0" borderId="49" xfId="0" applyNumberFormat="1" applyBorder="1"/>
    <xf numFmtId="167" fontId="0" fillId="0" borderId="49" xfId="0" applyNumberFormat="1" applyBorder="1"/>
    <xf numFmtId="164" fontId="0" fillId="0" borderId="47" xfId="0" applyNumberFormat="1" applyFill="1" applyBorder="1"/>
    <xf numFmtId="43" fontId="0" fillId="0" borderId="47" xfId="0" applyNumberFormat="1" applyBorder="1"/>
    <xf numFmtId="188" fontId="0" fillId="0" borderId="0" xfId="0" applyNumberFormat="1"/>
    <xf numFmtId="0" fontId="0" fillId="0" borderId="5" xfId="0" applyBorder="1"/>
    <xf numFmtId="0" fontId="0" fillId="0" borderId="6" xfId="0" applyFill="1" applyBorder="1" applyAlignment="1"/>
    <xf numFmtId="0" fontId="0" fillId="0" borderId="0" xfId="0" applyFill="1" applyBorder="1" applyAlignment="1"/>
    <xf numFmtId="0" fontId="2" fillId="0" borderId="50" xfId="0" applyFont="1" applyBorder="1" applyAlignment="1">
      <alignment horizontal="center"/>
    </xf>
    <xf numFmtId="0" fontId="0" fillId="0" borderId="0" xfId="0" applyBorder="1" applyAlignment="1">
      <alignment wrapText="1"/>
    </xf>
    <xf numFmtId="164" fontId="0" fillId="0" borderId="32" xfId="0" applyNumberFormat="1" applyBorder="1"/>
    <xf numFmtId="167" fontId="0" fillId="0" borderId="30" xfId="0" applyNumberFormat="1" applyBorder="1"/>
    <xf numFmtId="164" fontId="0" fillId="0" borderId="0" xfId="0" applyNumberFormat="1" applyBorder="1" applyAlignment="1">
      <alignment wrapText="1"/>
    </xf>
    <xf numFmtId="0" fontId="0" fillId="0" borderId="4" xfId="0" applyBorder="1" applyAlignment="1"/>
    <xf numFmtId="0" fontId="0" fillId="3" borderId="26" xfId="0" applyFill="1" applyBorder="1" applyAlignment="1"/>
    <xf numFmtId="0" fontId="2" fillId="0" borderId="4" xfId="0" applyFont="1" applyBorder="1" applyAlignment="1">
      <alignment horizontal="center" wrapText="1"/>
    </xf>
    <xf numFmtId="164" fontId="0" fillId="0" borderId="6" xfId="0" applyNumberFormat="1" applyBorder="1" applyAlignment="1">
      <alignment wrapText="1"/>
    </xf>
    <xf numFmtId="164" fontId="0" fillId="0" borderId="0" xfId="0" applyNumberFormat="1" applyFill="1" applyBorder="1" applyAlignment="1">
      <alignment wrapText="1"/>
    </xf>
    <xf numFmtId="0" fontId="2" fillId="0" borderId="34" xfId="0" applyFont="1" applyBorder="1"/>
    <xf numFmtId="164" fontId="2" fillId="0" borderId="35" xfId="0" applyNumberFormat="1" applyFont="1" applyFill="1" applyBorder="1" applyAlignment="1">
      <alignment horizontal="center" wrapText="1"/>
    </xf>
    <xf numFmtId="0" fontId="2" fillId="0" borderId="55" xfId="0" applyFont="1" applyBorder="1" applyAlignment="1">
      <alignment horizontal="center" wrapText="1"/>
    </xf>
    <xf numFmtId="0" fontId="2" fillId="0" borderId="41" xfId="0" applyFont="1" applyBorder="1" applyAlignment="1">
      <alignment horizontal="center"/>
    </xf>
    <xf numFmtId="0" fontId="18" fillId="0" borderId="3" xfId="0" applyFont="1" applyBorder="1"/>
    <xf numFmtId="0" fontId="18" fillId="0" borderId="32" xfId="0" applyFont="1" applyBorder="1" applyAlignment="1">
      <alignment wrapText="1"/>
    </xf>
    <xf numFmtId="164" fontId="0" fillId="0" borderId="56" xfId="0" applyNumberFormat="1" applyFill="1" applyBorder="1" applyAlignment="1">
      <alignment wrapText="1"/>
    </xf>
    <xf numFmtId="167" fontId="0" fillId="0" borderId="57" xfId="2" applyNumberFormat="1" applyFont="1" applyFill="1" applyBorder="1" applyAlignment="1">
      <alignment wrapText="1"/>
    </xf>
    <xf numFmtId="165" fontId="0" fillId="0" borderId="58" xfId="0" applyNumberFormat="1" applyFill="1" applyBorder="1" applyAlignment="1">
      <alignment wrapText="1"/>
    </xf>
    <xf numFmtId="164" fontId="0" fillId="0" borderId="15" xfId="0" applyNumberFormat="1" applyBorder="1" applyAlignment="1">
      <alignment wrapText="1"/>
    </xf>
    <xf numFmtId="167" fontId="0" fillId="0" borderId="59" xfId="2" applyNumberFormat="1" applyFont="1" applyFill="1" applyBorder="1" applyAlignment="1">
      <alignment wrapText="1"/>
    </xf>
    <xf numFmtId="165" fontId="0" fillId="0" borderId="60" xfId="0" applyNumberFormat="1" applyBorder="1" applyAlignment="1">
      <alignment wrapText="1"/>
    </xf>
    <xf numFmtId="0" fontId="18" fillId="0" borderId="3" xfId="0" applyFont="1" applyBorder="1" applyAlignment="1">
      <alignment wrapText="1"/>
    </xf>
    <xf numFmtId="167" fontId="0" fillId="0" borderId="59" xfId="0" applyNumberFormat="1" applyBorder="1" applyAlignment="1">
      <alignment wrapText="1"/>
    </xf>
    <xf numFmtId="0" fontId="0" fillId="0" borderId="0" xfId="0" applyAlignment="1"/>
    <xf numFmtId="164" fontId="0" fillId="0" borderId="61" xfId="1" applyNumberFormat="1" applyFont="1" applyBorder="1" applyAlignment="1">
      <alignment wrapText="1"/>
    </xf>
    <xf numFmtId="167" fontId="0" fillId="0" borderId="62" xfId="2" applyNumberFormat="1" applyFont="1" applyBorder="1" applyAlignment="1">
      <alignment wrapText="1"/>
    </xf>
    <xf numFmtId="165" fontId="0" fillId="0" borderId="63" xfId="0" applyNumberFormat="1" applyBorder="1" applyAlignment="1">
      <alignment wrapText="1"/>
    </xf>
    <xf numFmtId="0" fontId="0" fillId="0" borderId="3" xfId="0" applyBorder="1" applyAlignment="1">
      <alignment wrapText="1"/>
    </xf>
    <xf numFmtId="0" fontId="0" fillId="0" borderId="29" xfId="0" applyBorder="1" applyAlignment="1">
      <alignment horizontal="left"/>
    </xf>
    <xf numFmtId="0" fontId="0" fillId="0" borderId="29" xfId="0" applyBorder="1"/>
    <xf numFmtId="164" fontId="0" fillId="0" borderId="64" xfId="0" applyNumberFormat="1" applyFill="1" applyBorder="1"/>
    <xf numFmtId="0" fontId="0" fillId="0" borderId="5" xfId="0" applyBorder="1" applyAlignment="1"/>
    <xf numFmtId="0" fontId="2" fillId="0" borderId="6" xfId="0" applyFont="1" applyBorder="1" applyAlignment="1">
      <alignment horizontal="center" wrapText="1"/>
    </xf>
    <xf numFmtId="0" fontId="18" fillId="0" borderId="20" xfId="0" applyFont="1" applyBorder="1"/>
    <xf numFmtId="0" fontId="18" fillId="0" borderId="7" xfId="0" applyFont="1" applyBorder="1" applyAlignment="1">
      <alignment wrapText="1"/>
    </xf>
    <xf numFmtId="165" fontId="0" fillId="0" borderId="58" xfId="0" applyNumberFormat="1" applyBorder="1" applyAlignment="1">
      <alignment wrapText="1"/>
    </xf>
    <xf numFmtId="44" fontId="0" fillId="0" borderId="0" xfId="0" applyNumberFormat="1" applyAlignment="1">
      <alignment wrapText="1"/>
    </xf>
    <xf numFmtId="165" fontId="0" fillId="0" borderId="63" xfId="2" applyNumberFormat="1" applyFont="1" applyBorder="1" applyAlignment="1">
      <alignment wrapText="1"/>
    </xf>
    <xf numFmtId="44" fontId="0" fillId="0" borderId="0" xfId="0" applyNumberFormat="1" applyAlignment="1"/>
    <xf numFmtId="170" fontId="0" fillId="0" borderId="0" xfId="1" applyNumberFormat="1" applyFont="1"/>
    <xf numFmtId="0" fontId="2" fillId="0" borderId="0" xfId="0" applyFont="1" applyAlignment="1">
      <alignment horizontal="center"/>
    </xf>
    <xf numFmtId="0" fontId="0" fillId="0" borderId="0" xfId="0" applyFont="1" applyFill="1"/>
    <xf numFmtId="168" fontId="0" fillId="2" borderId="0" xfId="1" applyNumberFormat="1" applyFont="1" applyFill="1"/>
    <xf numFmtId="43" fontId="0" fillId="0" borderId="0" xfId="0" applyNumberFormat="1" applyFill="1"/>
    <xf numFmtId="172" fontId="0" fillId="0" borderId="0" xfId="2" applyNumberFormat="1" applyFont="1" applyFill="1" applyAlignment="1">
      <alignment horizontal="right"/>
    </xf>
    <xf numFmtId="165" fontId="0" fillId="2" borderId="0" xfId="2" applyNumberFormat="1" applyFont="1" applyFill="1"/>
    <xf numFmtId="176" fontId="0" fillId="2" borderId="0" xfId="2" applyNumberFormat="1" applyFont="1" applyFill="1"/>
    <xf numFmtId="171" fontId="0" fillId="0" borderId="5" xfId="0" applyNumberFormat="1" applyFill="1" applyBorder="1"/>
    <xf numFmtId="164" fontId="0" fillId="0" borderId="0" xfId="3" applyNumberFormat="1" applyFont="1" applyFill="1"/>
    <xf numFmtId="171" fontId="0" fillId="0" borderId="0" xfId="0" applyNumberFormat="1" applyFill="1" applyBorder="1"/>
    <xf numFmtId="171" fontId="0" fillId="0" borderId="8" xfId="0" applyNumberFormat="1" applyFill="1" applyBorder="1"/>
    <xf numFmtId="165" fontId="2" fillId="0" borderId="6" xfId="2" applyNumberFormat="1" applyFont="1" applyBorder="1" applyAlignment="1">
      <alignment horizontal="center"/>
    </xf>
    <xf numFmtId="165" fontId="0" fillId="0" borderId="27" xfId="2" applyNumberFormat="1" applyFont="1" applyBorder="1"/>
    <xf numFmtId="164" fontId="2" fillId="0" borderId="6" xfId="1" applyNumberFormat="1" applyFont="1" applyBorder="1" applyAlignment="1">
      <alignment horizontal="center"/>
    </xf>
    <xf numFmtId="165" fontId="2" fillId="0" borderId="27" xfId="2" applyNumberFormat="1" applyFont="1" applyBorder="1" applyAlignment="1">
      <alignment horizontal="center"/>
    </xf>
    <xf numFmtId="164" fontId="0" fillId="0" borderId="6" xfId="0" applyNumberFormat="1" applyFill="1" applyBorder="1"/>
    <xf numFmtId="165" fontId="0" fillId="0" borderId="27" xfId="2" applyNumberFormat="1" applyFont="1" applyFill="1" applyBorder="1"/>
    <xf numFmtId="164" fontId="0" fillId="0" borderId="7" xfId="1" applyNumberFormat="1" applyFont="1" applyFill="1" applyBorder="1"/>
    <xf numFmtId="165" fontId="0" fillId="0" borderId="65" xfId="0" applyNumberFormat="1" applyFill="1" applyBorder="1"/>
    <xf numFmtId="0" fontId="0" fillId="0" borderId="6" xfId="0" applyFill="1" applyBorder="1"/>
    <xf numFmtId="0" fontId="0" fillId="0" borderId="27" xfId="0" applyFill="1" applyBorder="1"/>
    <xf numFmtId="164" fontId="2" fillId="0" borderId="0" xfId="0" applyNumberFormat="1" applyFont="1" applyFill="1" applyBorder="1" applyAlignment="1">
      <alignment horizontal="center"/>
    </xf>
    <xf numFmtId="165" fontId="0" fillId="0" borderId="0" xfId="1" applyNumberFormat="1" applyFont="1" applyFill="1" applyBorder="1"/>
    <xf numFmtId="173" fontId="0" fillId="0" borderId="0" xfId="0" applyNumberFormat="1" applyFill="1" applyBorder="1"/>
    <xf numFmtId="174" fontId="0" fillId="0" borderId="0" xfId="0" applyNumberFormat="1" applyFill="1" applyBorder="1"/>
    <xf numFmtId="175" fontId="0" fillId="0" borderId="0" xfId="0" applyNumberFormat="1" applyFill="1" applyBorder="1"/>
    <xf numFmtId="178" fontId="0" fillId="0" borderId="0" xfId="0" applyNumberFormat="1" applyFill="1"/>
    <xf numFmtId="0" fontId="2" fillId="0" borderId="0" xfId="0" applyFont="1" applyFill="1"/>
    <xf numFmtId="165" fontId="0" fillId="0" borderId="1" xfId="0" applyNumberFormat="1" applyFill="1" applyBorder="1"/>
    <xf numFmtId="0" fontId="0" fillId="0" borderId="26" xfId="0" applyBorder="1"/>
    <xf numFmtId="0" fontId="0" fillId="0" borderId="7" xfId="0" applyBorder="1" applyAlignment="1">
      <alignment horizontal="center"/>
    </xf>
    <xf numFmtId="0" fontId="0" fillId="0" borderId="27" xfId="0" applyBorder="1"/>
    <xf numFmtId="165" fontId="0" fillId="0" borderId="6" xfId="0" applyNumberFormat="1" applyBorder="1"/>
    <xf numFmtId="165" fontId="0" fillId="0" borderId="6" xfId="0" applyNumberFormat="1" applyFill="1" applyBorder="1"/>
    <xf numFmtId="165" fontId="11" fillId="0" borderId="0" xfId="2" applyNumberFormat="1" applyFont="1" applyFill="1" applyBorder="1" applyAlignment="1">
      <alignment horizontal="right"/>
    </xf>
    <xf numFmtId="165" fontId="0" fillId="0" borderId="27" xfId="0" applyNumberFormat="1" applyFill="1" applyBorder="1"/>
    <xf numFmtId="165" fontId="0" fillId="0" borderId="32" xfId="0" applyNumberFormat="1" applyFill="1" applyBorder="1"/>
    <xf numFmtId="174" fontId="0" fillId="0" borderId="27" xfId="0" applyNumberFormat="1" applyFill="1" applyBorder="1"/>
    <xf numFmtId="165" fontId="0" fillId="0" borderId="28" xfId="0" applyNumberFormat="1" applyBorder="1"/>
    <xf numFmtId="0" fontId="0" fillId="0" borderId="28" xfId="0" applyFill="1" applyBorder="1"/>
    <xf numFmtId="173" fontId="0" fillId="0" borderId="28" xfId="0" applyNumberFormat="1" applyFill="1" applyBorder="1"/>
    <xf numFmtId="165" fontId="19" fillId="0" borderId="0" xfId="2" applyNumberFormat="1" applyFont="1" applyFill="1" applyAlignment="1">
      <alignment horizontal="left"/>
    </xf>
    <xf numFmtId="167" fontId="0" fillId="3" borderId="43" xfId="0" applyNumberFormat="1" applyFill="1" applyBorder="1"/>
    <xf numFmtId="0" fontId="23" fillId="0" borderId="0" xfId="0" applyFont="1"/>
    <xf numFmtId="0" fontId="22" fillId="4" borderId="0" xfId="0" applyFont="1" applyFill="1"/>
    <xf numFmtId="0" fontId="0" fillId="4" borderId="0" xfId="0" applyFill="1"/>
    <xf numFmtId="0" fontId="12" fillId="4" borderId="0" xfId="0" applyFont="1" applyFill="1"/>
    <xf numFmtId="0" fontId="0" fillId="4" borderId="0" xfId="0" applyFill="1" applyBorder="1"/>
    <xf numFmtId="0" fontId="0" fillId="4" borderId="0" xfId="0" applyFont="1" applyFill="1"/>
    <xf numFmtId="181" fontId="0" fillId="4" borderId="0" xfId="0" applyNumberFormat="1" applyFill="1" applyBorder="1"/>
    <xf numFmtId="0" fontId="15" fillId="4" borderId="0" xfId="4" applyNumberFormat="1" applyFont="1" applyFill="1" applyAlignment="1"/>
    <xf numFmtId="3" fontId="15" fillId="4" borderId="0" xfId="4" applyNumberFormat="1" applyFont="1" applyFill="1" applyAlignment="1"/>
    <xf numFmtId="4" fontId="15" fillId="4" borderId="0" xfId="4" applyNumberFormat="1" applyFont="1" applyFill="1" applyAlignment="1"/>
    <xf numFmtId="0" fontId="0" fillId="4" borderId="0" xfId="0" applyFill="1" applyAlignment="1">
      <alignment horizontal="center"/>
    </xf>
    <xf numFmtId="164" fontId="0" fillId="4" borderId="0" xfId="1" applyNumberFormat="1" applyFont="1" applyFill="1"/>
    <xf numFmtId="164" fontId="0" fillId="4" borderId="0" xfId="0" applyNumberFormat="1" applyFill="1" applyBorder="1"/>
    <xf numFmtId="164" fontId="0" fillId="4" borderId="0" xfId="0" applyNumberFormat="1" applyFill="1"/>
    <xf numFmtId="0" fontId="0" fillId="4" borderId="0" xfId="0" applyFill="1" applyBorder="1" applyAlignment="1">
      <alignment horizontal="center"/>
    </xf>
    <xf numFmtId="43" fontId="0" fillId="4" borderId="0" xfId="0" applyNumberFormat="1" applyFill="1"/>
    <xf numFmtId="164" fontId="0" fillId="4" borderId="0" xfId="1" applyNumberFormat="1" applyFont="1" applyFill="1" applyBorder="1"/>
    <xf numFmtId="164" fontId="0" fillId="4" borderId="9" xfId="1" applyNumberFormat="1" applyFont="1" applyFill="1" applyBorder="1"/>
    <xf numFmtId="43" fontId="0" fillId="4" borderId="0" xfId="1" applyFont="1" applyFill="1" applyBorder="1"/>
    <xf numFmtId="43" fontId="0" fillId="4" borderId="0" xfId="0" applyNumberFormat="1" applyFill="1" applyBorder="1"/>
    <xf numFmtId="0" fontId="0" fillId="4" borderId="21" xfId="0" applyFont="1" applyFill="1" applyBorder="1"/>
    <xf numFmtId="0" fontId="0" fillId="4" borderId="22" xfId="0" applyFont="1" applyFill="1" applyBorder="1"/>
    <xf numFmtId="164" fontId="0" fillId="4" borderId="22" xfId="1" applyNumberFormat="1" applyFont="1" applyFill="1" applyBorder="1"/>
    <xf numFmtId="164" fontId="0" fillId="4" borderId="23" xfId="1" applyNumberFormat="1" applyFont="1" applyFill="1" applyBorder="1"/>
    <xf numFmtId="181" fontId="0" fillId="4" borderId="0" xfId="0" applyNumberFormat="1" applyFill="1"/>
    <xf numFmtId="43" fontId="0" fillId="4" borderId="0" xfId="1" applyFont="1" applyFill="1"/>
    <xf numFmtId="164" fontId="0" fillId="4" borderId="8" xfId="1" applyNumberFormat="1" applyFont="1" applyFill="1" applyBorder="1" applyAlignment="1">
      <alignment horizontal="center"/>
    </xf>
    <xf numFmtId="164" fontId="0" fillId="4" borderId="8" xfId="1" applyNumberFormat="1" applyFont="1" applyFill="1" applyBorder="1"/>
    <xf numFmtId="0" fontId="0" fillId="4" borderId="0" xfId="0" applyFont="1" applyFill="1" applyBorder="1"/>
    <xf numFmtId="9" fontId="0" fillId="4" borderId="0" xfId="3" applyFont="1" applyFill="1"/>
    <xf numFmtId="0" fontId="0" fillId="4" borderId="0" xfId="0" quotePrefix="1" applyFill="1"/>
    <xf numFmtId="183" fontId="0" fillId="4" borderId="0" xfId="0" applyNumberFormat="1" applyFill="1"/>
    <xf numFmtId="0" fontId="0" fillId="4" borderId="0" xfId="0" quotePrefix="1" applyFont="1" applyFill="1" applyBorder="1"/>
    <xf numFmtId="0" fontId="0" fillId="4" borderId="8" xfId="0" applyFill="1" applyBorder="1" applyAlignment="1">
      <alignment horizontal="center"/>
    </xf>
    <xf numFmtId="179" fontId="0" fillId="4" borderId="0" xfId="1" applyNumberFormat="1" applyFont="1" applyFill="1"/>
    <xf numFmtId="179" fontId="0" fillId="4" borderId="9" xfId="1" applyNumberFormat="1" applyFont="1" applyFill="1" applyBorder="1"/>
    <xf numFmtId="179" fontId="0" fillId="4" borderId="0" xfId="1" applyNumberFormat="1" applyFont="1" applyFill="1" applyBorder="1"/>
    <xf numFmtId="182" fontId="0" fillId="4" borderId="0" xfId="0" applyNumberFormat="1" applyFill="1"/>
    <xf numFmtId="164" fontId="0" fillId="4" borderId="9" xfId="0" applyNumberFormat="1" applyFill="1" applyBorder="1"/>
    <xf numFmtId="0" fontId="0" fillId="4" borderId="17" xfId="0" quotePrefix="1" applyFill="1" applyBorder="1"/>
    <xf numFmtId="0" fontId="0" fillId="4" borderId="17" xfId="0" applyFill="1" applyBorder="1"/>
    <xf numFmtId="164" fontId="0" fillId="4" borderId="17" xfId="1" applyNumberFormat="1" applyFont="1" applyFill="1" applyBorder="1"/>
    <xf numFmtId="182" fontId="0" fillId="4" borderId="17" xfId="0" applyNumberFormat="1" applyFill="1" applyBorder="1"/>
    <xf numFmtId="0" fontId="12" fillId="4" borderId="0" xfId="0" applyFont="1" applyFill="1" applyBorder="1"/>
    <xf numFmtId="0" fontId="0" fillId="4" borderId="0" xfId="0" quotePrefix="1" applyFill="1" applyBorder="1"/>
    <xf numFmtId="180" fontId="0" fillId="4" borderId="0" xfId="0" applyNumberFormat="1" applyFill="1" applyBorder="1"/>
    <xf numFmtId="0" fontId="0" fillId="4" borderId="8" xfId="0" applyFill="1" applyBorder="1" applyAlignment="1">
      <alignment horizontal="center" wrapText="1"/>
    </xf>
    <xf numFmtId="0" fontId="18" fillId="4" borderId="0" xfId="0" applyFont="1" applyFill="1" applyBorder="1"/>
    <xf numFmtId="164" fontId="0" fillId="4" borderId="1" xfId="0" applyNumberFormat="1" applyFill="1" applyBorder="1"/>
    <xf numFmtId="0" fontId="18" fillId="4" borderId="0" xfId="0" applyFont="1" applyFill="1" applyBorder="1" applyAlignment="1">
      <alignment horizontal="center"/>
    </xf>
    <xf numFmtId="16" fontId="14" fillId="4" borderId="0" xfId="0" quotePrefix="1" applyNumberFormat="1" applyFont="1" applyFill="1" applyBorder="1"/>
    <xf numFmtId="38" fontId="14" fillId="4" borderId="0" xfId="0" applyNumberFormat="1" applyFont="1" applyFill="1" applyBorder="1" applyAlignment="1">
      <alignment horizontal="center"/>
    </xf>
    <xf numFmtId="0" fontId="14" fillId="4" borderId="0" xfId="0" applyFont="1" applyFill="1" applyBorder="1" applyAlignment="1">
      <alignment horizontal="center"/>
    </xf>
    <xf numFmtId="38" fontId="18" fillId="4" borderId="0" xfId="0" applyNumberFormat="1" applyFont="1" applyFill="1" applyBorder="1"/>
    <xf numFmtId="178" fontId="18" fillId="4" borderId="0" xfId="0" applyNumberFormat="1" applyFont="1" applyFill="1" applyBorder="1"/>
    <xf numFmtId="183" fontId="0" fillId="4" borderId="0" xfId="1" applyNumberFormat="1" applyFont="1" applyFill="1"/>
    <xf numFmtId="40" fontId="18" fillId="4" borderId="0" xfId="0" applyNumberFormat="1" applyFont="1" applyFill="1" applyBorder="1"/>
    <xf numFmtId="164" fontId="18" fillId="4" borderId="0" xfId="1" applyNumberFormat="1" applyFont="1" applyFill="1" applyBorder="1"/>
    <xf numFmtId="164" fontId="18" fillId="4" borderId="0" xfId="0" applyNumberFormat="1" applyFont="1" applyFill="1" applyBorder="1"/>
    <xf numFmtId="185" fontId="0" fillId="4" borderId="0" xfId="2" applyNumberFormat="1" applyFont="1" applyFill="1"/>
    <xf numFmtId="184" fontId="0" fillId="4" borderId="67" xfId="3" applyNumberFormat="1" applyFont="1" applyFill="1" applyBorder="1"/>
    <xf numFmtId="0" fontId="0" fillId="4" borderId="2" xfId="0" applyFill="1" applyBorder="1"/>
    <xf numFmtId="164" fontId="0" fillId="4" borderId="2" xfId="0" applyNumberFormat="1" applyFill="1" applyBorder="1"/>
    <xf numFmtId="164" fontId="0" fillId="4" borderId="24" xfId="0" applyNumberFormat="1" applyFill="1" applyBorder="1"/>
    <xf numFmtId="165" fontId="0" fillId="4" borderId="0" xfId="2" applyNumberFormat="1" applyFont="1" applyFill="1" applyBorder="1"/>
    <xf numFmtId="165" fontId="0" fillId="4" borderId="0" xfId="2" quotePrefix="1" applyNumberFormat="1" applyFont="1" applyFill="1" applyBorder="1"/>
    <xf numFmtId="164" fontId="0" fillId="4" borderId="0" xfId="0" applyNumberFormat="1" applyFill="1" applyBorder="1" applyAlignment="1">
      <alignment horizontal="left"/>
    </xf>
    <xf numFmtId="166" fontId="0" fillId="4" borderId="0" xfId="1" applyNumberFormat="1" applyFont="1" applyFill="1" applyBorder="1"/>
    <xf numFmtId="10" fontId="0" fillId="4" borderId="0" xfId="3" applyNumberFormat="1" applyFont="1" applyFill="1"/>
    <xf numFmtId="186" fontId="0" fillId="4" borderId="0" xfId="3" applyNumberFormat="1" applyFont="1" applyFill="1"/>
    <xf numFmtId="166" fontId="0" fillId="4" borderId="0" xfId="0" applyNumberFormat="1" applyFill="1"/>
    <xf numFmtId="186" fontId="0" fillId="4" borderId="0" xfId="0" applyNumberFormat="1" applyFill="1"/>
    <xf numFmtId="0" fontId="0" fillId="4" borderId="10" xfId="0" applyFill="1" applyBorder="1"/>
    <xf numFmtId="0" fontId="0" fillId="4" borderId="11" xfId="0" applyFill="1" applyBorder="1"/>
    <xf numFmtId="0" fontId="0" fillId="4" borderId="12" xfId="0" applyFill="1" applyBorder="1"/>
    <xf numFmtId="0" fontId="0" fillId="4" borderId="13" xfId="0" applyFill="1" applyBorder="1"/>
    <xf numFmtId="0" fontId="0" fillId="4" borderId="14" xfId="0" applyFill="1" applyBorder="1"/>
    <xf numFmtId="164" fontId="0" fillId="4" borderId="14" xfId="0" applyNumberFormat="1" applyFill="1" applyBorder="1"/>
    <xf numFmtId="0" fontId="0" fillId="4" borderId="16" xfId="0" applyFill="1" applyBorder="1"/>
    <xf numFmtId="0" fontId="0" fillId="4" borderId="18" xfId="0" applyFill="1" applyBorder="1"/>
    <xf numFmtId="178" fontId="0" fillId="4" borderId="0" xfId="0" applyNumberFormat="1" applyFill="1"/>
    <xf numFmtId="189" fontId="0" fillId="4" borderId="0" xfId="0" applyNumberFormat="1" applyFill="1"/>
    <xf numFmtId="38" fontId="0" fillId="4" borderId="0" xfId="0" applyNumberFormat="1" applyFill="1"/>
    <xf numFmtId="0" fontId="23" fillId="4" borderId="0" xfId="0" applyFont="1" applyFill="1"/>
    <xf numFmtId="164" fontId="0" fillId="5" borderId="40" xfId="0" applyNumberFormat="1" applyFill="1" applyBorder="1"/>
    <xf numFmtId="164" fontId="0" fillId="5" borderId="51" xfId="0" applyNumberFormat="1" applyFill="1" applyBorder="1"/>
    <xf numFmtId="164" fontId="0" fillId="5" borderId="52" xfId="0" applyNumberFormat="1" applyFill="1" applyBorder="1" applyAlignment="1">
      <alignment wrapText="1"/>
    </xf>
    <xf numFmtId="167" fontId="0" fillId="0" borderId="38" xfId="0" applyNumberFormat="1" applyFill="1" applyBorder="1"/>
    <xf numFmtId="0" fontId="2" fillId="6" borderId="3" xfId="0" applyFont="1" applyFill="1" applyBorder="1" applyAlignment="1">
      <alignment horizontal="center" wrapText="1"/>
    </xf>
    <xf numFmtId="0" fontId="0" fillId="0" borderId="0" xfId="0" quotePrefix="1"/>
    <xf numFmtId="172" fontId="0" fillId="2" borderId="0" xfId="2" applyNumberFormat="1" applyFont="1" applyFill="1" applyAlignment="1">
      <alignment horizontal="right"/>
    </xf>
    <xf numFmtId="167" fontId="0" fillId="0" borderId="17" xfId="2" applyNumberFormat="1" applyFont="1" applyBorder="1"/>
    <xf numFmtId="0" fontId="0" fillId="0" borderId="7" xfId="0" applyFill="1" applyBorder="1"/>
    <xf numFmtId="164" fontId="0" fillId="4" borderId="0" xfId="0" applyNumberFormat="1" applyFill="1" applyAlignment="1">
      <alignment horizontal="center"/>
    </xf>
    <xf numFmtId="164" fontId="0" fillId="0" borderId="19" xfId="0" applyNumberFormat="1" applyBorder="1"/>
    <xf numFmtId="167" fontId="0" fillId="0" borderId="19" xfId="0" applyNumberFormat="1" applyBorder="1"/>
    <xf numFmtId="0" fontId="3" fillId="0" borderId="0" xfId="0" applyFont="1" applyFill="1"/>
    <xf numFmtId="172" fontId="0" fillId="0" borderId="0" xfId="0" applyNumberFormat="1" applyFont="1" applyFill="1"/>
    <xf numFmtId="164" fontId="0" fillId="0" borderId="0" xfId="0" applyNumberFormat="1" applyFont="1" applyFill="1" applyBorder="1"/>
    <xf numFmtId="176" fontId="0" fillId="0" borderId="0" xfId="2" applyNumberFormat="1" applyFont="1" applyFill="1" applyBorder="1"/>
    <xf numFmtId="164" fontId="0" fillId="0" borderId="9" xfId="1" applyNumberFormat="1" applyFont="1" applyFill="1" applyBorder="1"/>
    <xf numFmtId="179" fontId="0" fillId="0" borderId="0" xfId="1" applyNumberFormat="1" applyFont="1" applyFill="1" applyBorder="1"/>
    <xf numFmtId="164" fontId="0" fillId="0" borderId="9" xfId="0" applyNumberFormat="1" applyFill="1" applyBorder="1"/>
    <xf numFmtId="182" fontId="0" fillId="0" borderId="0" xfId="0" applyNumberFormat="1" applyFill="1"/>
    <xf numFmtId="0" fontId="0" fillId="0" borderId="25" xfId="0" applyFill="1" applyBorder="1" applyAlignment="1">
      <alignment horizontal="center"/>
    </xf>
    <xf numFmtId="184" fontId="0" fillId="0" borderId="67" xfId="3" applyNumberFormat="1" applyFont="1" applyFill="1" applyBorder="1"/>
    <xf numFmtId="164" fontId="0" fillId="0" borderId="24" xfId="0" applyNumberFormat="1" applyFill="1" applyBorder="1"/>
    <xf numFmtId="164" fontId="0" fillId="0" borderId="0" xfId="1" quotePrefix="1" applyNumberFormat="1" applyFont="1" applyFill="1" applyBorder="1"/>
    <xf numFmtId="179" fontId="0" fillId="0" borderId="0" xfId="0" applyNumberFormat="1" applyFill="1" applyBorder="1"/>
    <xf numFmtId="182" fontId="0" fillId="0" borderId="0" xfId="0" applyNumberFormat="1" applyFill="1" applyBorder="1"/>
    <xf numFmtId="0" fontId="18" fillId="0" borderId="0" xfId="0" applyFont="1" applyFill="1" applyBorder="1"/>
    <xf numFmtId="0" fontId="18" fillId="0" borderId="0" xfId="0" applyFont="1" applyFill="1" applyBorder="1" applyAlignment="1">
      <alignment horizontal="center"/>
    </xf>
    <xf numFmtId="16" fontId="14" fillId="0" borderId="0" xfId="0" quotePrefix="1" applyNumberFormat="1" applyFont="1" applyFill="1" applyBorder="1"/>
    <xf numFmtId="38" fontId="14" fillId="0" borderId="0" xfId="0" applyNumberFormat="1" applyFont="1" applyFill="1" applyBorder="1" applyAlignment="1">
      <alignment horizontal="center"/>
    </xf>
    <xf numFmtId="0" fontId="14" fillId="0" borderId="0" xfId="0" applyFont="1" applyFill="1" applyBorder="1" applyAlignment="1">
      <alignment horizontal="center"/>
    </xf>
    <xf numFmtId="38" fontId="18" fillId="0" borderId="0" xfId="0" applyNumberFormat="1" applyFont="1" applyFill="1" applyBorder="1"/>
    <xf numFmtId="164" fontId="18" fillId="0" borderId="0" xfId="0" applyNumberFormat="1" applyFont="1" applyFill="1" applyBorder="1"/>
    <xf numFmtId="178" fontId="18" fillId="0" borderId="0" xfId="0" applyNumberFormat="1" applyFont="1" applyFill="1" applyBorder="1"/>
    <xf numFmtId="40" fontId="18" fillId="0" borderId="0" xfId="0" applyNumberFormat="1" applyFont="1" applyFill="1" applyBorder="1"/>
    <xf numFmtId="164" fontId="18" fillId="0" borderId="0" xfId="1" applyNumberFormat="1" applyFont="1" applyFill="1" applyBorder="1"/>
    <xf numFmtId="0" fontId="0" fillId="0" borderId="0" xfId="0" applyFill="1" applyAlignment="1">
      <alignment wrapText="1"/>
    </xf>
    <xf numFmtId="164" fontId="0" fillId="0" borderId="56" xfId="1" applyNumberFormat="1" applyFont="1" applyFill="1" applyBorder="1" applyAlignment="1">
      <alignment wrapText="1"/>
    </xf>
    <xf numFmtId="164" fontId="0" fillId="0" borderId="61" xfId="0" applyNumberFormat="1" applyFill="1" applyBorder="1" applyAlignment="1">
      <alignment wrapText="1"/>
    </xf>
    <xf numFmtId="167" fontId="0" fillId="0" borderId="62" xfId="2" applyNumberFormat="1" applyFont="1" applyFill="1" applyBorder="1" applyAlignment="1">
      <alignment wrapText="1"/>
    </xf>
    <xf numFmtId="164" fontId="11" fillId="0" borderId="0" xfId="1" applyNumberFormat="1" applyFont="1" applyFill="1" applyAlignment="1">
      <alignment horizontal="center" vertical="center" wrapText="1"/>
    </xf>
    <xf numFmtId="0" fontId="11" fillId="0" borderId="0" xfId="0" applyFont="1" applyAlignment="1">
      <alignment horizontal="center" vertical="center" wrapText="1"/>
    </xf>
    <xf numFmtId="0" fontId="23" fillId="0" borderId="0" xfId="0" applyFont="1" applyAlignment="1">
      <alignment wrapText="1"/>
    </xf>
    <xf numFmtId="0" fontId="10" fillId="0" borderId="0" xfId="0" applyFont="1" applyAlignment="1">
      <alignment wrapText="1"/>
    </xf>
    <xf numFmtId="164" fontId="23" fillId="0" borderId="0" xfId="1" applyNumberFormat="1" applyFont="1" applyAlignment="1">
      <alignment wrapText="1"/>
    </xf>
    <xf numFmtId="0" fontId="0" fillId="0" borderId="0" xfId="0" applyAlignment="1">
      <alignment horizontal="left" vertical="top" wrapText="1"/>
    </xf>
    <xf numFmtId="0" fontId="0" fillId="0" borderId="0" xfId="0" applyFill="1" applyAlignment="1">
      <alignment horizontal="left" wrapText="1"/>
    </xf>
    <xf numFmtId="165" fontId="19" fillId="0" borderId="4" xfId="2" applyNumberFormat="1" applyFont="1" applyBorder="1" applyAlignment="1">
      <alignment horizontal="center"/>
    </xf>
    <xf numFmtId="0" fontId="19" fillId="0" borderId="26" xfId="0" applyFont="1" applyBorder="1" applyAlignment="1">
      <alignment horizontal="center"/>
    </xf>
    <xf numFmtId="0" fontId="10" fillId="0" borderId="32" xfId="0" applyFont="1" applyFill="1" applyBorder="1" applyAlignment="1">
      <alignment horizontal="center"/>
    </xf>
    <xf numFmtId="0" fontId="10" fillId="0" borderId="1" xfId="0" applyFont="1" applyBorder="1" applyAlignment="1">
      <alignment horizontal="center"/>
    </xf>
    <xf numFmtId="0" fontId="10" fillId="0" borderId="28" xfId="0" applyFont="1" applyBorder="1" applyAlignment="1">
      <alignment horizontal="center"/>
    </xf>
    <xf numFmtId="0" fontId="11" fillId="0" borderId="0" xfId="0" applyFont="1" applyAlignment="1">
      <alignment horizontal="left" wrapText="1"/>
    </xf>
    <xf numFmtId="0" fontId="11" fillId="0" borderId="27" xfId="0" applyFont="1" applyBorder="1" applyAlignment="1">
      <alignment horizontal="left" wrapText="1"/>
    </xf>
    <xf numFmtId="0" fontId="0" fillId="4" borderId="66" xfId="0" applyFill="1" applyBorder="1" applyAlignment="1">
      <alignment horizontal="center" wrapText="1"/>
    </xf>
    <xf numFmtId="0" fontId="0" fillId="4" borderId="24" xfId="0" applyFill="1" applyBorder="1" applyAlignment="1">
      <alignment horizontal="center" wrapText="1"/>
    </xf>
    <xf numFmtId="0" fontId="0" fillId="0" borderId="66" xfId="0" applyFill="1" applyBorder="1" applyAlignment="1">
      <alignment horizontal="center" wrapText="1"/>
    </xf>
    <xf numFmtId="0" fontId="0" fillId="0" borderId="24" xfId="0" applyFill="1" applyBorder="1" applyAlignment="1">
      <alignment horizontal="center" wrapText="1"/>
    </xf>
    <xf numFmtId="0" fontId="21" fillId="0" borderId="0" xfId="0" applyFont="1" applyFill="1" applyBorder="1" applyAlignment="1">
      <alignment horizontal="center" wrapText="1"/>
    </xf>
    <xf numFmtId="0" fontId="0" fillId="0" borderId="0" xfId="0" applyFill="1" applyBorder="1" applyAlignment="1">
      <alignment horizontal="center" wrapText="1"/>
    </xf>
    <xf numFmtId="0" fontId="2" fillId="0" borderId="21" xfId="0" applyFont="1" applyBorder="1" applyAlignment="1">
      <alignment horizontal="center"/>
    </xf>
    <xf numFmtId="0" fontId="2" fillId="0" borderId="22" xfId="0" applyFont="1" applyBorder="1" applyAlignment="1">
      <alignment horizontal="center"/>
    </xf>
    <xf numFmtId="0" fontId="2" fillId="0" borderId="41" xfId="0" applyFont="1" applyBorder="1" applyAlignment="1">
      <alignment horizontal="center"/>
    </xf>
    <xf numFmtId="0" fontId="2" fillId="0" borderId="35" xfId="0" applyFont="1" applyBorder="1" applyAlignment="1">
      <alignment horizontal="center" wrapText="1"/>
    </xf>
    <xf numFmtId="0" fontId="2" fillId="0" borderId="22" xfId="0" applyFont="1" applyBorder="1" applyAlignment="1">
      <alignment horizontal="center" wrapText="1"/>
    </xf>
    <xf numFmtId="0" fontId="2" fillId="0" borderId="41" xfId="0" applyFont="1" applyBorder="1" applyAlignment="1">
      <alignment horizontal="center" wrapText="1"/>
    </xf>
    <xf numFmtId="0" fontId="20" fillId="0" borderId="0" xfId="0" applyFont="1" applyAlignment="1">
      <alignment horizontal="center"/>
    </xf>
    <xf numFmtId="0" fontId="2" fillId="3" borderId="30" xfId="0" applyFont="1" applyFill="1" applyBorder="1" applyAlignment="1">
      <alignment horizontal="center"/>
    </xf>
    <xf numFmtId="0" fontId="2" fillId="3" borderId="9" xfId="0" applyFont="1" applyFill="1" applyBorder="1" applyAlignment="1">
      <alignment horizontal="center"/>
    </xf>
    <xf numFmtId="0" fontId="2" fillId="3" borderId="31" xfId="0" applyFont="1" applyFill="1" applyBorder="1" applyAlignment="1">
      <alignment horizontal="center"/>
    </xf>
    <xf numFmtId="0" fontId="17" fillId="3" borderId="32" xfId="0" applyFont="1" applyFill="1" applyBorder="1" applyAlignment="1">
      <alignment horizontal="center" wrapText="1"/>
    </xf>
    <xf numFmtId="0" fontId="17" fillId="3" borderId="28" xfId="0" applyFont="1" applyFill="1" applyBorder="1" applyAlignment="1">
      <alignment horizontal="center" wrapText="1"/>
    </xf>
    <xf numFmtId="0" fontId="17" fillId="3" borderId="32" xfId="0" applyFont="1" applyFill="1" applyBorder="1" applyAlignment="1">
      <alignment horizontal="center"/>
    </xf>
    <xf numFmtId="0" fontId="17" fillId="3" borderId="28" xfId="0" applyFont="1" applyFill="1" applyBorder="1" applyAlignment="1">
      <alignment horizontal="center"/>
    </xf>
    <xf numFmtId="0" fontId="17" fillId="3" borderId="35" xfId="0" applyFont="1" applyFill="1" applyBorder="1" applyAlignment="1">
      <alignment horizontal="center"/>
    </xf>
    <xf numFmtId="0" fontId="17" fillId="3" borderId="22" xfId="0" applyFont="1" applyFill="1" applyBorder="1" applyAlignment="1">
      <alignment horizontal="center"/>
    </xf>
    <xf numFmtId="0" fontId="17" fillId="3" borderId="23" xfId="0" applyFont="1" applyFill="1" applyBorder="1" applyAlignment="1">
      <alignment horizontal="center"/>
    </xf>
    <xf numFmtId="190" fontId="0" fillId="0" borderId="0" xfId="0" applyNumberFormat="1" applyFill="1" applyAlignment="1">
      <alignment horizontal="right" vertical="center"/>
    </xf>
    <xf numFmtId="0" fontId="0" fillId="0" borderId="32" xfId="0" applyBorder="1" applyAlignment="1">
      <alignment horizontal="left"/>
    </xf>
    <xf numFmtId="0" fontId="0" fillId="0" borderId="1" xfId="0" applyBorder="1" applyAlignment="1">
      <alignment horizontal="left"/>
    </xf>
    <xf numFmtId="0" fontId="0" fillId="0" borderId="28" xfId="0" applyBorder="1" applyAlignment="1">
      <alignment horizontal="left"/>
    </xf>
    <xf numFmtId="0" fontId="17" fillId="3" borderId="4" xfId="0" applyFont="1" applyFill="1" applyBorder="1" applyAlignment="1">
      <alignment horizontal="center"/>
    </xf>
    <xf numFmtId="0" fontId="17" fillId="3" borderId="26" xfId="0" applyFont="1" applyFill="1" applyBorder="1" applyAlignment="1">
      <alignment horizontal="center"/>
    </xf>
    <xf numFmtId="0" fontId="17" fillId="3" borderId="21" xfId="0" applyFont="1" applyFill="1" applyBorder="1" applyAlignment="1">
      <alignment horizontal="center"/>
    </xf>
    <xf numFmtId="0" fontId="0" fillId="0" borderId="4" xfId="0" applyBorder="1" applyAlignment="1">
      <alignment horizontal="center"/>
    </xf>
    <xf numFmtId="0" fontId="0" fillId="0" borderId="26" xfId="0" applyBorder="1" applyAlignment="1">
      <alignment horizontal="center"/>
    </xf>
    <xf numFmtId="0" fontId="0" fillId="0" borderId="6" xfId="0" applyBorder="1" applyAlignment="1">
      <alignment horizontal="center"/>
    </xf>
    <xf numFmtId="0" fontId="0" fillId="0" borderId="27" xfId="0" applyBorder="1" applyAlignment="1">
      <alignment horizontal="center"/>
    </xf>
    <xf numFmtId="0" fontId="0" fillId="0" borderId="53" xfId="0" applyBorder="1" applyAlignment="1">
      <alignment horizontal="center"/>
    </xf>
    <xf numFmtId="0" fontId="0" fillId="0" borderId="54" xfId="0" applyBorder="1" applyAlignment="1">
      <alignment horizontal="center"/>
    </xf>
    <xf numFmtId="44" fontId="0" fillId="0" borderId="4" xfId="0" applyNumberFormat="1" applyBorder="1" applyAlignment="1">
      <alignment horizontal="center" wrapText="1"/>
    </xf>
    <xf numFmtId="44" fontId="0" fillId="0" borderId="5" xfId="0" applyNumberFormat="1" applyBorder="1" applyAlignment="1">
      <alignment horizontal="center" wrapText="1"/>
    </xf>
    <xf numFmtId="44" fontId="0" fillId="0" borderId="26" xfId="0" applyNumberFormat="1" applyBorder="1" applyAlignment="1">
      <alignment horizontal="center" wrapText="1"/>
    </xf>
    <xf numFmtId="0" fontId="2" fillId="0" borderId="6" xfId="0" applyFont="1" applyBorder="1" applyAlignment="1">
      <alignment horizontal="center" wrapText="1"/>
    </xf>
    <xf numFmtId="0" fontId="2" fillId="0" borderId="0" xfId="0" applyFont="1" applyAlignment="1">
      <alignment horizontal="center" wrapText="1"/>
    </xf>
    <xf numFmtId="165" fontId="0" fillId="0" borderId="6" xfId="0" applyNumberFormat="1" applyBorder="1" applyAlignment="1">
      <alignment horizontal="center" wrapText="1"/>
    </xf>
    <xf numFmtId="165" fontId="0" fillId="0" borderId="0" xfId="0" applyNumberFormat="1" applyBorder="1" applyAlignment="1">
      <alignment horizontal="center" wrapText="1"/>
    </xf>
    <xf numFmtId="165" fontId="0" fillId="0" borderId="27" xfId="0" applyNumberFormat="1" applyBorder="1" applyAlignment="1">
      <alignment horizontal="center" wrapText="1"/>
    </xf>
    <xf numFmtId="44" fontId="0" fillId="0" borderId="8" xfId="0" applyNumberFormat="1" applyBorder="1" applyAlignment="1">
      <alignment horizontal="left"/>
    </xf>
    <xf numFmtId="44" fontId="0" fillId="0" borderId="29" xfId="0" applyNumberFormat="1" applyBorder="1" applyAlignment="1">
      <alignment horizontal="left"/>
    </xf>
    <xf numFmtId="44" fontId="0" fillId="0" borderId="1" xfId="0" applyNumberFormat="1" applyBorder="1" applyAlignment="1">
      <alignment horizontal="left"/>
    </xf>
    <xf numFmtId="44" fontId="0" fillId="0" borderId="28" xfId="0" applyNumberFormat="1" applyBorder="1" applyAlignment="1">
      <alignment horizontal="left"/>
    </xf>
    <xf numFmtId="0" fontId="0" fillId="0" borderId="32" xfId="0" applyBorder="1" applyAlignment="1">
      <alignment horizontal="center"/>
    </xf>
    <xf numFmtId="0" fontId="0" fillId="0" borderId="1" xfId="0" applyBorder="1" applyAlignment="1">
      <alignment horizontal="center"/>
    </xf>
    <xf numFmtId="0" fontId="0" fillId="0" borderId="28" xfId="0" applyBorder="1" applyAlignment="1">
      <alignment horizontal="center"/>
    </xf>
  </cellXfs>
  <cellStyles count="7">
    <cellStyle name="Comma" xfId="1" builtinId="3"/>
    <cellStyle name="Comma 2 12" xfId="6"/>
    <cellStyle name="Currency" xfId="2" builtinId="4"/>
    <cellStyle name="Normal" xfId="0" builtinId="0"/>
    <cellStyle name="Normal 21" xfId="4"/>
    <cellStyle name="Normal 5" xfId="5"/>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857251</xdr:colOff>
      <xdr:row>6</xdr:row>
      <xdr:rowOff>190499</xdr:rowOff>
    </xdr:from>
    <xdr:to>
      <xdr:col>8</xdr:col>
      <xdr:colOff>66676</xdr:colOff>
      <xdr:row>8</xdr:row>
      <xdr:rowOff>147204</xdr:rowOff>
    </xdr:to>
    <xdr:sp macro="" textlink="">
      <xdr:nvSpPr>
        <xdr:cNvPr id="2" name="Right Brace 1"/>
        <xdr:cNvSpPr/>
      </xdr:nvSpPr>
      <xdr:spPr>
        <a:xfrm>
          <a:off x="7515226" y="2000249"/>
          <a:ext cx="95250" cy="33770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g%20Acctg%20Guidance\Illustrative-Commodity-Model-20190221%20OEB%20Example%20S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for Settlement &amp; 1st TU"/>
      <sheetName val="RPP Settlement &amp; 1st TU"/>
      <sheetName val="Data for 2nd TU"/>
      <sheetName val="RPP 2nd TU"/>
      <sheetName val="RPP vs non-RPP TU JE"/>
      <sheetName val="Rate Application Related"/>
      <sheetName val="Final RSVA Balances"/>
      <sheetName val="JEs"/>
      <sheetName val="T-Accounts"/>
    </sheetNames>
    <sheetDataSet>
      <sheetData sheetId="0"/>
      <sheetData sheetId="1"/>
      <sheetData sheetId="2">
        <row r="16">
          <cell r="C16">
            <v>5002500</v>
          </cell>
        </row>
        <row r="17">
          <cell r="C17">
            <v>7003500</v>
          </cell>
        </row>
        <row r="18">
          <cell r="C18">
            <v>100050000</v>
          </cell>
        </row>
        <row r="19">
          <cell r="C19">
            <v>50025000</v>
          </cell>
        </row>
        <row r="20">
          <cell r="C20">
            <v>63031500.000000007</v>
          </cell>
        </row>
        <row r="33">
          <cell r="D33">
            <v>7.6999999999999999E-2</v>
          </cell>
        </row>
        <row r="34">
          <cell r="D34">
            <v>8.8999999999999996E-2</v>
          </cell>
        </row>
        <row r="35">
          <cell r="D35">
            <v>6.5000000000000002E-2</v>
          </cell>
        </row>
        <row r="36">
          <cell r="D36">
            <v>9.4E-2</v>
          </cell>
        </row>
        <row r="37">
          <cell r="D37">
            <v>0.13200000000000001</v>
          </cell>
        </row>
        <row r="43">
          <cell r="B43">
            <v>3.1848807346377295E-2</v>
          </cell>
        </row>
        <row r="48">
          <cell r="B48">
            <v>8.8359370314842575E-2</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2"/>
  <sheetViews>
    <sheetView showGridLines="0" topLeftCell="A31" zoomScaleNormal="100" workbookViewId="0">
      <selection activeCell="C49" sqref="C49"/>
    </sheetView>
  </sheetViews>
  <sheetFormatPr defaultRowHeight="15" x14ac:dyDescent="0.25"/>
  <cols>
    <col min="1" max="1" width="6.28515625" customWidth="1"/>
    <col min="2" max="2" width="69.28515625" customWidth="1"/>
    <col min="3" max="3" width="17.42578125" bestFit="1" customWidth="1"/>
    <col min="4" max="4" width="15" bestFit="1" customWidth="1"/>
    <col min="5" max="5" width="14.85546875" customWidth="1"/>
    <col min="6" max="6" width="6.140625" customWidth="1"/>
    <col min="7" max="7" width="14.42578125" customWidth="1"/>
    <col min="8" max="8" width="5.5703125" customWidth="1"/>
    <col min="9" max="9" width="14.28515625" bestFit="1" customWidth="1"/>
    <col min="10" max="10" width="14.7109375" customWidth="1"/>
    <col min="11" max="11" width="15.140625" bestFit="1" customWidth="1"/>
    <col min="12" max="12" width="14.28515625" bestFit="1" customWidth="1"/>
    <col min="13" max="16" width="14.85546875" customWidth="1"/>
    <col min="17" max="17" width="13.140625" customWidth="1"/>
    <col min="18" max="18" width="13.42578125" customWidth="1"/>
    <col min="19" max="19" width="12.42578125" customWidth="1"/>
    <col min="20" max="20" width="13.28515625" customWidth="1"/>
    <col min="21" max="21" width="12.7109375" customWidth="1"/>
    <col min="22" max="22" width="14.28515625" bestFit="1" customWidth="1"/>
    <col min="23" max="24" width="11.5703125" bestFit="1" customWidth="1"/>
    <col min="25" max="25" width="12.5703125" bestFit="1" customWidth="1"/>
  </cols>
  <sheetData>
    <row r="1" spans="1:22" ht="18.75" x14ac:dyDescent="0.3">
      <c r="B1" s="1" t="s">
        <v>205</v>
      </c>
      <c r="G1" s="1"/>
    </row>
    <row r="3" spans="1:22" x14ac:dyDescent="0.25">
      <c r="B3" s="2" t="s">
        <v>0</v>
      </c>
      <c r="G3" s="115"/>
      <c r="H3" s="3"/>
      <c r="I3" s="3"/>
      <c r="J3" s="3"/>
      <c r="K3" s="3"/>
      <c r="L3" s="3"/>
      <c r="M3" s="3"/>
      <c r="N3" s="3"/>
      <c r="O3" s="3"/>
    </row>
    <row r="4" spans="1:22" ht="30" x14ac:dyDescent="0.25">
      <c r="B4" s="2"/>
      <c r="C4" s="103" t="s">
        <v>1</v>
      </c>
      <c r="D4" s="102" t="s">
        <v>2</v>
      </c>
      <c r="E4" s="102" t="s">
        <v>3</v>
      </c>
      <c r="G4" s="144"/>
      <c r="H4" s="73"/>
      <c r="I4" s="115"/>
      <c r="J4" s="115"/>
      <c r="K4" s="115"/>
      <c r="L4" s="115"/>
      <c r="M4" s="115"/>
      <c r="N4" s="115"/>
      <c r="O4" s="115"/>
      <c r="P4" s="115"/>
      <c r="Q4" s="115"/>
      <c r="R4" s="115"/>
      <c r="S4" s="115"/>
      <c r="T4" s="115"/>
      <c r="U4" s="115"/>
    </row>
    <row r="5" spans="1:22" x14ac:dyDescent="0.25">
      <c r="A5" s="21"/>
      <c r="B5" s="213" t="s">
        <v>183</v>
      </c>
      <c r="D5" s="6">
        <f>E5</f>
        <v>209587893</v>
      </c>
      <c r="E5" s="110">
        <v>209587893</v>
      </c>
      <c r="G5" s="353"/>
      <c r="H5" s="73"/>
      <c r="I5" s="73"/>
      <c r="J5" s="75"/>
      <c r="K5" s="75"/>
      <c r="L5" s="75"/>
      <c r="M5" s="75"/>
      <c r="N5" s="5"/>
      <c r="O5" s="75"/>
      <c r="P5" s="5"/>
      <c r="Q5" s="5"/>
      <c r="R5" s="5"/>
      <c r="S5" s="5"/>
      <c r="T5" s="5"/>
      <c r="U5" s="5"/>
      <c r="V5" s="54"/>
    </row>
    <row r="6" spans="1:22" x14ac:dyDescent="0.25">
      <c r="A6" s="21"/>
      <c r="B6" s="213" t="s">
        <v>189</v>
      </c>
      <c r="D6" s="6">
        <f>E6</f>
        <v>6544722.75</v>
      </c>
      <c r="E6" s="110">
        <v>6544722.75</v>
      </c>
      <c r="G6" s="353"/>
      <c r="H6" s="73"/>
      <c r="I6" s="73"/>
      <c r="J6" s="75"/>
      <c r="K6" s="75"/>
      <c r="L6" s="75"/>
      <c r="M6" s="75"/>
      <c r="N6" s="5"/>
      <c r="O6" s="75"/>
      <c r="P6" s="5"/>
      <c r="Q6" s="5"/>
      <c r="R6" s="5"/>
      <c r="S6" s="5"/>
      <c r="T6" s="5"/>
      <c r="U6" s="5"/>
      <c r="V6" s="54"/>
    </row>
    <row r="7" spans="1:22" x14ac:dyDescent="0.25">
      <c r="A7" s="21"/>
      <c r="B7" s="213" t="s">
        <v>4</v>
      </c>
      <c r="D7" s="5">
        <f>E7</f>
        <v>2763214</v>
      </c>
      <c r="E7" s="110">
        <v>2763214</v>
      </c>
      <c r="G7" s="213"/>
      <c r="H7" s="73"/>
      <c r="I7" s="73"/>
      <c r="J7" s="75"/>
      <c r="K7" s="75"/>
      <c r="L7" s="75"/>
      <c r="M7" s="75"/>
      <c r="N7" s="5"/>
      <c r="O7" s="75"/>
      <c r="P7" s="5"/>
      <c r="Q7" s="5"/>
      <c r="R7" s="5"/>
      <c r="S7" s="5"/>
      <c r="T7" s="5"/>
      <c r="U7" s="5"/>
      <c r="V7" s="54"/>
    </row>
    <row r="8" spans="1:22" x14ac:dyDescent="0.25">
      <c r="A8" s="21"/>
      <c r="B8" s="213" t="s">
        <v>5</v>
      </c>
      <c r="D8" s="109">
        <v>-49628346</v>
      </c>
      <c r="G8" s="213"/>
      <c r="H8" s="73"/>
      <c r="I8" s="73"/>
      <c r="J8" s="5"/>
      <c r="K8" s="5"/>
      <c r="L8" s="5"/>
      <c r="M8" s="5"/>
      <c r="N8" s="5"/>
      <c r="O8" s="5"/>
      <c r="P8" s="5"/>
      <c r="Q8" s="5"/>
      <c r="R8" s="5"/>
      <c r="S8" s="5"/>
      <c r="T8" s="5"/>
      <c r="U8" s="5"/>
      <c r="V8" s="54"/>
    </row>
    <row r="9" spans="1:22" x14ac:dyDescent="0.25">
      <c r="B9" s="4"/>
      <c r="D9" s="10">
        <f>SUM(D5:D8)</f>
        <v>169267483.75</v>
      </c>
      <c r="E9" s="10">
        <f>SUM(E5:E8)</f>
        <v>218895829.75</v>
      </c>
      <c r="G9" s="213"/>
      <c r="H9" s="74"/>
      <c r="I9" s="74"/>
      <c r="J9" s="233"/>
      <c r="K9" s="233"/>
      <c r="L9" s="233"/>
      <c r="M9" s="233"/>
      <c r="N9" s="233"/>
      <c r="O9" s="233"/>
      <c r="P9" s="233"/>
      <c r="Q9" s="233"/>
      <c r="R9" s="233"/>
      <c r="S9" s="233"/>
      <c r="T9" s="233"/>
      <c r="U9" s="233"/>
      <c r="V9" s="116"/>
    </row>
    <row r="10" spans="1:22" x14ac:dyDescent="0.25">
      <c r="B10" s="4"/>
      <c r="D10" s="6"/>
      <c r="G10" s="4"/>
      <c r="H10" s="12"/>
      <c r="I10" s="11"/>
      <c r="J10" s="13"/>
      <c r="K10" s="12"/>
      <c r="L10" s="11"/>
      <c r="M10" s="13"/>
      <c r="N10" s="13"/>
      <c r="O10" s="3"/>
    </row>
    <row r="11" spans="1:22" x14ac:dyDescent="0.25">
      <c r="B11" t="s">
        <v>6</v>
      </c>
      <c r="C11" s="15">
        <f>+C28</f>
        <v>0.62856924920127077</v>
      </c>
      <c r="D11" s="6">
        <f>+D9*C11</f>
        <v>106396335.1749258</v>
      </c>
      <c r="E11" s="7">
        <f>+D11</f>
        <v>106396335.1749258</v>
      </c>
      <c r="G11" s="16"/>
      <c r="H11" s="18"/>
      <c r="I11" s="19"/>
      <c r="J11" s="89"/>
      <c r="K11" s="89"/>
      <c r="L11" s="89"/>
      <c r="M11" s="89"/>
      <c r="N11" s="89"/>
      <c r="O11" s="89"/>
      <c r="P11" s="89"/>
      <c r="Q11" s="89"/>
      <c r="R11" s="89"/>
      <c r="S11" s="89"/>
      <c r="T11" s="89"/>
      <c r="U11" s="89"/>
      <c r="V11" s="89"/>
    </row>
    <row r="12" spans="1:22" x14ac:dyDescent="0.25">
      <c r="B12" t="s">
        <v>7</v>
      </c>
      <c r="C12" s="15">
        <f>+C29</f>
        <v>0.37143075079872928</v>
      </c>
      <c r="D12" s="6">
        <f>+D9*C12</f>
        <v>62871148.575074211</v>
      </c>
      <c r="E12" s="7">
        <f>+D12-D8</f>
        <v>112499494.57507421</v>
      </c>
      <c r="F12" s="21"/>
      <c r="G12" s="16"/>
      <c r="H12" s="18"/>
      <c r="I12" s="19"/>
      <c r="J12" s="89"/>
      <c r="K12" s="89"/>
      <c r="L12" s="89"/>
      <c r="M12" s="89"/>
      <c r="N12" s="89"/>
      <c r="O12" s="89"/>
      <c r="P12" s="89"/>
      <c r="Q12" s="89"/>
      <c r="R12" s="89"/>
      <c r="S12" s="89"/>
      <c r="T12" s="89"/>
      <c r="U12" s="89"/>
    </row>
    <row r="13" spans="1:22" ht="15.75" thickBot="1" x14ac:dyDescent="0.3">
      <c r="B13" t="s">
        <v>8</v>
      </c>
      <c r="C13" s="22">
        <f>+C11+C12</f>
        <v>1</v>
      </c>
      <c r="D13" s="23">
        <f>+D11+D12</f>
        <v>169267483.75</v>
      </c>
      <c r="E13" s="23">
        <f>+E11+E12</f>
        <v>218895829.75</v>
      </c>
      <c r="G13" s="3"/>
      <c r="H13" s="18"/>
      <c r="I13" s="19"/>
      <c r="J13" s="20"/>
      <c r="K13" s="18"/>
      <c r="L13" s="20"/>
      <c r="M13" s="19"/>
      <c r="N13" s="19"/>
      <c r="O13" s="3"/>
    </row>
    <row r="14" spans="1:22" ht="15.75" thickTop="1" x14ac:dyDescent="0.25">
      <c r="G14" s="3"/>
      <c r="H14" s="3"/>
      <c r="I14" s="3"/>
      <c r="J14" s="3"/>
      <c r="K14" s="3"/>
      <c r="L14" s="3"/>
      <c r="M14" s="3"/>
      <c r="N14" s="3"/>
      <c r="O14" s="3"/>
    </row>
    <row r="15" spans="1:22" x14ac:dyDescent="0.25">
      <c r="B15" s="24" t="s">
        <v>9</v>
      </c>
      <c r="G15" s="3"/>
      <c r="H15" s="18"/>
      <c r="I15" s="19"/>
      <c r="J15" s="20"/>
      <c r="K15" s="18"/>
      <c r="L15" s="20"/>
      <c r="M15" s="19"/>
      <c r="N15" s="19"/>
      <c r="O15" s="3"/>
    </row>
    <row r="16" spans="1:22" x14ac:dyDescent="0.25">
      <c r="B16" s="24"/>
      <c r="C16" s="102" t="s">
        <v>11</v>
      </c>
      <c r="D16" s="102" t="s">
        <v>10</v>
      </c>
      <c r="E16" s="103"/>
      <c r="H16" s="7"/>
      <c r="I16" s="26"/>
      <c r="J16" s="14"/>
      <c r="K16" s="7"/>
      <c r="L16" s="14"/>
      <c r="M16" s="26"/>
      <c r="N16" s="26"/>
    </row>
    <row r="17" spans="1:22" x14ac:dyDescent="0.25">
      <c r="B17" t="s">
        <v>12</v>
      </c>
      <c r="C17" s="15">
        <f>C34</f>
        <v>5.7878427764708439E-2</v>
      </c>
      <c r="D17" s="27">
        <f>+C17*$D$11</f>
        <v>6158052.5998516511</v>
      </c>
      <c r="E17" s="29"/>
      <c r="H17" s="7"/>
      <c r="I17" s="26"/>
      <c r="J17" s="14"/>
      <c r="K17" s="7"/>
      <c r="L17" s="14"/>
      <c r="M17" s="26"/>
      <c r="N17" s="26"/>
    </row>
    <row r="18" spans="1:22" x14ac:dyDescent="0.25">
      <c r="B18" t="s">
        <v>13</v>
      </c>
      <c r="C18" s="15">
        <f t="shared" ref="C18:C21" si="0">C35</f>
        <v>4.0822847413853024E-2</v>
      </c>
      <c r="D18" s="27">
        <f t="shared" ref="D18:D21" si="1">+C18*$D$11</f>
        <v>4343401.3562391596</v>
      </c>
      <c r="E18" s="29"/>
      <c r="H18" s="7"/>
      <c r="I18" s="26"/>
      <c r="J18" s="14"/>
      <c r="K18" s="7"/>
      <c r="L18" s="14"/>
      <c r="M18" s="26"/>
      <c r="N18" s="26"/>
    </row>
    <row r="19" spans="1:22" x14ac:dyDescent="0.25">
      <c r="B19" t="s">
        <v>14</v>
      </c>
      <c r="C19" s="15">
        <f t="shared" si="0"/>
        <v>0.55539092869594031</v>
      </c>
      <c r="D19" s="27">
        <f t="shared" si="1"/>
        <v>59091559.402646586</v>
      </c>
      <c r="E19" s="29"/>
      <c r="H19" s="7"/>
      <c r="I19" s="26"/>
      <c r="J19" s="14"/>
      <c r="K19" s="7"/>
      <c r="L19" s="14"/>
      <c r="M19" s="26"/>
      <c r="N19" s="26"/>
    </row>
    <row r="20" spans="1:22" x14ac:dyDescent="0.25">
      <c r="B20" t="s">
        <v>15</v>
      </c>
      <c r="C20" s="15">
        <f t="shared" si="0"/>
        <v>0.16825163576691246</v>
      </c>
      <c r="D20" s="27">
        <f t="shared" si="1"/>
        <v>17901357.432785954</v>
      </c>
      <c r="E20" s="29"/>
      <c r="H20" s="7"/>
      <c r="I20" s="26"/>
      <c r="J20" s="14"/>
      <c r="K20" s="7"/>
      <c r="L20" s="14"/>
      <c r="M20" s="26"/>
      <c r="N20" s="26"/>
    </row>
    <row r="21" spans="1:22" x14ac:dyDescent="0.25">
      <c r="B21" t="s">
        <v>16</v>
      </c>
      <c r="C21" s="15">
        <f t="shared" si="0"/>
        <v>0.17765616035858572</v>
      </c>
      <c r="D21" s="27">
        <f t="shared" si="1"/>
        <v>18901964.383402452</v>
      </c>
      <c r="E21" s="29"/>
      <c r="H21" s="7"/>
      <c r="I21" s="26"/>
      <c r="J21" s="14"/>
      <c r="K21" s="7"/>
      <c r="L21" s="14"/>
      <c r="M21" s="26"/>
      <c r="N21" s="26"/>
    </row>
    <row r="22" spans="1:22" ht="15.75" thickBot="1" x14ac:dyDescent="0.3">
      <c r="C22" s="22">
        <f>SUM(C17:C21)</f>
        <v>1</v>
      </c>
      <c r="D22" s="23">
        <f>SUM(D17:D21)</f>
        <v>106396335.1749258</v>
      </c>
      <c r="H22" s="7"/>
      <c r="I22" s="26"/>
      <c r="J22" s="14"/>
      <c r="K22" s="7"/>
      <c r="L22" s="14"/>
      <c r="M22" s="26"/>
      <c r="N22" s="26"/>
    </row>
    <row r="23" spans="1:22" ht="15.75" thickTop="1" x14ac:dyDescent="0.25">
      <c r="H23" s="7"/>
      <c r="I23" s="26"/>
      <c r="J23" s="14"/>
      <c r="K23" s="7"/>
      <c r="L23" s="14"/>
      <c r="M23" s="26"/>
      <c r="N23" s="26"/>
    </row>
    <row r="24" spans="1:22" x14ac:dyDescent="0.25">
      <c r="B24" s="24" t="s">
        <v>17</v>
      </c>
    </row>
    <row r="25" spans="1:22" ht="30.75" customHeight="1" x14ac:dyDescent="0.25">
      <c r="B25" s="24"/>
      <c r="C25" s="103" t="s">
        <v>1</v>
      </c>
      <c r="D25" s="102" t="s">
        <v>2</v>
      </c>
      <c r="E25" s="102" t="s">
        <v>3</v>
      </c>
      <c r="G25" s="21"/>
      <c r="H25" s="104"/>
      <c r="I25" s="21"/>
      <c r="J25" s="21"/>
      <c r="K25" s="21"/>
      <c r="L25" s="21"/>
      <c r="M25" s="21"/>
      <c r="N25" s="21"/>
      <c r="O25" s="21"/>
      <c r="P25" s="21"/>
      <c r="Q25" s="21"/>
      <c r="R25" s="21"/>
      <c r="S25" s="21"/>
      <c r="T25" s="21"/>
      <c r="U25" s="21"/>
      <c r="V25" s="21"/>
    </row>
    <row r="26" spans="1:22" x14ac:dyDescent="0.25">
      <c r="B26" s="213" t="s">
        <v>18</v>
      </c>
      <c r="D26" s="30">
        <f>+D30</f>
        <v>168878194.90197709</v>
      </c>
      <c r="E26" s="7">
        <f>+E30</f>
        <v>218506540.90197709</v>
      </c>
      <c r="G26" s="21"/>
      <c r="H26" s="21"/>
      <c r="I26" s="21"/>
      <c r="J26" s="21"/>
      <c r="K26" s="21"/>
      <c r="L26" s="21"/>
      <c r="M26" s="21"/>
      <c r="N26" s="21"/>
      <c r="O26" s="21"/>
      <c r="P26" s="21"/>
      <c r="Q26" s="21"/>
      <c r="R26" s="21"/>
      <c r="S26" s="21"/>
      <c r="T26" s="21"/>
      <c r="U26" s="21"/>
      <c r="V26" s="21"/>
    </row>
    <row r="27" spans="1:22" x14ac:dyDescent="0.25">
      <c r="B27" s="213"/>
      <c r="G27" s="21"/>
      <c r="H27" s="21"/>
      <c r="I27" s="21"/>
      <c r="J27" s="115"/>
      <c r="K27" s="115"/>
      <c r="L27" s="115"/>
      <c r="M27" s="115"/>
      <c r="N27" s="115"/>
      <c r="O27" s="115"/>
      <c r="P27" s="115"/>
      <c r="Q27" s="115"/>
      <c r="R27" s="115"/>
      <c r="S27" s="115"/>
      <c r="T27" s="115"/>
      <c r="U27" s="115"/>
      <c r="V27" s="21"/>
    </row>
    <row r="28" spans="1:22" x14ac:dyDescent="0.25">
      <c r="B28" s="21" t="s">
        <v>19</v>
      </c>
      <c r="C28" s="15">
        <f>+D28/D30</f>
        <v>0.62856924920127077</v>
      </c>
      <c r="D28" s="5">
        <f>D39</f>
        <v>106151640.17600161</v>
      </c>
      <c r="E28" s="7">
        <f>+D28</f>
        <v>106151640.17600161</v>
      </c>
      <c r="G28" s="21"/>
      <c r="H28" s="21"/>
      <c r="I28" s="21"/>
      <c r="J28" s="5"/>
      <c r="K28" s="5"/>
      <c r="L28" s="5"/>
      <c r="M28" s="5"/>
      <c r="N28" s="21"/>
      <c r="O28" s="21"/>
      <c r="P28" s="21"/>
      <c r="Q28" s="21"/>
      <c r="R28" s="21"/>
      <c r="S28" s="21"/>
      <c r="T28" s="21"/>
      <c r="U28" s="21"/>
      <c r="V28" s="21"/>
    </row>
    <row r="29" spans="1:22" x14ac:dyDescent="0.25">
      <c r="A29" s="21"/>
      <c r="B29" s="21" t="s">
        <v>20</v>
      </c>
      <c r="C29" s="15">
        <f>+D29/D30</f>
        <v>0.37143075079872928</v>
      </c>
      <c r="D29" s="109">
        <v>62726554.725975484</v>
      </c>
      <c r="E29" s="7">
        <f>+D29-D8</f>
        <v>112354900.72597548</v>
      </c>
      <c r="F29" s="7"/>
      <c r="G29" s="21"/>
      <c r="H29" s="46"/>
      <c r="I29" s="46"/>
      <c r="J29" s="5"/>
      <c r="K29" s="5"/>
      <c r="L29" s="5"/>
      <c r="M29" s="5"/>
      <c r="N29" s="5"/>
      <c r="O29" s="5"/>
      <c r="P29" s="5"/>
      <c r="Q29" s="5"/>
      <c r="R29" s="5"/>
      <c r="S29" s="5"/>
      <c r="T29" s="5"/>
      <c r="U29" s="5"/>
      <c r="V29" s="46"/>
    </row>
    <row r="30" spans="1:22" ht="15.75" thickBot="1" x14ac:dyDescent="0.3">
      <c r="B30" s="21" t="s">
        <v>21</v>
      </c>
      <c r="C30" s="22">
        <f>+C28+C29</f>
        <v>1</v>
      </c>
      <c r="D30" s="23">
        <f>+D28+D29</f>
        <v>168878194.90197709</v>
      </c>
      <c r="E30" s="23">
        <f>+E28+E29</f>
        <v>218506540.90197709</v>
      </c>
      <c r="F30" s="6"/>
      <c r="G30" s="32"/>
      <c r="H30" s="21"/>
      <c r="I30" s="21"/>
    </row>
    <row r="31" spans="1:22" ht="15.75" thickTop="1" x14ac:dyDescent="0.25">
      <c r="G31" s="14"/>
    </row>
    <row r="32" spans="1:22" x14ac:dyDescent="0.25">
      <c r="D32" s="7">
        <f>D30-D13</f>
        <v>-389288.84802290797</v>
      </c>
      <c r="E32" s="7" t="s">
        <v>141</v>
      </c>
    </row>
    <row r="33" spans="1:26" ht="31.15" customHeight="1" x14ac:dyDescent="0.25">
      <c r="B33" s="24" t="s">
        <v>22</v>
      </c>
      <c r="C33" s="102" t="s">
        <v>11</v>
      </c>
      <c r="D33" s="102" t="s">
        <v>10</v>
      </c>
      <c r="E33" s="103" t="s">
        <v>23</v>
      </c>
      <c r="F33" s="33"/>
      <c r="G33" s="33"/>
      <c r="H33" s="33"/>
      <c r="I33" s="33" t="s">
        <v>117</v>
      </c>
      <c r="J33" s="115"/>
      <c r="K33" s="115"/>
      <c r="L33" s="115"/>
      <c r="M33" s="115"/>
    </row>
    <row r="34" spans="1:26" ht="15" customHeight="1" x14ac:dyDescent="0.25">
      <c r="A34" s="21"/>
      <c r="B34" s="21" t="s">
        <v>12</v>
      </c>
      <c r="C34" s="15">
        <f>D34/D$39</f>
        <v>5.7878427764708439E-2</v>
      </c>
      <c r="D34" s="214">
        <v>6143890.0380320316</v>
      </c>
      <c r="E34" s="29">
        <f>I34/D34</f>
        <v>7.6999999999999999E-2</v>
      </c>
      <c r="F34" s="29"/>
      <c r="G34" s="379"/>
      <c r="H34" s="28"/>
      <c r="I34" s="109">
        <v>473079.53292846645</v>
      </c>
      <c r="J34" s="21"/>
      <c r="K34" s="21"/>
      <c r="L34" s="21"/>
      <c r="M34" s="21"/>
      <c r="N34" s="7"/>
    </row>
    <row r="35" spans="1:26" x14ac:dyDescent="0.25">
      <c r="A35" s="21"/>
      <c r="B35" s="21" t="s">
        <v>13</v>
      </c>
      <c r="C35" s="15">
        <f>D35/D$39</f>
        <v>4.0822847413853024E-2</v>
      </c>
      <c r="D35" s="214">
        <v>4333412.2096351441</v>
      </c>
      <c r="E35" s="29">
        <f>I35/D35</f>
        <v>8.900000000000001E-2</v>
      </c>
      <c r="F35" s="29"/>
      <c r="G35" s="380"/>
      <c r="H35" s="28"/>
      <c r="I35" s="109">
        <v>385673.68665752787</v>
      </c>
      <c r="J35" s="21"/>
      <c r="K35" s="21"/>
      <c r="L35" s="21"/>
      <c r="M35" s="21"/>
      <c r="N35" s="7"/>
    </row>
    <row r="36" spans="1:26" x14ac:dyDescent="0.25">
      <c r="A36" s="21"/>
      <c r="B36" s="21" t="s">
        <v>14</v>
      </c>
      <c r="C36" s="15">
        <f>D36/D$39</f>
        <v>0.55539092869594031</v>
      </c>
      <c r="D36" s="214">
        <v>58955658.019946821</v>
      </c>
      <c r="E36" s="29">
        <f>I36/D36</f>
        <v>6.5000000000000002E-2</v>
      </c>
      <c r="F36" s="29"/>
      <c r="G36" s="380"/>
      <c r="H36" s="28"/>
      <c r="I36" s="109">
        <v>3832117.7712965435</v>
      </c>
      <c r="J36" s="21"/>
      <c r="K36" s="21"/>
      <c r="L36" s="21"/>
      <c r="M36" s="21"/>
      <c r="N36" s="7"/>
    </row>
    <row r="37" spans="1:26" x14ac:dyDescent="0.25">
      <c r="A37" s="21"/>
      <c r="B37" s="21" t="s">
        <v>15</v>
      </c>
      <c r="C37" s="15">
        <f>D37/D$39</f>
        <v>0.16825163576691246</v>
      </c>
      <c r="D37" s="214">
        <v>17860187.098952975</v>
      </c>
      <c r="E37" s="29">
        <f>I37/D37</f>
        <v>9.4E-2</v>
      </c>
      <c r="F37" s="29"/>
      <c r="G37" s="380"/>
      <c r="H37" s="28"/>
      <c r="I37" s="109">
        <v>1678857.5873015798</v>
      </c>
      <c r="J37" s="21"/>
      <c r="K37" s="21"/>
      <c r="L37" s="21"/>
      <c r="M37" s="21"/>
      <c r="N37" s="7"/>
    </row>
    <row r="38" spans="1:26" x14ac:dyDescent="0.25">
      <c r="A38" s="21"/>
      <c r="B38" s="21" t="s">
        <v>82</v>
      </c>
      <c r="C38" s="15">
        <f>D38/D$39</f>
        <v>0.17765616035858572</v>
      </c>
      <c r="D38" s="214">
        <v>18858492.809434634</v>
      </c>
      <c r="E38" s="29">
        <f>I38/D38</f>
        <v>0.13200000000000001</v>
      </c>
      <c r="F38" s="29"/>
      <c r="G38" s="380"/>
      <c r="H38" s="28"/>
      <c r="I38" s="109">
        <v>2489321.0508453716</v>
      </c>
      <c r="J38" s="21"/>
      <c r="K38" s="21"/>
      <c r="L38" s="21"/>
      <c r="M38" s="21"/>
      <c r="N38" s="7"/>
    </row>
    <row r="39" spans="1:26" ht="15.75" thickBot="1" x14ac:dyDescent="0.3">
      <c r="B39" s="21" t="s">
        <v>83</v>
      </c>
      <c r="C39" s="22">
        <f>SUM(C34:C38)</f>
        <v>1</v>
      </c>
      <c r="D39" s="23">
        <f>SUM(D34:D38)</f>
        <v>106151640.17600161</v>
      </c>
      <c r="G39" s="46"/>
      <c r="H39" s="21"/>
      <c r="I39" s="67">
        <f>SUM(I34:I38)</f>
        <v>8859049.6290294901</v>
      </c>
      <c r="J39" s="118"/>
      <c r="K39" s="118"/>
      <c r="L39" s="118"/>
      <c r="M39" s="118"/>
    </row>
    <row r="40" spans="1:26" ht="15.75" thickTop="1" x14ac:dyDescent="0.25"/>
    <row r="42" spans="1:26" x14ac:dyDescent="0.25">
      <c r="B42" s="24" t="s">
        <v>24</v>
      </c>
      <c r="M42" s="21"/>
      <c r="N42" s="21"/>
      <c r="O42" s="21"/>
      <c r="P42" s="21"/>
      <c r="Q42" s="21"/>
      <c r="R42" s="21"/>
      <c r="S42" s="21"/>
      <c r="T42" s="21"/>
      <c r="U42" s="21"/>
      <c r="V42" s="21"/>
      <c r="W42" s="21"/>
      <c r="X42" s="21"/>
      <c r="Y42" s="21"/>
      <c r="Z42" s="21"/>
    </row>
    <row r="43" spans="1:26" x14ac:dyDescent="0.25">
      <c r="B43" s="2"/>
      <c r="C43" s="102" t="s">
        <v>25</v>
      </c>
      <c r="M43" s="21"/>
      <c r="N43" s="21"/>
      <c r="O43" s="21"/>
      <c r="P43" s="21"/>
      <c r="Q43" s="21"/>
      <c r="R43" s="21"/>
      <c r="S43" s="21"/>
      <c r="T43" s="21"/>
      <c r="U43" s="21"/>
      <c r="V43" s="21"/>
      <c r="W43" s="21"/>
      <c r="X43" s="21"/>
      <c r="Y43" s="21"/>
      <c r="Z43" s="21"/>
    </row>
    <row r="44" spans="1:26" x14ac:dyDescent="0.25">
      <c r="B44" s="2" t="s">
        <v>26</v>
      </c>
      <c r="C44" s="102" t="s">
        <v>27</v>
      </c>
      <c r="M44" s="115"/>
      <c r="N44" s="115"/>
      <c r="O44" s="115"/>
      <c r="P44" s="115"/>
      <c r="Q44" s="115"/>
      <c r="R44" s="115"/>
      <c r="S44" s="115"/>
      <c r="T44" s="115"/>
      <c r="U44" s="115"/>
      <c r="V44" s="115"/>
      <c r="W44" s="115"/>
      <c r="X44" s="115"/>
      <c r="Y44" s="21"/>
      <c r="Z44" s="21"/>
    </row>
    <row r="45" spans="1:26" x14ac:dyDescent="0.25">
      <c r="B45" t="s">
        <v>28</v>
      </c>
      <c r="C45" s="25">
        <f>+C87</f>
        <v>2.5462210691397102E-2</v>
      </c>
      <c r="D45" s="215"/>
      <c r="G45" s="31"/>
      <c r="M45" s="5"/>
      <c r="N45" s="5"/>
      <c r="O45" s="5"/>
      <c r="P45" s="5"/>
      <c r="Q45" s="5"/>
      <c r="R45" s="5"/>
      <c r="S45" s="5"/>
      <c r="T45" s="5"/>
      <c r="U45" s="5"/>
      <c r="V45" s="5"/>
      <c r="W45" s="5"/>
      <c r="X45" s="5"/>
      <c r="Y45" s="5"/>
      <c r="Z45" s="21"/>
    </row>
    <row r="46" spans="1:26" x14ac:dyDescent="0.25">
      <c r="B46" t="s">
        <v>29</v>
      </c>
      <c r="C46" s="25">
        <f>+C88</f>
        <v>2.4718384002408313E-2</v>
      </c>
      <c r="D46" s="215"/>
      <c r="E46" s="31"/>
      <c r="G46" s="31"/>
      <c r="M46" s="5"/>
      <c r="N46" s="5"/>
      <c r="O46" s="5"/>
      <c r="P46" s="5"/>
      <c r="Q46" s="5"/>
      <c r="R46" s="5"/>
      <c r="S46" s="5"/>
      <c r="T46" s="5"/>
      <c r="U46" s="5"/>
      <c r="V46" s="5"/>
      <c r="W46" s="5"/>
      <c r="X46" s="5"/>
      <c r="Y46" s="5"/>
      <c r="Z46" s="21"/>
    </row>
    <row r="47" spans="1:26" x14ac:dyDescent="0.25">
      <c r="A47" s="21"/>
      <c r="B47" s="21" t="s">
        <v>30</v>
      </c>
      <c r="C47" s="345">
        <v>0.12235</v>
      </c>
      <c r="D47" s="21"/>
      <c r="E47" s="36"/>
      <c r="M47" s="238"/>
      <c r="N47" s="238"/>
      <c r="O47" s="238"/>
      <c r="P47" s="238"/>
      <c r="Q47" s="238"/>
      <c r="R47" s="238"/>
      <c r="S47" s="238"/>
      <c r="T47" s="238"/>
      <c r="U47" s="238"/>
      <c r="V47" s="238"/>
      <c r="W47" s="238"/>
      <c r="X47" s="238"/>
      <c r="Y47" s="238"/>
      <c r="Z47" s="21"/>
    </row>
    <row r="48" spans="1:26" x14ac:dyDescent="0.25">
      <c r="B48" s="21" t="s">
        <v>31</v>
      </c>
      <c r="C48" s="216" t="s">
        <v>163</v>
      </c>
      <c r="D48" s="21"/>
      <c r="E48" s="31"/>
      <c r="M48" s="21"/>
      <c r="N48" s="21"/>
      <c r="O48" s="21"/>
      <c r="P48" s="21"/>
      <c r="Q48" s="21"/>
      <c r="R48" s="21"/>
      <c r="S48" s="21"/>
      <c r="T48" s="21"/>
      <c r="U48" s="21"/>
      <c r="V48" s="21"/>
      <c r="W48" s="21"/>
      <c r="X48" s="21"/>
      <c r="Y48" s="21"/>
      <c r="Z48" s="21"/>
    </row>
    <row r="49" spans="1:27" x14ac:dyDescent="0.25">
      <c r="B49" s="21" t="s">
        <v>32</v>
      </c>
      <c r="C49" s="345">
        <f>98.55/1000</f>
        <v>9.8549999999999999E-2</v>
      </c>
      <c r="D49" s="107" t="s">
        <v>190</v>
      </c>
      <c r="M49" s="5"/>
      <c r="N49" s="5"/>
      <c r="O49" s="5"/>
      <c r="P49" s="5"/>
      <c r="Q49" s="5"/>
      <c r="R49" s="5"/>
      <c r="S49" s="5"/>
      <c r="T49" s="5"/>
      <c r="U49" s="5"/>
      <c r="V49" s="5"/>
      <c r="W49" s="5"/>
      <c r="X49" s="5"/>
      <c r="Y49" s="5"/>
      <c r="Z49" s="21"/>
    </row>
    <row r="50" spans="1:27" x14ac:dyDescent="0.25">
      <c r="A50" s="21"/>
      <c r="B50" s="21" t="s">
        <v>33</v>
      </c>
      <c r="C50" s="345">
        <v>9.8550989249746077E-2</v>
      </c>
      <c r="D50" s="107" t="s">
        <v>164</v>
      </c>
      <c r="G50" s="255"/>
      <c r="M50" s="5"/>
      <c r="N50" s="5"/>
      <c r="O50" s="5"/>
      <c r="P50" s="5"/>
      <c r="Q50" s="5"/>
      <c r="R50" s="5"/>
      <c r="S50" s="5"/>
      <c r="T50" s="5"/>
      <c r="U50" s="5"/>
      <c r="V50" s="5"/>
      <c r="W50" s="5"/>
      <c r="X50" s="5"/>
      <c r="Y50" s="5"/>
      <c r="Z50" s="21"/>
    </row>
    <row r="51" spans="1:27" x14ac:dyDescent="0.25">
      <c r="C51" s="216">
        <f>C50</f>
        <v>9.8550989249746077E-2</v>
      </c>
      <c r="D51" s="107" t="s">
        <v>165</v>
      </c>
      <c r="E51" s="21"/>
      <c r="G51" s="381"/>
      <c r="H51" s="382"/>
      <c r="I51" s="382"/>
      <c r="M51" s="238"/>
      <c r="N51" s="238"/>
      <c r="O51" s="238"/>
      <c r="P51" s="238"/>
      <c r="Q51" s="238"/>
      <c r="R51" s="238"/>
      <c r="S51" s="238"/>
      <c r="T51" s="238"/>
      <c r="U51" s="238"/>
      <c r="V51" s="238"/>
      <c r="W51" s="238"/>
      <c r="X51" s="238"/>
      <c r="Y51" s="238"/>
      <c r="Z51" s="21"/>
    </row>
    <row r="52" spans="1:27" x14ac:dyDescent="0.25">
      <c r="C52" s="216">
        <f>+C50</f>
        <v>9.8550989249746077E-2</v>
      </c>
      <c r="D52" s="107" t="s">
        <v>166</v>
      </c>
      <c r="E52" s="21"/>
      <c r="G52" s="382"/>
      <c r="H52" s="382"/>
      <c r="I52" s="382"/>
      <c r="M52" s="21"/>
      <c r="N52" s="21"/>
      <c r="O52" s="21"/>
      <c r="P52" s="21"/>
      <c r="Q52" s="21"/>
      <c r="R52" s="21"/>
      <c r="S52" s="21"/>
      <c r="T52" s="21"/>
      <c r="U52" s="21"/>
      <c r="V52" s="21"/>
      <c r="W52" s="21"/>
      <c r="X52" s="21"/>
      <c r="Y52" s="21"/>
      <c r="Z52" s="21"/>
    </row>
    <row r="53" spans="1:27" ht="18.75" x14ac:dyDescent="0.3">
      <c r="B53" s="351" t="s">
        <v>191</v>
      </c>
      <c r="C53" s="35"/>
      <c r="D53" s="37"/>
      <c r="M53" s="115"/>
      <c r="N53" s="115"/>
      <c r="O53" s="115"/>
      <c r="P53" s="115"/>
      <c r="Q53" s="115"/>
      <c r="R53" s="115"/>
      <c r="S53" s="115"/>
      <c r="T53" s="115"/>
      <c r="U53" s="115"/>
      <c r="V53" s="115"/>
      <c r="W53" s="115"/>
      <c r="X53" s="115"/>
      <c r="Y53" s="73"/>
      <c r="Z53" s="73"/>
      <c r="AA53" s="73"/>
    </row>
    <row r="54" spans="1:27" x14ac:dyDescent="0.25">
      <c r="B54" s="24" t="s">
        <v>34</v>
      </c>
      <c r="I54" s="388" t="s">
        <v>175</v>
      </c>
      <c r="J54" s="389"/>
      <c r="K54" s="241"/>
      <c r="M54" s="53"/>
      <c r="N54" s="53"/>
      <c r="O54" s="53"/>
      <c r="P54" s="53"/>
      <c r="Q54" s="53"/>
      <c r="R54" s="53"/>
      <c r="S54" s="53"/>
      <c r="T54" s="53"/>
      <c r="U54" s="53"/>
      <c r="V54" s="53"/>
      <c r="W54" s="53"/>
      <c r="X54" s="53"/>
      <c r="Y54" s="75"/>
      <c r="Z54" s="73"/>
      <c r="AA54" s="73"/>
    </row>
    <row r="55" spans="1:27" x14ac:dyDescent="0.25">
      <c r="B55" s="24"/>
      <c r="C55" s="102" t="s">
        <v>35</v>
      </c>
      <c r="D55" s="12" t="s">
        <v>10</v>
      </c>
      <c r="E55" s="38" t="s">
        <v>36</v>
      </c>
      <c r="F55" s="2"/>
      <c r="H55" s="239"/>
      <c r="I55" s="242" t="s">
        <v>176</v>
      </c>
      <c r="J55" s="108" t="s">
        <v>177</v>
      </c>
      <c r="K55" s="243"/>
      <c r="M55" s="53"/>
      <c r="N55" s="53"/>
      <c r="O55" s="53"/>
      <c r="P55" s="53"/>
      <c r="Q55" s="53"/>
      <c r="R55" s="53"/>
      <c r="S55" s="53"/>
      <c r="T55" s="53"/>
      <c r="U55" s="53"/>
      <c r="V55" s="53"/>
      <c r="W55" s="53"/>
      <c r="X55" s="53"/>
      <c r="Y55" s="75"/>
      <c r="Z55" s="73"/>
      <c r="AA55" s="73"/>
    </row>
    <row r="56" spans="1:27" x14ac:dyDescent="0.25">
      <c r="A56" s="21"/>
      <c r="B56" s="21" t="s">
        <v>37</v>
      </c>
      <c r="C56" s="35">
        <f>E56/D56</f>
        <v>0.17332582637464924</v>
      </c>
      <c r="D56" s="7">
        <f>+E7</f>
        <v>2763214</v>
      </c>
      <c r="E56" s="217">
        <v>478936.35000000003</v>
      </c>
      <c r="F56" s="4"/>
      <c r="G56" s="5" t="s">
        <v>141</v>
      </c>
      <c r="H56" s="239"/>
      <c r="I56" s="244">
        <f>E56</f>
        <v>478936.35000000003</v>
      </c>
      <c r="J56" s="3"/>
      <c r="K56" s="243"/>
      <c r="M56" s="75"/>
      <c r="N56" s="75"/>
      <c r="O56" s="75"/>
      <c r="P56" s="75"/>
      <c r="Q56" s="75"/>
      <c r="R56" s="75"/>
      <c r="S56" s="75"/>
      <c r="T56" s="75"/>
      <c r="U56" s="75"/>
      <c r="V56" s="75"/>
      <c r="W56" s="75"/>
      <c r="X56" s="75"/>
      <c r="Y56" s="75"/>
      <c r="Z56" s="73"/>
      <c r="AA56" s="73"/>
    </row>
    <row r="57" spans="1:27" x14ac:dyDescent="0.25">
      <c r="A57" s="21"/>
      <c r="B57" s="21" t="s">
        <v>38</v>
      </c>
      <c r="C57" s="35">
        <f>E57/D57</f>
        <v>2.5873595618426302E-2</v>
      </c>
      <c r="D57" s="46">
        <f>+E5</f>
        <v>209587893</v>
      </c>
      <c r="E57" s="217">
        <v>5422792.3900000006</v>
      </c>
      <c r="F57" s="26"/>
      <c r="G57" s="383"/>
      <c r="I57" s="244">
        <f>+E57</f>
        <v>5422792.3900000006</v>
      </c>
      <c r="J57" s="3"/>
      <c r="K57" s="243"/>
      <c r="M57" s="39"/>
      <c r="N57" s="39"/>
      <c r="O57" s="75"/>
      <c r="P57" s="75"/>
      <c r="Q57" s="75"/>
      <c r="R57" s="75"/>
      <c r="S57" s="75"/>
      <c r="T57" s="75"/>
      <c r="U57" s="75"/>
      <c r="V57" s="75"/>
      <c r="W57" s="75"/>
      <c r="X57" s="75"/>
      <c r="Y57" s="75"/>
      <c r="Z57" s="73"/>
      <c r="AA57" s="73"/>
    </row>
    <row r="58" spans="1:27" x14ac:dyDescent="0.25">
      <c r="A58" s="21"/>
      <c r="B58" s="21" t="s">
        <v>39</v>
      </c>
      <c r="C58" s="35"/>
      <c r="D58" s="7"/>
      <c r="E58" s="217">
        <v>2911796</v>
      </c>
      <c r="F58" s="26"/>
      <c r="G58" s="381"/>
      <c r="H58" s="21"/>
      <c r="I58" s="90"/>
      <c r="J58" s="76">
        <f>E58</f>
        <v>2911796</v>
      </c>
      <c r="K58" s="243"/>
      <c r="M58" s="75"/>
      <c r="N58" s="75"/>
      <c r="O58" s="75"/>
      <c r="P58" s="75"/>
      <c r="Q58" s="75"/>
      <c r="R58" s="75"/>
      <c r="S58" s="75"/>
      <c r="T58" s="75"/>
      <c r="U58" s="75"/>
      <c r="V58" s="75"/>
      <c r="W58" s="75"/>
      <c r="X58" s="75"/>
      <c r="Y58" s="75"/>
      <c r="Z58" s="73"/>
      <c r="AA58" s="73"/>
    </row>
    <row r="59" spans="1:27" ht="17.25" x14ac:dyDescent="0.25">
      <c r="B59" s="21" t="s">
        <v>40</v>
      </c>
      <c r="C59" s="41">
        <f>C51</f>
        <v>9.8550989249746077E-2</v>
      </c>
      <c r="D59" s="7">
        <f>+D11</f>
        <v>106396335.1749258</v>
      </c>
      <c r="E59" s="39">
        <f>+D59*C59</f>
        <v>10485464.084036494</v>
      </c>
      <c r="F59" s="39"/>
      <c r="G59" s="381"/>
      <c r="H59" s="21"/>
      <c r="I59" s="245">
        <f>+E59</f>
        <v>10485464.084036494</v>
      </c>
      <c r="J59" s="73"/>
      <c r="K59" s="243"/>
      <c r="M59" s="39"/>
      <c r="N59" s="39"/>
      <c r="O59" s="75"/>
      <c r="P59" s="75"/>
      <c r="Q59" s="75"/>
      <c r="R59" s="73"/>
      <c r="S59" s="73"/>
      <c r="T59" s="73"/>
      <c r="U59" s="73"/>
      <c r="V59" s="73"/>
      <c r="W59" s="73"/>
      <c r="X59" s="73"/>
      <c r="Y59" s="73"/>
      <c r="Z59" s="73"/>
      <c r="AA59" s="73"/>
    </row>
    <row r="60" spans="1:27" ht="17.25" x14ac:dyDescent="0.25">
      <c r="B60" s="21" t="s">
        <v>41</v>
      </c>
      <c r="C60" s="41">
        <f>C52</f>
        <v>9.8550989249746077E-2</v>
      </c>
      <c r="D60" s="7">
        <f>+D12</f>
        <v>62871148.575074211</v>
      </c>
      <c r="E60" s="39">
        <f>+D60*C60</f>
        <v>6196013.887341327</v>
      </c>
      <c r="F60" s="39"/>
      <c r="G60" s="381"/>
      <c r="H60" s="21"/>
      <c r="I60" s="231"/>
      <c r="J60" s="76">
        <f>E60</f>
        <v>6196013.887341327</v>
      </c>
      <c r="K60" s="243"/>
      <c r="M60" s="75"/>
      <c r="N60" s="75"/>
      <c r="O60" s="75"/>
      <c r="P60" s="75"/>
      <c r="Q60" s="75"/>
      <c r="R60" s="73"/>
      <c r="S60" s="73"/>
      <c r="T60" s="73"/>
      <c r="U60" s="73"/>
      <c r="V60" s="73"/>
      <c r="W60" s="73"/>
      <c r="X60" s="73"/>
      <c r="Y60" s="73"/>
      <c r="Z60" s="73"/>
      <c r="AA60" s="73"/>
    </row>
    <row r="61" spans="1:27" ht="17.25" x14ac:dyDescent="0.25">
      <c r="B61" t="s">
        <v>42</v>
      </c>
      <c r="C61" s="25"/>
      <c r="D61" s="7"/>
      <c r="E61" s="39">
        <f>'Veridian 2018 RPP 1st TU'!K23</f>
        <v>-4315078.9576960644</v>
      </c>
      <c r="F61" s="253" t="s">
        <v>167</v>
      </c>
      <c r="I61" s="245">
        <f>E61</f>
        <v>-4315078.9576960644</v>
      </c>
      <c r="J61" s="246"/>
      <c r="K61" s="247"/>
      <c r="L61" s="107"/>
      <c r="M61" s="75"/>
      <c r="N61" s="75"/>
      <c r="O61" s="75"/>
      <c r="P61" s="75"/>
      <c r="Q61" s="75"/>
      <c r="R61" s="73"/>
      <c r="S61" s="73"/>
      <c r="T61" s="73"/>
      <c r="U61" s="73"/>
      <c r="V61" s="73"/>
      <c r="W61" s="73"/>
      <c r="X61" s="73"/>
      <c r="Y61" s="73"/>
      <c r="Z61" s="73"/>
      <c r="AA61" s="73"/>
    </row>
    <row r="62" spans="1:27" x14ac:dyDescent="0.25">
      <c r="A62" s="21"/>
      <c r="B62" s="21" t="s">
        <v>43</v>
      </c>
      <c r="C62" s="25">
        <f>E62/D62</f>
        <v>-0.14904279219778127</v>
      </c>
      <c r="D62" s="7">
        <f>+E7</f>
        <v>2763214</v>
      </c>
      <c r="E62" s="217">
        <v>-411837.13</v>
      </c>
      <c r="F62" s="39"/>
      <c r="G62" s="26"/>
      <c r="H62" s="21"/>
      <c r="I62" s="245">
        <f>+E62</f>
        <v>-411837.13</v>
      </c>
      <c r="J62" s="73"/>
      <c r="K62" s="243"/>
      <c r="M62" s="75"/>
      <c r="N62" s="75"/>
      <c r="O62" s="75"/>
      <c r="P62" s="75"/>
      <c r="Q62" s="75"/>
      <c r="R62" s="75"/>
      <c r="S62" s="75"/>
      <c r="T62" s="75"/>
      <c r="U62" s="75"/>
      <c r="V62" s="75"/>
      <c r="W62" s="75"/>
      <c r="X62" s="75"/>
      <c r="Y62" s="75"/>
      <c r="Z62" s="73"/>
      <c r="AA62" s="73"/>
    </row>
    <row r="63" spans="1:27" ht="15.75" thickBot="1" x14ac:dyDescent="0.3">
      <c r="B63" t="s">
        <v>44</v>
      </c>
      <c r="C63" s="25"/>
      <c r="D63" s="7"/>
      <c r="E63" s="42">
        <f>SUM(E56:E62)</f>
        <v>20768086.623681758</v>
      </c>
      <c r="F63" s="43"/>
      <c r="G63" s="43"/>
      <c r="H63" s="44"/>
      <c r="I63" s="248">
        <f>SUM(I56:I62)</f>
        <v>11660276.736340428</v>
      </c>
      <c r="J63" s="240">
        <f>SUM(J56:J62)</f>
        <v>9107809.887341328</v>
      </c>
      <c r="K63" s="250">
        <f>SUM(I63:J63)</f>
        <v>20768086.623681754</v>
      </c>
      <c r="M63" s="75"/>
      <c r="N63" s="75"/>
      <c r="O63" s="75"/>
      <c r="P63" s="75"/>
      <c r="Q63" s="75"/>
      <c r="R63" s="73"/>
      <c r="S63" s="73"/>
      <c r="T63" s="73"/>
      <c r="U63" s="73"/>
      <c r="V63" s="73"/>
      <c r="W63" s="73"/>
      <c r="X63" s="73"/>
      <c r="Y63" s="73"/>
      <c r="Z63" s="73"/>
      <c r="AA63" s="73"/>
    </row>
    <row r="64" spans="1:27" ht="15.75" thickTop="1" x14ac:dyDescent="0.25">
      <c r="H64" s="21"/>
      <c r="I64" s="21"/>
      <c r="J64" s="21"/>
      <c r="M64" s="75"/>
      <c r="N64" s="75"/>
      <c r="O64" s="75"/>
      <c r="P64" s="75"/>
      <c r="Q64" s="75"/>
      <c r="R64" s="73"/>
      <c r="S64" s="73"/>
      <c r="T64" s="73"/>
      <c r="U64" s="73"/>
      <c r="V64" s="73"/>
      <c r="W64" s="73"/>
      <c r="X64" s="73"/>
      <c r="Y64" s="73"/>
      <c r="Z64" s="73"/>
      <c r="AA64" s="73"/>
    </row>
    <row r="65" spans="2:27" ht="18.75" x14ac:dyDescent="0.3">
      <c r="B65" s="1" t="s">
        <v>45</v>
      </c>
      <c r="E65" s="45"/>
      <c r="H65" s="21"/>
      <c r="I65" s="21"/>
      <c r="J65" s="21"/>
      <c r="M65" s="53"/>
      <c r="N65" s="53"/>
      <c r="O65" s="53"/>
      <c r="P65" s="53"/>
      <c r="Q65" s="53"/>
      <c r="R65" s="53"/>
      <c r="S65" s="53"/>
      <c r="T65" s="53"/>
      <c r="U65" s="53"/>
      <c r="V65" s="53"/>
      <c r="W65" s="53"/>
      <c r="X65" s="53"/>
      <c r="Y65" s="75"/>
      <c r="Z65" s="73"/>
      <c r="AA65" s="73"/>
    </row>
    <row r="66" spans="2:27" ht="18.75" x14ac:dyDescent="0.3">
      <c r="B66" s="1"/>
      <c r="G66" s="21"/>
      <c r="H66" s="21"/>
      <c r="I66" s="21"/>
      <c r="J66" s="21"/>
      <c r="M66" s="234"/>
      <c r="N66" s="234"/>
      <c r="O66" s="234"/>
      <c r="P66" s="234"/>
      <c r="Q66" s="76"/>
      <c r="R66" s="76"/>
      <c r="S66" s="76"/>
      <c r="T66" s="76"/>
      <c r="U66" s="76"/>
      <c r="V66" s="76"/>
      <c r="W66" s="76"/>
      <c r="X66" s="76"/>
      <c r="Y66" s="75"/>
      <c r="Z66" s="73"/>
      <c r="AA66" s="73"/>
    </row>
    <row r="67" spans="2:27" x14ac:dyDescent="0.25">
      <c r="B67" s="24" t="s">
        <v>46</v>
      </c>
      <c r="C67" s="104"/>
      <c r="D67" s="104"/>
      <c r="E67" s="104"/>
      <c r="G67" s="104"/>
      <c r="H67" s="21"/>
      <c r="I67" s="21"/>
      <c r="J67" s="21"/>
      <c r="M67" s="75"/>
      <c r="N67" s="75"/>
      <c r="O67" s="75"/>
      <c r="P67" s="75"/>
      <c r="Q67" s="75"/>
      <c r="R67" s="75"/>
      <c r="S67" s="75"/>
      <c r="T67" s="75"/>
      <c r="U67" s="75"/>
      <c r="V67" s="75"/>
      <c r="W67" s="75"/>
      <c r="X67" s="75"/>
      <c r="Y67" s="75"/>
      <c r="Z67" s="73"/>
      <c r="AA67" s="73"/>
    </row>
    <row r="68" spans="2:27" x14ac:dyDescent="0.25">
      <c r="B68" s="24"/>
      <c r="C68" s="103" t="s">
        <v>23</v>
      </c>
      <c r="D68" s="102" t="s">
        <v>10</v>
      </c>
      <c r="E68" s="102" t="s">
        <v>36</v>
      </c>
      <c r="G68" s="47"/>
      <c r="H68" s="21"/>
      <c r="I68" s="21"/>
      <c r="J68" s="21"/>
      <c r="M68" s="73"/>
      <c r="N68" s="73"/>
      <c r="O68" s="73"/>
      <c r="P68" s="235"/>
      <c r="Q68" s="236"/>
      <c r="R68" s="73"/>
      <c r="S68" s="235"/>
      <c r="T68" s="73"/>
      <c r="U68" s="73"/>
      <c r="V68" s="73"/>
      <c r="W68" s="73"/>
      <c r="X68" s="73"/>
      <c r="Y68" s="73"/>
      <c r="Z68" s="73"/>
      <c r="AA68" s="73"/>
    </row>
    <row r="69" spans="2:27" x14ac:dyDescent="0.25">
      <c r="B69" s="21" t="s">
        <v>12</v>
      </c>
      <c r="C69" s="35">
        <f>E34</f>
        <v>7.6999999999999999E-2</v>
      </c>
      <c r="D69" s="6">
        <f>+D34</f>
        <v>6143890.0380320316</v>
      </c>
      <c r="E69" s="50">
        <f>+D69*C69</f>
        <v>473079.53292846645</v>
      </c>
      <c r="G69" s="39"/>
      <c r="H69" s="21"/>
      <c r="I69" s="21"/>
      <c r="J69" s="21"/>
      <c r="M69" s="73"/>
      <c r="N69" s="73"/>
      <c r="O69" s="73"/>
      <c r="P69" s="237"/>
      <c r="Q69" s="237"/>
      <c r="R69" s="237"/>
      <c r="S69" s="237"/>
      <c r="T69" s="73"/>
      <c r="U69" s="73"/>
      <c r="V69" s="73"/>
      <c r="W69" s="73"/>
      <c r="X69" s="73"/>
      <c r="Y69" s="73"/>
      <c r="Z69" s="73"/>
      <c r="AA69" s="73"/>
    </row>
    <row r="70" spans="2:27" x14ac:dyDescent="0.25">
      <c r="B70" s="21" t="s">
        <v>13</v>
      </c>
      <c r="C70" s="35">
        <f>E35</f>
        <v>8.900000000000001E-2</v>
      </c>
      <c r="D70" s="6">
        <f>+D35</f>
        <v>4333412.2096351441</v>
      </c>
      <c r="E70" s="50">
        <f t="shared" ref="E70:E73" si="2">+D70*C70</f>
        <v>385673.68665752787</v>
      </c>
      <c r="G70" s="39"/>
      <c r="H70" s="21"/>
      <c r="I70" s="21"/>
      <c r="J70" s="21"/>
      <c r="M70" s="144"/>
      <c r="N70" s="144"/>
      <c r="O70" s="144"/>
      <c r="P70" s="144"/>
      <c r="Q70" s="144"/>
      <c r="R70" s="144"/>
      <c r="S70" s="144"/>
      <c r="T70" s="144"/>
      <c r="U70" s="144"/>
      <c r="V70" s="144"/>
      <c r="W70" s="144"/>
      <c r="X70" s="144"/>
      <c r="Y70" s="144"/>
      <c r="Z70" s="73"/>
      <c r="AA70" s="73"/>
    </row>
    <row r="71" spans="2:27" x14ac:dyDescent="0.25">
      <c r="B71" s="21" t="s">
        <v>14</v>
      </c>
      <c r="C71" s="35">
        <f>E36</f>
        <v>6.5000000000000002E-2</v>
      </c>
      <c r="D71" s="6">
        <f>+D36</f>
        <v>58955658.019946821</v>
      </c>
      <c r="E71" s="50">
        <f t="shared" si="2"/>
        <v>3832117.7712965435</v>
      </c>
      <c r="G71" s="39"/>
      <c r="H71" s="21"/>
      <c r="I71" s="21"/>
      <c r="J71" s="21"/>
      <c r="M71" s="144"/>
      <c r="N71" s="144"/>
      <c r="O71" s="144"/>
      <c r="P71" s="144"/>
      <c r="Q71" s="144"/>
      <c r="R71" s="144"/>
      <c r="S71" s="144"/>
      <c r="T71" s="144"/>
      <c r="U71" s="144"/>
      <c r="V71" s="144"/>
      <c r="W71" s="144"/>
      <c r="X71" s="144"/>
      <c r="Y71" s="144"/>
      <c r="Z71" s="73"/>
      <c r="AA71" s="73"/>
    </row>
    <row r="72" spans="2:27" x14ac:dyDescent="0.25">
      <c r="B72" s="21" t="s">
        <v>15</v>
      </c>
      <c r="C72" s="35">
        <f>E37</f>
        <v>9.4E-2</v>
      </c>
      <c r="D72" s="6">
        <f>+D37</f>
        <v>17860187.098952975</v>
      </c>
      <c r="E72" s="50">
        <f t="shared" si="2"/>
        <v>1678857.5873015798</v>
      </c>
      <c r="G72" s="39"/>
      <c r="H72" s="21"/>
      <c r="I72" s="21"/>
      <c r="J72" s="21"/>
      <c r="M72" s="144"/>
      <c r="N72" s="144"/>
      <c r="O72" s="144"/>
      <c r="P72" s="144"/>
      <c r="Q72" s="144"/>
      <c r="R72" s="144"/>
      <c r="S72" s="144"/>
      <c r="T72" s="144"/>
      <c r="U72" s="144"/>
      <c r="V72" s="144"/>
      <c r="W72" s="144"/>
      <c r="X72" s="144"/>
      <c r="Y72" s="144"/>
      <c r="Z72" s="73"/>
      <c r="AA72" s="73"/>
    </row>
    <row r="73" spans="2:27" x14ac:dyDescent="0.25">
      <c r="B73" s="21" t="s">
        <v>16</v>
      </c>
      <c r="C73" s="35">
        <f>E38</f>
        <v>0.13200000000000001</v>
      </c>
      <c r="D73" s="6">
        <f>+D38</f>
        <v>18858492.809434634</v>
      </c>
      <c r="E73" s="50">
        <f t="shared" si="2"/>
        <v>2489321.0508453716</v>
      </c>
      <c r="G73" s="39"/>
      <c r="H73" s="21"/>
      <c r="I73" s="388" t="s">
        <v>175</v>
      </c>
      <c r="J73" s="390"/>
      <c r="P73" s="50"/>
      <c r="Q73" s="51"/>
      <c r="R73" s="51"/>
      <c r="S73" s="51"/>
      <c r="T73" s="21"/>
      <c r="U73" s="21"/>
      <c r="V73" s="21"/>
    </row>
    <row r="74" spans="2:27" ht="15.75" thickBot="1" x14ac:dyDescent="0.3">
      <c r="B74" s="21" t="s">
        <v>47</v>
      </c>
      <c r="C74" s="35">
        <f>E74/D74</f>
        <v>8.3456549652374687E-2</v>
      </c>
      <c r="D74" s="52">
        <f>SUM(D69:D73)</f>
        <v>106151640.17600161</v>
      </c>
      <c r="E74" s="42">
        <f>SUM(E69:E73)</f>
        <v>8859049.6290294901</v>
      </c>
      <c r="G74" s="75"/>
      <c r="H74" s="21"/>
      <c r="I74" s="245">
        <f>E74</f>
        <v>8859049.6290294901</v>
      </c>
      <c r="J74" s="232"/>
      <c r="P74" s="19"/>
      <c r="Q74" s="53"/>
      <c r="R74" s="53"/>
      <c r="S74" s="53"/>
      <c r="T74" s="21"/>
      <c r="U74" s="21"/>
      <c r="V74" s="21"/>
    </row>
    <row r="75" spans="2:27" ht="15.75" thickTop="1" x14ac:dyDescent="0.25">
      <c r="E75" s="21"/>
      <c r="G75" s="31"/>
      <c r="H75" s="21"/>
      <c r="I75" s="245">
        <f>E78</f>
        <v>2777231.5806971267</v>
      </c>
      <c r="J75" s="232"/>
      <c r="P75" s="45"/>
      <c r="Q75" s="40"/>
      <c r="R75" s="40"/>
      <c r="S75" s="55"/>
      <c r="T75" s="21"/>
      <c r="U75" s="21"/>
      <c r="V75" s="21"/>
    </row>
    <row r="76" spans="2:27" x14ac:dyDescent="0.25">
      <c r="B76" s="24" t="s">
        <v>48</v>
      </c>
      <c r="E76" s="21"/>
      <c r="G76" s="36"/>
      <c r="H76" s="21"/>
      <c r="I76" s="248">
        <f>SUM(I74:I75)</f>
        <v>11636281.209726617</v>
      </c>
      <c r="J76" s="251" t="s">
        <v>81</v>
      </c>
      <c r="P76" s="19"/>
      <c r="Q76" s="53"/>
      <c r="R76" s="53"/>
      <c r="S76" s="53"/>
      <c r="T76" s="21"/>
      <c r="U76" s="21"/>
      <c r="V76" s="21"/>
    </row>
    <row r="77" spans="2:27" x14ac:dyDescent="0.25">
      <c r="B77" s="24"/>
      <c r="C77" s="102" t="s">
        <v>35</v>
      </c>
      <c r="D77" s="12" t="s">
        <v>10</v>
      </c>
      <c r="E77" s="56" t="s">
        <v>36</v>
      </c>
      <c r="G77" s="99"/>
      <c r="H77" s="21"/>
      <c r="I77" s="231"/>
      <c r="J77" s="232"/>
      <c r="P77" s="19"/>
      <c r="Q77" s="53"/>
      <c r="R77" s="53"/>
      <c r="S77" s="53"/>
      <c r="T77" s="21"/>
      <c r="U77" s="21"/>
      <c r="V77" s="21"/>
    </row>
    <row r="78" spans="2:27" x14ac:dyDescent="0.25">
      <c r="B78" s="21" t="s">
        <v>49</v>
      </c>
      <c r="C78" s="352">
        <f>+C46</f>
        <v>2.4718384002408313E-2</v>
      </c>
      <c r="D78" s="58">
        <f>+E29</f>
        <v>112354900.72597548</v>
      </c>
      <c r="E78" s="59">
        <f>E88</f>
        <v>2777231.5806971267</v>
      </c>
      <c r="G78" s="76"/>
      <c r="H78" s="40"/>
      <c r="I78" s="231"/>
      <c r="J78" s="232"/>
      <c r="K78" s="21"/>
      <c r="L78" s="21"/>
      <c r="M78" s="21"/>
      <c r="P78" s="19"/>
      <c r="Q78" s="53"/>
      <c r="R78" s="53"/>
      <c r="S78" s="53"/>
      <c r="T78" s="21"/>
      <c r="U78" s="21"/>
      <c r="V78" s="21"/>
    </row>
    <row r="79" spans="2:27" x14ac:dyDescent="0.25">
      <c r="B79" s="21" t="s">
        <v>50</v>
      </c>
      <c r="C79" s="57"/>
      <c r="D79" s="58"/>
      <c r="E79" s="59">
        <f>+E58</f>
        <v>2911796</v>
      </c>
      <c r="G79" s="53"/>
      <c r="H79" s="40"/>
      <c r="I79" s="231"/>
      <c r="J79" s="249"/>
      <c r="P79" s="19"/>
      <c r="Q79" s="53"/>
      <c r="R79" s="53"/>
      <c r="S79" s="53"/>
      <c r="T79" s="21"/>
      <c r="U79" s="21"/>
      <c r="V79" s="21"/>
    </row>
    <row r="80" spans="2:27" x14ac:dyDescent="0.25">
      <c r="B80" s="21" t="s">
        <v>192</v>
      </c>
      <c r="C80" s="352">
        <f>C49</f>
        <v>9.8549999999999999E-2</v>
      </c>
      <c r="D80" s="214">
        <v>2512056.31</v>
      </c>
      <c r="E80" s="59">
        <f>C80*D80</f>
        <v>247563.1493505</v>
      </c>
      <c r="G80" s="53"/>
      <c r="H80" s="40"/>
      <c r="I80" s="231"/>
      <c r="J80" s="249"/>
      <c r="P80" s="19"/>
      <c r="Q80" s="53"/>
      <c r="R80" s="53"/>
      <c r="S80" s="53"/>
      <c r="T80" s="21"/>
      <c r="U80" s="21"/>
      <c r="V80" s="21"/>
    </row>
    <row r="81" spans="1:25" x14ac:dyDescent="0.25">
      <c r="B81" s="21" t="s">
        <v>51</v>
      </c>
      <c r="C81" s="111">
        <f>+C47</f>
        <v>0.12235</v>
      </c>
      <c r="D81" s="54">
        <f>+D29-D80</f>
        <v>60214498.415975481</v>
      </c>
      <c r="E81" s="53">
        <f>+C81*D81</f>
        <v>7367243.8811945999</v>
      </c>
      <c r="G81" s="76"/>
      <c r="H81" s="40"/>
      <c r="I81" s="248">
        <f>E79+E81+E80</f>
        <v>10526603.030545099</v>
      </c>
      <c r="J81" s="252" t="s">
        <v>80</v>
      </c>
      <c r="P81" s="19"/>
      <c r="Q81" s="53"/>
      <c r="R81" s="53"/>
      <c r="S81" s="53"/>
      <c r="T81" s="21"/>
      <c r="U81" s="21"/>
      <c r="V81" s="21"/>
    </row>
    <row r="82" spans="1:25" ht="15.75" thickBot="1" x14ac:dyDescent="0.3">
      <c r="D82" s="54"/>
      <c r="E82" s="60">
        <f>SUM(E78:E81)</f>
        <v>13303834.611242227</v>
      </c>
      <c r="F82" s="19"/>
      <c r="G82" s="53"/>
      <c r="H82" s="61"/>
      <c r="I82" s="21"/>
      <c r="J82" s="21"/>
      <c r="Q82" s="21"/>
      <c r="R82" s="21"/>
      <c r="S82" s="21"/>
      <c r="T82" s="21"/>
      <c r="U82" s="21"/>
      <c r="V82" s="21"/>
    </row>
    <row r="83" spans="1:25" ht="15.75" thickTop="1" x14ac:dyDescent="0.25">
      <c r="D83" s="54"/>
      <c r="E83" s="19"/>
      <c r="F83" s="19"/>
      <c r="G83" s="19"/>
      <c r="H83" s="61"/>
      <c r="I83" s="21"/>
      <c r="J83" s="21"/>
      <c r="Q83" s="21"/>
      <c r="R83" s="21"/>
      <c r="S83" s="21"/>
      <c r="T83" s="21"/>
      <c r="U83" s="21"/>
      <c r="V83" s="21"/>
    </row>
    <row r="84" spans="1:25" x14ac:dyDescent="0.25">
      <c r="B84" s="24" t="s">
        <v>84</v>
      </c>
      <c r="C84" s="21"/>
      <c r="D84" s="21"/>
      <c r="E84" s="40"/>
      <c r="F84" s="19"/>
      <c r="H84" s="61"/>
      <c r="I84" s="386" t="s">
        <v>171</v>
      </c>
      <c r="J84" s="387"/>
      <c r="L84" s="73"/>
      <c r="M84" s="354"/>
    </row>
    <row r="85" spans="1:25" x14ac:dyDescent="0.25">
      <c r="D85" s="212" t="s">
        <v>170</v>
      </c>
      <c r="E85" s="45"/>
      <c r="F85" s="19"/>
      <c r="H85" s="54"/>
      <c r="I85" s="223" t="s">
        <v>161</v>
      </c>
      <c r="J85" s="224"/>
      <c r="K85" s="115"/>
      <c r="L85" s="73"/>
      <c r="M85" s="354"/>
      <c r="N85" s="115"/>
      <c r="O85" s="115"/>
      <c r="P85" s="115"/>
      <c r="Q85" s="115"/>
      <c r="R85" s="115"/>
      <c r="S85" s="115"/>
      <c r="T85" s="115"/>
      <c r="U85" s="115"/>
      <c r="V85" s="21"/>
      <c r="W85" s="21"/>
      <c r="X85" s="21"/>
      <c r="Y85" s="21"/>
    </row>
    <row r="86" spans="1:25" x14ac:dyDescent="0.25">
      <c r="B86" s="24"/>
      <c r="C86" s="102" t="s">
        <v>35</v>
      </c>
      <c r="D86" s="12" t="s">
        <v>10</v>
      </c>
      <c r="E86" s="38" t="s">
        <v>36</v>
      </c>
      <c r="F86" s="19"/>
      <c r="G86" s="391"/>
      <c r="H86" s="392"/>
      <c r="I86" s="225" t="s">
        <v>10</v>
      </c>
      <c r="J86" s="226" t="s">
        <v>36</v>
      </c>
      <c r="K86" s="5"/>
      <c r="L86" s="73"/>
      <c r="M86" s="354"/>
      <c r="N86" s="21"/>
      <c r="O86" s="21"/>
      <c r="P86" s="21"/>
      <c r="Q86" s="21"/>
      <c r="R86" s="21"/>
      <c r="S86" s="21"/>
      <c r="T86" s="21"/>
      <c r="U86" s="21"/>
      <c r="V86" s="21"/>
      <c r="W86" s="21"/>
      <c r="X86" s="21"/>
      <c r="Y86" s="21"/>
    </row>
    <row r="87" spans="1:25" x14ac:dyDescent="0.25">
      <c r="A87" s="21"/>
      <c r="B87" s="21" t="s">
        <v>52</v>
      </c>
      <c r="C87" s="25">
        <f>((+E56+E57+E62)-(E88/(E29/E12)))/E11</f>
        <v>2.5462210691397102E-2</v>
      </c>
      <c r="D87" s="6">
        <f>+E28</f>
        <v>106151640.17600161</v>
      </c>
      <c r="E87" s="218">
        <v>2702855.4273987263</v>
      </c>
      <c r="F87" s="63"/>
      <c r="G87" s="391"/>
      <c r="H87" s="392"/>
      <c r="I87" s="227">
        <f>E11</f>
        <v>106396335.1749258</v>
      </c>
      <c r="J87" s="228">
        <f>I87*C87</f>
        <v>2709085.9030164653</v>
      </c>
      <c r="K87" s="5"/>
      <c r="L87" s="73"/>
      <c r="M87" s="354"/>
      <c r="N87" s="5"/>
      <c r="O87" s="5"/>
      <c r="P87" s="5"/>
      <c r="Q87" s="5"/>
      <c r="R87" s="5"/>
      <c r="S87" s="5"/>
      <c r="T87" s="5"/>
      <c r="U87" s="5"/>
      <c r="V87" s="46"/>
      <c r="W87" s="21"/>
      <c r="X87" s="21"/>
      <c r="Y87" s="21"/>
    </row>
    <row r="88" spans="1:25" x14ac:dyDescent="0.25">
      <c r="B88" t="s">
        <v>53</v>
      </c>
      <c r="C88" s="25">
        <f>((+E56+E57+E62)-(E87/(E28/E11)))/E12</f>
        <v>2.4718384002408313E-2</v>
      </c>
      <c r="D88" s="6">
        <f>+E29</f>
        <v>112354900.72597548</v>
      </c>
      <c r="E88" s="39">
        <f>C88*D88</f>
        <v>2777231.5806971267</v>
      </c>
      <c r="F88" s="63"/>
      <c r="H88" s="64"/>
      <c r="I88" s="227">
        <f>E12</f>
        <v>112499494.57507421</v>
      </c>
      <c r="J88" s="228">
        <f>I88*C88</f>
        <v>2780805.7069835351</v>
      </c>
      <c r="K88" s="49"/>
      <c r="L88" s="73"/>
      <c r="M88" s="354"/>
      <c r="N88" s="21"/>
      <c r="O88" s="21"/>
      <c r="P88" s="21"/>
      <c r="Q88" s="21"/>
      <c r="R88" s="21"/>
      <c r="S88" s="21"/>
      <c r="T88" s="21"/>
      <c r="U88" s="21"/>
      <c r="V88" s="21"/>
      <c r="W88" s="21"/>
      <c r="X88" s="21"/>
      <c r="Y88" s="21"/>
    </row>
    <row r="89" spans="1:25" ht="15.75" thickBot="1" x14ac:dyDescent="0.3">
      <c r="C89" s="66">
        <f>+E89/D89</f>
        <v>2.5079738965591156E-2</v>
      </c>
      <c r="D89" s="67">
        <f>SUM(D87:D88)</f>
        <v>218506540.90197709</v>
      </c>
      <c r="E89" s="68">
        <f>+E87+E88</f>
        <v>5480087.008095853</v>
      </c>
      <c r="F89" s="63"/>
      <c r="H89" s="69"/>
      <c r="I89" s="229"/>
      <c r="J89" s="230">
        <f>SUM(J87:J88)</f>
        <v>5489891.6100000003</v>
      </c>
      <c r="L89" s="73"/>
      <c r="M89" s="53"/>
    </row>
    <row r="90" spans="1:25" ht="15.75" thickTop="1" x14ac:dyDescent="0.25">
      <c r="C90" s="36"/>
      <c r="D90" s="70"/>
      <c r="E90" s="54"/>
      <c r="F90" s="19"/>
      <c r="G90" s="19"/>
      <c r="I90" s="54"/>
    </row>
    <row r="91" spans="1:25" ht="97.5" customHeight="1" x14ac:dyDescent="0.25">
      <c r="B91" s="384" t="s">
        <v>54</v>
      </c>
      <c r="C91" s="384"/>
      <c r="D91" s="384"/>
      <c r="E91" s="384"/>
      <c r="F91" s="19"/>
      <c r="G91" s="71"/>
      <c r="H91" s="72"/>
    </row>
    <row r="92" spans="1:25" x14ac:dyDescent="0.25">
      <c r="B92" s="385"/>
      <c r="C92" s="385"/>
      <c r="D92" s="385"/>
      <c r="E92" s="385"/>
    </row>
  </sheetData>
  <mergeCells count="9">
    <mergeCell ref="G34:G38"/>
    <mergeCell ref="G51:I52"/>
    <mergeCell ref="G57:G60"/>
    <mergeCell ref="B91:E91"/>
    <mergeCell ref="B92:E92"/>
    <mergeCell ref="I84:J84"/>
    <mergeCell ref="I54:J54"/>
    <mergeCell ref="I73:J73"/>
    <mergeCell ref="G86:H87"/>
  </mergeCells>
  <pageMargins left="0.7" right="0.7" top="0.25" bottom="0.25" header="0.3" footer="0.3"/>
  <pageSetup paperSize="17"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9"/>
  <sheetViews>
    <sheetView showGridLines="0" zoomScaleNormal="100" workbookViewId="0">
      <selection activeCell="J42" sqref="J42"/>
    </sheetView>
  </sheetViews>
  <sheetFormatPr defaultRowHeight="15" x14ac:dyDescent="0.25"/>
  <cols>
    <col min="1" max="1" width="43.5703125" customWidth="1"/>
    <col min="2" max="2" width="11.28515625" customWidth="1"/>
    <col min="3" max="3" width="15.7109375" customWidth="1"/>
    <col min="4" max="4" width="14.85546875" customWidth="1"/>
    <col min="5" max="5" width="15" customWidth="1"/>
    <col min="6" max="6" width="12.7109375" customWidth="1"/>
    <col min="7" max="7" width="15.7109375" bestFit="1" customWidth="1"/>
    <col min="8" max="8" width="13.28515625" bestFit="1" customWidth="1"/>
    <col min="9" max="10" width="13.28515625" customWidth="1"/>
    <col min="11" max="11" width="15.140625" customWidth="1"/>
    <col min="12" max="13" width="19.28515625" hidden="1" customWidth="1"/>
    <col min="14" max="14" width="11.28515625" customWidth="1"/>
    <col min="15" max="15" width="15.7109375" customWidth="1"/>
    <col min="16" max="20" width="14.85546875" customWidth="1"/>
    <col min="22" max="22" width="43.5703125" customWidth="1"/>
    <col min="23" max="23" width="11.28515625" customWidth="1"/>
    <col min="24" max="24" width="15.7109375" customWidth="1"/>
    <col min="25" max="29" width="14.85546875" customWidth="1"/>
    <col min="30" max="30" width="12.28515625" bestFit="1" customWidth="1"/>
  </cols>
  <sheetData>
    <row r="1" spans="1:32" ht="26.25" x14ac:dyDescent="0.4">
      <c r="A1" s="77" t="s">
        <v>208</v>
      </c>
    </row>
    <row r="3" spans="1:32" ht="18.75" hidden="1" x14ac:dyDescent="0.3">
      <c r="A3" s="1" t="s">
        <v>55</v>
      </c>
      <c r="M3" s="8"/>
      <c r="N3" s="3"/>
      <c r="O3" s="3"/>
      <c r="P3" s="3"/>
      <c r="Q3" s="3"/>
      <c r="R3" s="3"/>
      <c r="S3" s="3"/>
      <c r="T3" s="3"/>
      <c r="U3" s="3"/>
      <c r="V3" s="8"/>
      <c r="W3" s="3"/>
      <c r="X3" s="3"/>
      <c r="Y3" s="3"/>
      <c r="Z3" s="3"/>
      <c r="AA3" s="3"/>
      <c r="AB3" s="3"/>
      <c r="AC3" s="3"/>
      <c r="AD3" s="3"/>
      <c r="AE3" s="3"/>
      <c r="AF3" s="3"/>
    </row>
    <row r="4" spans="1:32" x14ac:dyDescent="0.25">
      <c r="A4" s="2"/>
      <c r="M4" s="78"/>
      <c r="N4" s="3"/>
      <c r="O4" s="3"/>
      <c r="P4" s="3"/>
      <c r="Q4" s="3"/>
      <c r="R4" s="3"/>
      <c r="S4" s="3"/>
      <c r="T4" s="3"/>
      <c r="U4" s="3"/>
      <c r="V4" s="78"/>
      <c r="W4" s="3"/>
      <c r="X4" s="3"/>
      <c r="Y4" s="3"/>
      <c r="Z4" s="3"/>
      <c r="AA4" s="3"/>
      <c r="AB4" s="3"/>
      <c r="AC4" s="3"/>
      <c r="AD4" s="3"/>
      <c r="AE4" s="3"/>
      <c r="AF4" s="3"/>
    </row>
    <row r="5" spans="1:32" hidden="1" x14ac:dyDescent="0.25">
      <c r="A5" s="2" t="s">
        <v>56</v>
      </c>
      <c r="M5" s="78"/>
      <c r="N5" s="3"/>
      <c r="O5" s="3"/>
      <c r="P5" s="3"/>
      <c r="Q5" s="3"/>
      <c r="R5" s="3"/>
      <c r="S5" s="3"/>
      <c r="T5" s="3"/>
      <c r="U5" s="3"/>
      <c r="V5" s="78"/>
      <c r="W5" s="3"/>
      <c r="X5" s="3"/>
      <c r="Y5" s="3"/>
      <c r="Z5" s="3"/>
      <c r="AA5" s="3"/>
      <c r="AB5" s="3"/>
      <c r="AC5" s="3"/>
      <c r="AD5" s="3"/>
      <c r="AE5" s="3"/>
      <c r="AF5" s="3"/>
    </row>
    <row r="6" spans="1:32" ht="45" hidden="1" x14ac:dyDescent="0.25">
      <c r="A6" s="79" t="s">
        <v>57</v>
      </c>
      <c r="B6" s="80" t="s">
        <v>58</v>
      </c>
      <c r="C6" s="81" t="s">
        <v>59</v>
      </c>
      <c r="D6" s="80" t="s">
        <v>60</v>
      </c>
      <c r="E6" s="81" t="s">
        <v>61</v>
      </c>
      <c r="F6" s="80" t="s">
        <v>62</v>
      </c>
      <c r="G6" s="80" t="s">
        <v>10</v>
      </c>
      <c r="H6" s="81" t="s">
        <v>63</v>
      </c>
      <c r="I6" s="81" t="s">
        <v>64</v>
      </c>
      <c r="J6" s="81" t="s">
        <v>65</v>
      </c>
      <c r="K6" s="81" t="s">
        <v>66</v>
      </c>
      <c r="M6" s="78"/>
      <c r="N6" s="11"/>
      <c r="O6" s="11"/>
      <c r="P6" s="11"/>
      <c r="Q6" s="82"/>
      <c r="R6" s="78"/>
      <c r="S6" s="11"/>
      <c r="T6" s="13"/>
      <c r="U6" s="3"/>
      <c r="V6" s="78"/>
      <c r="W6" s="11"/>
      <c r="X6" s="11"/>
      <c r="Y6" s="11"/>
      <c r="Z6" s="82"/>
      <c r="AA6" s="78"/>
      <c r="AB6" s="11"/>
      <c r="AC6" s="13"/>
      <c r="AD6" s="3"/>
      <c r="AE6" s="3"/>
      <c r="AF6" s="3"/>
    </row>
    <row r="7" spans="1:32" hidden="1" x14ac:dyDescent="0.25">
      <c r="A7" s="83" t="s">
        <v>12</v>
      </c>
      <c r="B7" s="84">
        <f>+'[1]Data for 2nd TU'!D33</f>
        <v>7.6999999999999999E-2</v>
      </c>
      <c r="C7" s="84">
        <f>+'[1]Data for 2nd TU'!$B$43</f>
        <v>3.1848807346377295E-2</v>
      </c>
      <c r="D7" s="84">
        <f>+'[1]Data for 2nd TU'!$B$48</f>
        <v>8.8359370314842575E-2</v>
      </c>
      <c r="E7" s="84">
        <f>+C7+D7</f>
        <v>0.12020817766121987</v>
      </c>
      <c r="F7" s="85">
        <f>+B7-E7</f>
        <v>-4.3208177661219871E-2</v>
      </c>
      <c r="G7" s="32">
        <f>'[1]Data for 2nd TU'!C16</f>
        <v>5002500</v>
      </c>
      <c r="H7" s="26">
        <f>+G7*B7</f>
        <v>385192.5</v>
      </c>
      <c r="I7" s="26">
        <f>+G7*C7</f>
        <v>159323.65875025242</v>
      </c>
      <c r="J7" s="26">
        <f>+G7*D7</f>
        <v>442017.75</v>
      </c>
      <c r="K7" s="26">
        <f>+H7-I7-J7</f>
        <v>-216148.90875025242</v>
      </c>
      <c r="M7" s="3"/>
      <c r="N7" s="86"/>
      <c r="O7" s="87"/>
      <c r="P7" s="87"/>
      <c r="Q7" s="87"/>
      <c r="R7" s="88"/>
      <c r="S7" s="89"/>
      <c r="T7" s="19"/>
      <c r="U7" s="3"/>
      <c r="V7" s="3"/>
      <c r="W7" s="87"/>
      <c r="X7" s="87"/>
      <c r="Y7" s="87"/>
      <c r="Z7" s="87"/>
      <c r="AA7" s="88"/>
      <c r="AB7" s="89"/>
      <c r="AC7" s="19"/>
      <c r="AD7" s="9"/>
      <c r="AE7" s="3"/>
      <c r="AF7" s="3"/>
    </row>
    <row r="8" spans="1:32" hidden="1" x14ac:dyDescent="0.25">
      <c r="A8" s="90" t="s">
        <v>13</v>
      </c>
      <c r="B8" s="87">
        <f>+'[1]Data for 2nd TU'!D34</f>
        <v>8.8999999999999996E-2</v>
      </c>
      <c r="C8" s="87">
        <f>+'[1]Data for 2nd TU'!$B$43</f>
        <v>3.1848807346377295E-2</v>
      </c>
      <c r="D8" s="87">
        <f>+'[1]Data for 2nd TU'!$B$48</f>
        <v>8.8359370314842575E-2</v>
      </c>
      <c r="E8" s="87">
        <f t="shared" ref="E8:E11" si="0">+C8+D8</f>
        <v>0.12020817766121987</v>
      </c>
      <c r="F8" s="88">
        <f t="shared" ref="F8:F11" si="1">+B8-E8</f>
        <v>-3.1208177661219874E-2</v>
      </c>
      <c r="G8" s="32">
        <f>'[1]Data for 2nd TU'!C17</f>
        <v>7003500</v>
      </c>
      <c r="H8" s="26">
        <f t="shared" ref="H8:H11" si="2">+G8*B8</f>
        <v>623311.5</v>
      </c>
      <c r="I8" s="26">
        <f t="shared" ref="I8:I11" si="3">+G8*C8</f>
        <v>223053.12225035339</v>
      </c>
      <c r="J8" s="26">
        <f t="shared" ref="J8:J11" si="4">+G8*D8</f>
        <v>618824.85</v>
      </c>
      <c r="K8" s="26">
        <f t="shared" ref="K8:K11" si="5">+H8-I8-J8</f>
        <v>-218566.47225035337</v>
      </c>
      <c r="M8" s="3"/>
      <c r="N8" s="86"/>
      <c r="O8" s="87"/>
      <c r="P8" s="87"/>
      <c r="Q8" s="87"/>
      <c r="R8" s="88"/>
      <c r="S8" s="89"/>
      <c r="T8" s="19"/>
      <c r="U8" s="3"/>
      <c r="V8" s="3"/>
      <c r="W8" s="87"/>
      <c r="X8" s="87"/>
      <c r="Y8" s="87"/>
      <c r="Z8" s="87"/>
      <c r="AA8" s="88"/>
      <c r="AB8" s="89"/>
      <c r="AC8" s="19"/>
      <c r="AD8" s="9"/>
      <c r="AE8" s="3"/>
      <c r="AF8" s="3"/>
    </row>
    <row r="9" spans="1:32" hidden="1" x14ac:dyDescent="0.25">
      <c r="A9" s="90" t="s">
        <v>14</v>
      </c>
      <c r="B9" s="87">
        <f>+'[1]Data for 2nd TU'!D35</f>
        <v>6.5000000000000002E-2</v>
      </c>
      <c r="C9" s="87">
        <f>+'[1]Data for 2nd TU'!$B$43</f>
        <v>3.1848807346377295E-2</v>
      </c>
      <c r="D9" s="87">
        <f>+'[1]Data for 2nd TU'!$B$48</f>
        <v>8.8359370314842575E-2</v>
      </c>
      <c r="E9" s="87">
        <f t="shared" si="0"/>
        <v>0.12020817766121987</v>
      </c>
      <c r="F9" s="88">
        <f t="shared" si="1"/>
        <v>-5.5208177661219868E-2</v>
      </c>
      <c r="G9" s="32">
        <f>'[1]Data for 2nd TU'!C18</f>
        <v>100050000</v>
      </c>
      <c r="H9" s="26">
        <f t="shared" si="2"/>
        <v>6503250</v>
      </c>
      <c r="I9" s="26">
        <f t="shared" si="3"/>
        <v>3186473.1750050485</v>
      </c>
      <c r="J9" s="26">
        <f t="shared" si="4"/>
        <v>8840355</v>
      </c>
      <c r="K9" s="26">
        <f t="shared" si="5"/>
        <v>-5523578.1750050485</v>
      </c>
      <c r="M9" s="3"/>
      <c r="N9" s="86"/>
      <c r="O9" s="87"/>
      <c r="P9" s="87"/>
      <c r="Q9" s="87"/>
      <c r="R9" s="88"/>
      <c r="S9" s="89"/>
      <c r="T9" s="19"/>
      <c r="U9" s="3"/>
      <c r="V9" s="3"/>
      <c r="W9" s="87"/>
      <c r="X9" s="87"/>
      <c r="Y9" s="87"/>
      <c r="Z9" s="87"/>
      <c r="AA9" s="88"/>
      <c r="AB9" s="89"/>
      <c r="AC9" s="19"/>
      <c r="AD9" s="9"/>
      <c r="AE9" s="3"/>
      <c r="AF9" s="3"/>
    </row>
    <row r="10" spans="1:32" hidden="1" x14ac:dyDescent="0.25">
      <c r="A10" s="90" t="s">
        <v>15</v>
      </c>
      <c r="B10" s="87">
        <f>+'[1]Data for 2nd TU'!D36</f>
        <v>9.4E-2</v>
      </c>
      <c r="C10" s="87">
        <f>+'[1]Data for 2nd TU'!$B$43</f>
        <v>3.1848807346377295E-2</v>
      </c>
      <c r="D10" s="87">
        <f>+'[1]Data for 2nd TU'!$B$48</f>
        <v>8.8359370314842575E-2</v>
      </c>
      <c r="E10" s="87">
        <f t="shared" si="0"/>
        <v>0.12020817766121987</v>
      </c>
      <c r="F10" s="88">
        <f t="shared" si="1"/>
        <v>-2.620817766121987E-2</v>
      </c>
      <c r="G10" s="32">
        <f>'[1]Data for 2nd TU'!C19</f>
        <v>50025000</v>
      </c>
      <c r="H10" s="26">
        <f t="shared" si="2"/>
        <v>4702350</v>
      </c>
      <c r="I10" s="26">
        <f t="shared" si="3"/>
        <v>1593236.5875025243</v>
      </c>
      <c r="J10" s="26">
        <f t="shared" si="4"/>
        <v>4420177.5</v>
      </c>
      <c r="K10" s="26">
        <f t="shared" si="5"/>
        <v>-1311064.0875025243</v>
      </c>
      <c r="M10" s="3"/>
      <c r="N10" s="86"/>
      <c r="O10" s="87"/>
      <c r="P10" s="87"/>
      <c r="Q10" s="87"/>
      <c r="R10" s="88"/>
      <c r="S10" s="89"/>
      <c r="T10" s="19"/>
      <c r="U10" s="3"/>
      <c r="V10" s="3"/>
      <c r="W10" s="87"/>
      <c r="X10" s="87"/>
      <c r="Y10" s="87"/>
      <c r="Z10" s="87"/>
      <c r="AA10" s="88"/>
      <c r="AB10" s="89"/>
      <c r="AC10" s="19"/>
      <c r="AD10" s="9"/>
      <c r="AE10" s="3"/>
      <c r="AF10" s="3"/>
    </row>
    <row r="11" spans="1:32" hidden="1" x14ac:dyDescent="0.25">
      <c r="A11" s="91" t="s">
        <v>16</v>
      </c>
      <c r="B11" s="92">
        <f>+'[1]Data for 2nd TU'!D37</f>
        <v>0.13200000000000001</v>
      </c>
      <c r="C11" s="92">
        <f>+'[1]Data for 2nd TU'!$B$43</f>
        <v>3.1848807346377295E-2</v>
      </c>
      <c r="D11" s="92">
        <f>+'[1]Data for 2nd TU'!$B$48</f>
        <v>8.8359370314842575E-2</v>
      </c>
      <c r="E11" s="92">
        <f t="shared" si="0"/>
        <v>0.12020817766121987</v>
      </c>
      <c r="F11" s="93">
        <f t="shared" si="1"/>
        <v>1.1791822338780136E-2</v>
      </c>
      <c r="G11" s="32">
        <f>'[1]Data for 2nd TU'!C20</f>
        <v>63031500.000000007</v>
      </c>
      <c r="H11" s="26">
        <f t="shared" si="2"/>
        <v>8320158.0000000009</v>
      </c>
      <c r="I11" s="26">
        <f t="shared" si="3"/>
        <v>2007478.1002531806</v>
      </c>
      <c r="J11" s="26">
        <f t="shared" si="4"/>
        <v>5569423.6500000004</v>
      </c>
      <c r="K11" s="26">
        <f t="shared" si="5"/>
        <v>743256.24974681996</v>
      </c>
      <c r="M11" s="3"/>
      <c r="N11" s="86"/>
      <c r="O11" s="87"/>
      <c r="P11" s="87"/>
      <c r="Q11" s="87"/>
      <c r="R11" s="88"/>
      <c r="S11" s="89"/>
      <c r="T11" s="19"/>
      <c r="U11" s="3"/>
      <c r="V11" s="3"/>
      <c r="W11" s="87"/>
      <c r="X11" s="87"/>
      <c r="Y11" s="87"/>
      <c r="Z11" s="87"/>
      <c r="AA11" s="88"/>
      <c r="AB11" s="89"/>
      <c r="AC11" s="19"/>
      <c r="AD11" s="9"/>
      <c r="AE11" s="3"/>
      <c r="AF11" s="3"/>
    </row>
    <row r="12" spans="1:32" ht="15.75" hidden="1" thickBot="1" x14ac:dyDescent="0.3">
      <c r="B12" s="94">
        <f>+H12/G12</f>
        <v>9.1217777777777773E-2</v>
      </c>
      <c r="G12" s="23">
        <f>SUM(G7:G11)</f>
        <v>225112500</v>
      </c>
      <c r="H12" s="60">
        <f t="shared" ref="H12:J12" si="6">SUM(H7:H11)</f>
        <v>20534262</v>
      </c>
      <c r="I12" s="60">
        <f t="shared" si="6"/>
        <v>7169564.6437613592</v>
      </c>
      <c r="J12" s="60">
        <f t="shared" si="6"/>
        <v>19890798.75</v>
      </c>
      <c r="K12" s="42">
        <f>SUM(K7:K11)</f>
        <v>-6526101.3937613582</v>
      </c>
      <c r="M12" s="3"/>
      <c r="N12" s="3"/>
      <c r="O12" s="3"/>
      <c r="P12" s="3"/>
      <c r="Q12" s="19"/>
      <c r="R12" s="19"/>
      <c r="S12" s="18"/>
      <c r="T12" s="19"/>
      <c r="U12" s="3"/>
      <c r="V12" s="3"/>
      <c r="W12" s="3"/>
      <c r="X12" s="3"/>
      <c r="Y12" s="3"/>
      <c r="Z12" s="19"/>
      <c r="AA12" s="19"/>
      <c r="AB12" s="18"/>
      <c r="AC12" s="19"/>
      <c r="AD12" s="9"/>
      <c r="AE12" s="3"/>
      <c r="AF12" s="3"/>
    </row>
    <row r="13" spans="1:32" x14ac:dyDescent="0.25">
      <c r="I13" s="45"/>
      <c r="J13" s="45"/>
      <c r="M13" s="3"/>
      <c r="N13" s="3"/>
      <c r="O13" s="3"/>
      <c r="P13" s="3"/>
      <c r="Q13" s="3"/>
      <c r="R13" s="3"/>
      <c r="S13" s="3"/>
      <c r="T13" s="3"/>
      <c r="U13" s="3"/>
      <c r="V13" s="3"/>
      <c r="W13" s="3"/>
      <c r="X13" s="3"/>
      <c r="Y13" s="3"/>
      <c r="Z13" s="3"/>
      <c r="AA13" s="3"/>
      <c r="AB13" s="3"/>
      <c r="AC13" s="3"/>
      <c r="AD13" s="3"/>
      <c r="AE13" s="3"/>
      <c r="AF13" s="3"/>
    </row>
    <row r="14" spans="1:32" ht="18.75" x14ac:dyDescent="0.3">
      <c r="A14" s="1" t="s">
        <v>101</v>
      </c>
      <c r="M14" s="78"/>
      <c r="N14" s="3"/>
      <c r="O14" s="3"/>
      <c r="P14" s="3"/>
      <c r="Q14" s="3"/>
      <c r="R14" s="3"/>
      <c r="S14" s="3"/>
      <c r="T14" s="3"/>
      <c r="U14" s="3"/>
      <c r="V14" s="78"/>
      <c r="W14" s="3"/>
      <c r="X14" s="3"/>
      <c r="Y14" s="3"/>
      <c r="Z14" s="3"/>
      <c r="AA14" s="95"/>
      <c r="AB14" s="3"/>
      <c r="AC14" s="3"/>
      <c r="AD14" s="3"/>
      <c r="AE14" s="3"/>
      <c r="AF14" s="3"/>
    </row>
    <row r="15" spans="1:32" x14ac:dyDescent="0.25">
      <c r="A15" s="2"/>
      <c r="C15" s="104"/>
      <c r="G15" s="33" t="s">
        <v>89</v>
      </c>
      <c r="M15" s="78"/>
      <c r="N15" s="96"/>
      <c r="O15" s="96"/>
      <c r="P15" s="96"/>
      <c r="Q15" s="96"/>
      <c r="R15" s="96"/>
      <c r="S15" s="33"/>
      <c r="T15" s="33"/>
      <c r="V15" s="78"/>
      <c r="W15" s="96"/>
      <c r="X15" s="96"/>
      <c r="Y15" s="96"/>
      <c r="AA15" s="65"/>
    </row>
    <row r="16" spans="1:32" x14ac:dyDescent="0.25">
      <c r="A16" s="2" t="s">
        <v>67</v>
      </c>
      <c r="E16" s="104"/>
      <c r="H16" s="104"/>
      <c r="I16" s="104"/>
      <c r="J16" s="104"/>
      <c r="K16" s="104"/>
      <c r="M16" s="3"/>
      <c r="N16" s="17"/>
      <c r="O16" s="18"/>
      <c r="P16" s="19"/>
      <c r="Q16" s="19"/>
      <c r="R16" s="19"/>
      <c r="S16" s="26"/>
      <c r="T16" s="26"/>
      <c r="V16" s="3"/>
      <c r="W16" s="17"/>
      <c r="X16" s="18"/>
      <c r="Y16" s="19"/>
      <c r="AA16" s="65"/>
    </row>
    <row r="17" spans="1:27" ht="45" x14ac:dyDescent="0.25">
      <c r="A17" s="79" t="s">
        <v>57</v>
      </c>
      <c r="B17" s="80" t="s">
        <v>58</v>
      </c>
      <c r="C17" s="81" t="s">
        <v>68</v>
      </c>
      <c r="D17" s="80" t="s">
        <v>60</v>
      </c>
      <c r="E17" s="81" t="s">
        <v>61</v>
      </c>
      <c r="F17" s="80" t="s">
        <v>62</v>
      </c>
      <c r="G17" s="80" t="s">
        <v>10</v>
      </c>
      <c r="H17" s="81" t="s">
        <v>69</v>
      </c>
      <c r="I17" s="81" t="s">
        <v>70</v>
      </c>
      <c r="J17" s="81" t="s">
        <v>65</v>
      </c>
      <c r="K17" s="81" t="s">
        <v>85</v>
      </c>
      <c r="L17" s="343" t="s">
        <v>184</v>
      </c>
      <c r="M17" s="343" t="s">
        <v>185</v>
      </c>
      <c r="N17" s="17"/>
      <c r="O17" s="18"/>
      <c r="P17" s="19"/>
      <c r="Q17" s="19"/>
      <c r="R17" s="19"/>
      <c r="S17" s="26"/>
      <c r="T17" s="26"/>
      <c r="V17" s="3"/>
      <c r="W17" s="17"/>
      <c r="X17" s="18"/>
      <c r="Y17" s="19"/>
      <c r="AA17" s="65"/>
    </row>
    <row r="18" spans="1:27" x14ac:dyDescent="0.25">
      <c r="A18" s="83" t="s">
        <v>12</v>
      </c>
      <c r="B18" s="112">
        <f>'Veridian - 2018Nov'!C69</f>
        <v>7.6999999999999999E-2</v>
      </c>
      <c r="C18" s="84">
        <f>'Veridian - 2018Nov'!C45</f>
        <v>2.5462210691397102E-2</v>
      </c>
      <c r="D18" s="112">
        <f>'Veridian - 2018Nov'!C51</f>
        <v>9.8550989249746077E-2</v>
      </c>
      <c r="E18" s="112">
        <f>+C18+D18</f>
        <v>0.12401319994114318</v>
      </c>
      <c r="F18" s="219">
        <f>+B18-E18</f>
        <v>-4.7013199941143183E-2</v>
      </c>
      <c r="G18" s="220">
        <f>'Veridian - 2018Nov'!D17</f>
        <v>6158052.5998516511</v>
      </c>
      <c r="H18" s="26">
        <f>+G18*B18</f>
        <v>474170.05018857715</v>
      </c>
      <c r="I18" s="26">
        <f>+G18*C18</f>
        <v>156797.63274612842</v>
      </c>
      <c r="J18" s="26">
        <f>+G18*D18</f>
        <v>606882.17556735093</v>
      </c>
      <c r="K18" s="26">
        <f>+H18-I18-J18</f>
        <v>-289509.7581249022</v>
      </c>
      <c r="L18" s="217">
        <v>-337782.43159356801</v>
      </c>
      <c r="M18" s="39">
        <f>K18-L18</f>
        <v>48272.673468665802</v>
      </c>
      <c r="N18" s="9"/>
      <c r="O18" s="9"/>
      <c r="P18" s="19"/>
      <c r="Q18" s="19"/>
      <c r="R18" s="19"/>
      <c r="S18" s="19"/>
      <c r="T18" s="19"/>
      <c r="V18" s="3"/>
      <c r="W18" s="3"/>
      <c r="X18" s="3"/>
      <c r="Y18" s="19"/>
      <c r="AA18" s="65"/>
    </row>
    <row r="19" spans="1:27" x14ac:dyDescent="0.25">
      <c r="A19" s="90" t="s">
        <v>13</v>
      </c>
      <c r="B19" s="113">
        <f>'Veridian - 2018Nov'!C70</f>
        <v>8.900000000000001E-2</v>
      </c>
      <c r="C19" s="87">
        <f>C18</f>
        <v>2.5462210691397102E-2</v>
      </c>
      <c r="D19" s="113">
        <f>D18</f>
        <v>9.8550989249746077E-2</v>
      </c>
      <c r="E19" s="113">
        <f t="shared" ref="E19:E22" si="7">+C19+D19</f>
        <v>0.12401319994114318</v>
      </c>
      <c r="F19" s="221">
        <f t="shared" ref="F19:F22" si="8">+B19-E19</f>
        <v>-3.5013199941143172E-2</v>
      </c>
      <c r="G19" s="220">
        <f>'Veridian - 2018Nov'!D18</f>
        <v>4343401.3562391596</v>
      </c>
      <c r="H19" s="26">
        <f t="shared" ref="H19:H22" si="9">+G19*B19</f>
        <v>386562.72070528526</v>
      </c>
      <c r="I19" s="26">
        <f>+G19*C19</f>
        <v>110592.60044986141</v>
      </c>
      <c r="J19" s="26">
        <f t="shared" ref="J19:J22" si="10">+G19*D19</f>
        <v>428046.50036605797</v>
      </c>
      <c r="K19" s="26">
        <f t="shared" ref="K19:K22" si="11">+H19-I19-J19</f>
        <v>-152076.38011063414</v>
      </c>
      <c r="L19" s="217">
        <v>-277734.14529984299</v>
      </c>
      <c r="M19" s="39">
        <f t="shared" ref="M19:M22" si="12">K19-L19</f>
        <v>125657.76518920885</v>
      </c>
      <c r="N19" s="3"/>
      <c r="O19" s="3"/>
      <c r="P19" s="3"/>
      <c r="Q19" s="3"/>
      <c r="R19" s="3"/>
      <c r="V19" s="3"/>
      <c r="W19" s="3"/>
      <c r="X19" s="3"/>
      <c r="Y19" s="3"/>
      <c r="AA19" s="65"/>
    </row>
    <row r="20" spans="1:27" x14ac:dyDescent="0.25">
      <c r="A20" s="90" t="s">
        <v>14</v>
      </c>
      <c r="B20" s="113">
        <f>'Veridian - 2018Nov'!C71</f>
        <v>6.5000000000000002E-2</v>
      </c>
      <c r="C20" s="87">
        <f>C19</f>
        <v>2.5462210691397102E-2</v>
      </c>
      <c r="D20" s="113">
        <f>D18</f>
        <v>9.8550989249746077E-2</v>
      </c>
      <c r="E20" s="113">
        <f t="shared" si="7"/>
        <v>0.12401319994114318</v>
      </c>
      <c r="F20" s="221">
        <f t="shared" si="8"/>
        <v>-5.901319994114318E-2</v>
      </c>
      <c r="G20" s="220">
        <f>'Veridian - 2018Nov'!D19</f>
        <v>59091559.402646586</v>
      </c>
      <c r="H20" s="26">
        <f t="shared" si="9"/>
        <v>3840951.3611720284</v>
      </c>
      <c r="I20" s="26">
        <f>+G20*C20</f>
        <v>1504601.7355933948</v>
      </c>
      <c r="J20" s="26">
        <f t="shared" si="10"/>
        <v>5823531.6354409559</v>
      </c>
      <c r="K20" s="26">
        <f t="shared" si="11"/>
        <v>-3487182.0098623224</v>
      </c>
      <c r="L20" s="217">
        <v>-4341398.8411409101</v>
      </c>
      <c r="M20" s="39">
        <f t="shared" si="12"/>
        <v>854216.83127858769</v>
      </c>
      <c r="N20" s="3"/>
      <c r="O20" s="3"/>
      <c r="P20" s="3"/>
      <c r="Q20" s="3"/>
      <c r="R20" s="3"/>
      <c r="V20" s="78"/>
      <c r="W20" s="3"/>
      <c r="X20" s="3"/>
      <c r="Y20" s="3"/>
    </row>
    <row r="21" spans="1:27" x14ac:dyDescent="0.25">
      <c r="A21" s="90" t="s">
        <v>15</v>
      </c>
      <c r="B21" s="113">
        <f>'Veridian - 2018Nov'!C72</f>
        <v>9.4E-2</v>
      </c>
      <c r="C21" s="87">
        <f>C20</f>
        <v>2.5462210691397102E-2</v>
      </c>
      <c r="D21" s="113">
        <f>D18</f>
        <v>9.8550989249746077E-2</v>
      </c>
      <c r="E21" s="113">
        <f t="shared" si="7"/>
        <v>0.12401319994114318</v>
      </c>
      <c r="F21" s="221">
        <f t="shared" si="8"/>
        <v>-3.0013199941143182E-2</v>
      </c>
      <c r="G21" s="220">
        <f>'Veridian - 2018Nov'!D20</f>
        <v>17901357.432785954</v>
      </c>
      <c r="H21" s="26">
        <f t="shared" si="9"/>
        <v>1682727.5986818797</v>
      </c>
      <c r="I21" s="26">
        <f t="shared" ref="I21:I22" si="13">+G21*C21</f>
        <v>455808.13461560349</v>
      </c>
      <c r="J21" s="26">
        <f t="shared" si="10"/>
        <v>1764196.4839143506</v>
      </c>
      <c r="K21" s="26">
        <f t="shared" si="11"/>
        <v>-537277.0198480743</v>
      </c>
      <c r="L21" s="217">
        <v>-813477.47276306804</v>
      </c>
      <c r="M21" s="39">
        <f t="shared" si="12"/>
        <v>276200.45291499374</v>
      </c>
      <c r="N21" s="3"/>
      <c r="O21" s="3"/>
      <c r="P21" s="9"/>
      <c r="Q21" s="9"/>
      <c r="R21" s="9"/>
      <c r="S21" s="45"/>
      <c r="T21" s="45"/>
      <c r="V21" s="3"/>
      <c r="W21" s="3"/>
      <c r="X21" s="3"/>
      <c r="Y21" s="9"/>
    </row>
    <row r="22" spans="1:27" x14ac:dyDescent="0.25">
      <c r="A22" s="91" t="s">
        <v>16</v>
      </c>
      <c r="B22" s="114">
        <f>'Veridian - 2018Nov'!C73</f>
        <v>0.13200000000000001</v>
      </c>
      <c r="C22" s="92">
        <f>C21</f>
        <v>2.5462210691397102E-2</v>
      </c>
      <c r="D22" s="114">
        <f>D18</f>
        <v>9.8550989249746077E-2</v>
      </c>
      <c r="E22" s="114">
        <f t="shared" si="7"/>
        <v>0.12401319994114318</v>
      </c>
      <c r="F22" s="222">
        <f t="shared" si="8"/>
        <v>7.9868000588568244E-3</v>
      </c>
      <c r="G22" s="220">
        <f>'Veridian - 2018Nov'!D21</f>
        <v>18901964.383402452</v>
      </c>
      <c r="H22" s="26">
        <f t="shared" si="9"/>
        <v>2495059.2986091236</v>
      </c>
      <c r="I22" s="26">
        <f t="shared" si="13"/>
        <v>481285.79961147712</v>
      </c>
      <c r="J22" s="26">
        <f t="shared" si="10"/>
        <v>1862807.2887477782</v>
      </c>
      <c r="K22" s="26">
        <f t="shared" si="11"/>
        <v>150966.21024986822</v>
      </c>
      <c r="L22" s="217">
        <v>-177798.321151101</v>
      </c>
      <c r="M22" s="39">
        <f t="shared" si="12"/>
        <v>328764.53140096925</v>
      </c>
      <c r="N22" s="3"/>
      <c r="O22" s="3"/>
      <c r="P22" s="9"/>
      <c r="Q22" s="9"/>
      <c r="R22" s="9"/>
      <c r="S22" s="45"/>
      <c r="T22" s="45"/>
      <c r="V22" s="3"/>
      <c r="W22" s="3"/>
      <c r="X22" s="3"/>
      <c r="Y22" s="9"/>
    </row>
    <row r="23" spans="1:27" ht="15.75" thickBot="1" x14ac:dyDescent="0.3">
      <c r="B23" s="94">
        <f>+H23/G23</f>
        <v>8.3456549652374673E-2</v>
      </c>
      <c r="G23" s="23">
        <f>SUM(G18:G22)</f>
        <v>106396335.1749258</v>
      </c>
      <c r="H23" s="42">
        <f t="shared" ref="H23:J23" si="14">SUM(H18:H22)</f>
        <v>8879471.0293568932</v>
      </c>
      <c r="I23" s="60">
        <f t="shared" si="14"/>
        <v>2709085.9030164653</v>
      </c>
      <c r="J23" s="60">
        <f t="shared" si="14"/>
        <v>10485464.084036494</v>
      </c>
      <c r="K23" s="60">
        <f>SUM(K18:K22)</f>
        <v>-4315078.9576960644</v>
      </c>
      <c r="L23" s="42">
        <f>SUM(L18:L22)</f>
        <v>-5948191.2119484898</v>
      </c>
      <c r="M23" s="42">
        <f>SUM(M18:M22)</f>
        <v>1633112.2542524254</v>
      </c>
      <c r="N23" s="3"/>
      <c r="O23" s="3"/>
      <c r="P23" s="19"/>
      <c r="Q23" s="19"/>
      <c r="R23" s="19"/>
      <c r="S23" s="19"/>
      <c r="T23" s="19"/>
      <c r="V23" s="3"/>
      <c r="W23" s="3"/>
      <c r="X23" s="3"/>
      <c r="Y23" s="19"/>
    </row>
    <row r="24" spans="1:27" x14ac:dyDescent="0.25">
      <c r="A24" s="3"/>
      <c r="B24" s="3"/>
      <c r="C24" s="3"/>
      <c r="D24" s="3"/>
      <c r="E24" s="3"/>
      <c r="M24" s="18"/>
      <c r="N24" s="3"/>
      <c r="O24" s="3"/>
      <c r="P24" s="3"/>
      <c r="Q24" s="3"/>
      <c r="R24" s="3"/>
      <c r="V24" s="3"/>
      <c r="W24" s="3"/>
      <c r="X24" s="3"/>
      <c r="Y24" s="3"/>
    </row>
    <row r="25" spans="1:27" ht="18.75" hidden="1" x14ac:dyDescent="0.3">
      <c r="A25" s="1" t="s">
        <v>71</v>
      </c>
      <c r="M25" s="97"/>
      <c r="N25" s="3"/>
      <c r="O25" s="3"/>
      <c r="P25" s="3"/>
      <c r="Q25" s="3"/>
      <c r="R25" s="3"/>
      <c r="V25" s="3"/>
      <c r="W25" s="3"/>
      <c r="X25" s="3"/>
      <c r="Y25" s="3"/>
    </row>
    <row r="26" spans="1:27" ht="18.75" hidden="1" x14ac:dyDescent="0.3">
      <c r="A26" s="1"/>
      <c r="M26" s="97"/>
      <c r="N26" s="3"/>
      <c r="O26" s="3"/>
      <c r="P26" s="3"/>
      <c r="Q26" s="3"/>
      <c r="R26" s="3"/>
      <c r="V26" s="3"/>
      <c r="W26" s="3"/>
      <c r="X26" s="3"/>
      <c r="Y26" s="3"/>
    </row>
    <row r="27" spans="1:27" hidden="1" x14ac:dyDescent="0.25">
      <c r="A27" s="2" t="s">
        <v>72</v>
      </c>
      <c r="M27" s="97"/>
      <c r="N27" s="3"/>
      <c r="O27" s="3"/>
      <c r="P27" s="3"/>
      <c r="Q27" s="3"/>
      <c r="R27" s="3"/>
      <c r="V27" s="3"/>
      <c r="W27" s="3"/>
      <c r="X27" s="3"/>
      <c r="Y27" s="3"/>
    </row>
    <row r="28" spans="1:27" ht="45" hidden="1" x14ac:dyDescent="0.25">
      <c r="A28" s="98" t="s">
        <v>73</v>
      </c>
      <c r="B28" s="80" t="s">
        <v>58</v>
      </c>
      <c r="C28" s="81" t="s">
        <v>74</v>
      </c>
      <c r="D28" s="81" t="s">
        <v>75</v>
      </c>
      <c r="E28" s="81" t="s">
        <v>61</v>
      </c>
      <c r="F28" s="80" t="s">
        <v>62</v>
      </c>
      <c r="G28" s="80" t="s">
        <v>10</v>
      </c>
      <c r="H28" s="81" t="s">
        <v>76</v>
      </c>
      <c r="I28" s="81" t="s">
        <v>77</v>
      </c>
      <c r="J28" s="81" t="s">
        <v>78</v>
      </c>
      <c r="K28" s="81" t="s">
        <v>79</v>
      </c>
      <c r="M28" s="48"/>
      <c r="N28" s="99"/>
    </row>
    <row r="29" spans="1:27" hidden="1" x14ac:dyDescent="0.25">
      <c r="A29" s="83" t="s">
        <v>12</v>
      </c>
      <c r="B29" s="100">
        <f>+B7-B18</f>
        <v>0</v>
      </c>
      <c r="C29" s="84">
        <f t="shared" ref="C29:G33" si="15">+C7-C18</f>
        <v>6.3865966549801929E-3</v>
      </c>
      <c r="D29" s="84">
        <f t="shared" si="15"/>
        <v>-1.0191618934903501E-2</v>
      </c>
      <c r="E29" s="84">
        <f t="shared" si="15"/>
        <v>-3.8050222799233119E-3</v>
      </c>
      <c r="F29" s="85">
        <f t="shared" si="15"/>
        <v>3.8050222799233119E-3</v>
      </c>
      <c r="G29" s="32">
        <f t="shared" si="15"/>
        <v>-1155552.5998516511</v>
      </c>
      <c r="H29" s="26">
        <f>+H18-H7</f>
        <v>88977.550188577152</v>
      </c>
      <c r="I29" s="26">
        <f t="shared" ref="I29:J33" si="16">+I18-I7</f>
        <v>-2526.0260041239962</v>
      </c>
      <c r="J29" s="26">
        <f t="shared" si="16"/>
        <v>164864.42556735093</v>
      </c>
      <c r="K29" s="26">
        <f>+H29-I29-J29</f>
        <v>-73360.849374649784</v>
      </c>
      <c r="M29" s="45"/>
      <c r="N29" s="62"/>
    </row>
    <row r="30" spans="1:27" hidden="1" x14ac:dyDescent="0.25">
      <c r="A30" s="90" t="s">
        <v>13</v>
      </c>
      <c r="B30" s="86">
        <f>+B8-B19</f>
        <v>0</v>
      </c>
      <c r="C30" s="87">
        <f t="shared" si="15"/>
        <v>6.3865966549801929E-3</v>
      </c>
      <c r="D30" s="87">
        <f t="shared" si="15"/>
        <v>-1.0191618934903501E-2</v>
      </c>
      <c r="E30" s="87">
        <f t="shared" si="15"/>
        <v>-3.8050222799233119E-3</v>
      </c>
      <c r="F30" s="88">
        <f t="shared" si="15"/>
        <v>3.805022279923298E-3</v>
      </c>
      <c r="G30" s="32">
        <f t="shared" si="15"/>
        <v>2660098.6437608404</v>
      </c>
      <c r="H30" s="26">
        <f>+H19-H8</f>
        <v>-236748.77929471474</v>
      </c>
      <c r="I30" s="26">
        <f t="shared" si="16"/>
        <v>-112460.52180049199</v>
      </c>
      <c r="J30" s="26">
        <f t="shared" si="16"/>
        <v>-190778.34963394201</v>
      </c>
      <c r="K30" s="26">
        <f t="shared" ref="K30:K33" si="17">+H30-I30-J30</f>
        <v>66490.092139719258</v>
      </c>
      <c r="M30" s="45"/>
      <c r="N30" s="62"/>
    </row>
    <row r="31" spans="1:27" hidden="1" x14ac:dyDescent="0.25">
      <c r="A31" s="90" t="s">
        <v>14</v>
      </c>
      <c r="B31" s="86">
        <f>+B9-B20</f>
        <v>0</v>
      </c>
      <c r="C31" s="87">
        <f t="shared" si="15"/>
        <v>6.3865966549801929E-3</v>
      </c>
      <c r="D31" s="87">
        <f t="shared" si="15"/>
        <v>-1.0191618934903501E-2</v>
      </c>
      <c r="E31" s="87">
        <f t="shared" si="15"/>
        <v>-3.8050222799233119E-3</v>
      </c>
      <c r="F31" s="88">
        <f t="shared" si="15"/>
        <v>3.8050222799233119E-3</v>
      </c>
      <c r="G31" s="32">
        <f t="shared" si="15"/>
        <v>40958440.597353414</v>
      </c>
      <c r="H31" s="26">
        <f>+H20-H9</f>
        <v>-2662298.6388279716</v>
      </c>
      <c r="I31" s="26">
        <f t="shared" si="16"/>
        <v>-1681871.4394116537</v>
      </c>
      <c r="J31" s="26">
        <f t="shared" si="16"/>
        <v>-3016823.3645590441</v>
      </c>
      <c r="K31" s="26">
        <f t="shared" si="17"/>
        <v>2036396.1651427262</v>
      </c>
      <c r="M31" s="45"/>
      <c r="N31" s="62"/>
    </row>
    <row r="32" spans="1:27" hidden="1" x14ac:dyDescent="0.25">
      <c r="A32" s="90" t="s">
        <v>15</v>
      </c>
      <c r="B32" s="86">
        <f>+B10-B21</f>
        <v>0</v>
      </c>
      <c r="C32" s="87">
        <f t="shared" si="15"/>
        <v>6.3865966549801929E-3</v>
      </c>
      <c r="D32" s="87">
        <f t="shared" si="15"/>
        <v>-1.0191618934903501E-2</v>
      </c>
      <c r="E32" s="87">
        <f t="shared" si="15"/>
        <v>-3.8050222799233119E-3</v>
      </c>
      <c r="F32" s="88">
        <f t="shared" si="15"/>
        <v>3.8050222799233119E-3</v>
      </c>
      <c r="G32" s="32">
        <f t="shared" si="15"/>
        <v>32123642.567214046</v>
      </c>
      <c r="H32" s="26">
        <f>+H21-H10</f>
        <v>-3019622.4013181203</v>
      </c>
      <c r="I32" s="26">
        <f t="shared" si="16"/>
        <v>-1137428.4528869209</v>
      </c>
      <c r="J32" s="26">
        <f t="shared" si="16"/>
        <v>-2655981.0160856494</v>
      </c>
      <c r="K32" s="26">
        <f t="shared" si="17"/>
        <v>773787.06765444996</v>
      </c>
      <c r="M32" s="45"/>
      <c r="N32" s="62"/>
    </row>
    <row r="33" spans="1:16" hidden="1" x14ac:dyDescent="0.25">
      <c r="A33" s="91" t="s">
        <v>16</v>
      </c>
      <c r="B33" s="101">
        <f>+B11-B22</f>
        <v>0</v>
      </c>
      <c r="C33" s="92">
        <f t="shared" si="15"/>
        <v>6.3865966549801929E-3</v>
      </c>
      <c r="D33" s="92">
        <f t="shared" si="15"/>
        <v>-1.0191618934903501E-2</v>
      </c>
      <c r="E33" s="92">
        <f t="shared" si="15"/>
        <v>-3.8050222799233119E-3</v>
      </c>
      <c r="F33" s="93">
        <f t="shared" si="15"/>
        <v>3.8050222799233119E-3</v>
      </c>
      <c r="G33" s="32">
        <f t="shared" si="15"/>
        <v>44129535.616597556</v>
      </c>
      <c r="H33" s="26">
        <f>+H22-H11</f>
        <v>-5825098.7013908774</v>
      </c>
      <c r="I33" s="26">
        <f t="shared" si="16"/>
        <v>-1526192.3006417034</v>
      </c>
      <c r="J33" s="26">
        <f t="shared" si="16"/>
        <v>-3706616.3612522222</v>
      </c>
      <c r="K33" s="26">
        <f t="shared" si="17"/>
        <v>-592290.03949695174</v>
      </c>
      <c r="M33" s="45"/>
      <c r="N33" s="62"/>
    </row>
    <row r="34" spans="1:16" ht="15.75" hidden="1" thickBot="1" x14ac:dyDescent="0.3">
      <c r="G34" s="23">
        <f>SUM(G29:G33)</f>
        <v>118716164.8250742</v>
      </c>
      <c r="H34" s="60">
        <f t="shared" ref="H34:J34" si="18">SUM(H29:H33)</f>
        <v>-11654790.970643107</v>
      </c>
      <c r="I34" s="60">
        <f t="shared" si="18"/>
        <v>-4460478.7407448944</v>
      </c>
      <c r="J34" s="60">
        <f t="shared" si="18"/>
        <v>-9405334.6659635063</v>
      </c>
      <c r="K34" s="60">
        <f>SUM(K29:K33)</f>
        <v>2211022.4360652938</v>
      </c>
    </row>
    <row r="35" spans="1:16" x14ac:dyDescent="0.25">
      <c r="K35" s="25"/>
      <c r="M35" s="344" t="s">
        <v>186</v>
      </c>
    </row>
    <row r="36" spans="1:16" x14ac:dyDescent="0.25">
      <c r="J36" s="6"/>
      <c r="K36" s="45"/>
      <c r="M36" s="344" t="s">
        <v>187</v>
      </c>
    </row>
    <row r="37" spans="1:16" ht="18.75" x14ac:dyDescent="0.3">
      <c r="A37" s="1" t="s">
        <v>101</v>
      </c>
      <c r="M37" s="78"/>
    </row>
    <row r="38" spans="1:16" x14ac:dyDescent="0.25">
      <c r="A38" s="2"/>
      <c r="C38" s="104"/>
      <c r="G38" s="33" t="s">
        <v>181</v>
      </c>
      <c r="M38" s="78"/>
    </row>
    <row r="39" spans="1:16" x14ac:dyDescent="0.25">
      <c r="A39" s="239" t="s">
        <v>188</v>
      </c>
      <c r="B39" s="21"/>
      <c r="C39" s="21"/>
      <c r="D39" s="21"/>
      <c r="E39" s="104"/>
      <c r="F39" s="21"/>
      <c r="H39" s="104"/>
      <c r="I39" s="104"/>
      <c r="J39" s="104"/>
      <c r="K39" s="104"/>
      <c r="M39" s="3"/>
    </row>
    <row r="40" spans="1:16" ht="45" x14ac:dyDescent="0.25">
      <c r="A40" s="79" t="s">
        <v>57</v>
      </c>
      <c r="B40" s="80" t="s">
        <v>58</v>
      </c>
      <c r="C40" s="81" t="s">
        <v>68</v>
      </c>
      <c r="D40" s="80" t="s">
        <v>60</v>
      </c>
      <c r="E40" s="81" t="s">
        <v>61</v>
      </c>
      <c r="F40" s="80" t="s">
        <v>62</v>
      </c>
      <c r="G40" s="80" t="s">
        <v>10</v>
      </c>
      <c r="H40" s="81" t="s">
        <v>69</v>
      </c>
      <c r="I40" s="81" t="s">
        <v>70</v>
      </c>
      <c r="J40" s="81" t="s">
        <v>65</v>
      </c>
      <c r="K40" s="81" t="s">
        <v>85</v>
      </c>
      <c r="L40" s="343" t="s">
        <v>184</v>
      </c>
      <c r="M40" s="343" t="s">
        <v>185</v>
      </c>
    </row>
    <row r="41" spans="1:16" x14ac:dyDescent="0.25">
      <c r="A41" s="83" t="s">
        <v>12</v>
      </c>
      <c r="B41" s="112">
        <f>'Veridian - 2018Nov'!C69</f>
        <v>7.6999999999999999E-2</v>
      </c>
      <c r="C41" s="84">
        <f>'Veridian - 2018Nov'!C45</f>
        <v>2.5462210691397102E-2</v>
      </c>
      <c r="D41" s="112">
        <f>'Veridian - 2018Nov'!C51</f>
        <v>9.8550989249746077E-2</v>
      </c>
      <c r="E41" s="112">
        <f>+C41+D41</f>
        <v>0.12401319994114318</v>
      </c>
      <c r="F41" s="219">
        <f>+B41-E41</f>
        <v>-4.7013199941143183E-2</v>
      </c>
      <c r="G41" s="214">
        <v>6476961.0036261035</v>
      </c>
      <c r="H41" s="39">
        <f>+G41*B41</f>
        <v>498725.99727920996</v>
      </c>
      <c r="I41" s="39">
        <f>+G41*C41</f>
        <v>164917.74571429068</v>
      </c>
      <c r="J41" s="39">
        <f>+G41*D41</f>
        <v>638310.91423938074</v>
      </c>
      <c r="K41" s="26">
        <f>+H41-I41-J41</f>
        <v>-304502.66267446149</v>
      </c>
      <c r="L41" s="217">
        <v>-337782.43159356801</v>
      </c>
      <c r="M41" s="39">
        <f>K41-L41</f>
        <v>33279.768919106515</v>
      </c>
      <c r="O41" s="45"/>
      <c r="P41" s="45"/>
    </row>
    <row r="42" spans="1:16" x14ac:dyDescent="0.25">
      <c r="A42" s="90" t="s">
        <v>13</v>
      </c>
      <c r="B42" s="113">
        <f>'Veridian - 2018Nov'!C70</f>
        <v>8.900000000000001E-2</v>
      </c>
      <c r="C42" s="87">
        <f>C41</f>
        <v>2.5462210691397102E-2</v>
      </c>
      <c r="D42" s="113">
        <f>D41</f>
        <v>9.8550989249746077E-2</v>
      </c>
      <c r="E42" s="113">
        <f t="shared" ref="E42:E45" si="19">+C42+D42</f>
        <v>0.12401319994114318</v>
      </c>
      <c r="F42" s="221">
        <f t="shared" ref="F42:F45" si="20">+B42-E42</f>
        <v>-3.5013199941143172E-2</v>
      </c>
      <c r="G42" s="214">
        <v>4408687.7419639872</v>
      </c>
      <c r="H42" s="39">
        <f t="shared" ref="H42:H45" si="21">+G42*B42</f>
        <v>392373.20903479488</v>
      </c>
      <c r="I42" s="39">
        <f>+G42*C42</f>
        <v>112254.93615846678</v>
      </c>
      <c r="J42" s="39">
        <f t="shared" ref="J42:J45" si="22">+G42*D42</f>
        <v>434480.53826378024</v>
      </c>
      <c r="K42" s="26">
        <f t="shared" ref="K42:K45" si="23">+H42-I42-J42</f>
        <v>-154362.26538745215</v>
      </c>
      <c r="L42" s="217">
        <v>-277734.14529984299</v>
      </c>
      <c r="M42" s="39">
        <f t="shared" ref="M42:M45" si="24">K42-L42</f>
        <v>123371.87991239084</v>
      </c>
      <c r="O42" s="45"/>
      <c r="P42" s="45"/>
    </row>
    <row r="43" spans="1:16" x14ac:dyDescent="0.25">
      <c r="A43" s="90" t="s">
        <v>14</v>
      </c>
      <c r="B43" s="113">
        <f>'Veridian - 2018Nov'!C71</f>
        <v>6.5000000000000002E-2</v>
      </c>
      <c r="C43" s="87">
        <f>C42</f>
        <v>2.5462210691397102E-2</v>
      </c>
      <c r="D43" s="113">
        <f>D41</f>
        <v>9.8550989249746077E-2</v>
      </c>
      <c r="E43" s="113">
        <f t="shared" si="19"/>
        <v>0.12401319994114318</v>
      </c>
      <c r="F43" s="221">
        <f t="shared" si="20"/>
        <v>-5.901319994114318E-2</v>
      </c>
      <c r="G43" s="214">
        <v>58955658.019946821</v>
      </c>
      <c r="H43" s="39">
        <f>+G43*B43</f>
        <v>3832117.7712965435</v>
      </c>
      <c r="I43" s="39">
        <f>+G43*C43</f>
        <v>1501141.3859538413</v>
      </c>
      <c r="J43" s="39">
        <f>+G43*D43</f>
        <v>5810138.4197354848</v>
      </c>
      <c r="K43" s="26">
        <f t="shared" si="23"/>
        <v>-3479162.0343927825</v>
      </c>
      <c r="L43" s="217">
        <v>-4341398.8411409101</v>
      </c>
      <c r="M43" s="39">
        <f t="shared" si="24"/>
        <v>862236.80674812756</v>
      </c>
      <c r="O43" s="45"/>
      <c r="P43" s="45"/>
    </row>
    <row r="44" spans="1:16" x14ac:dyDescent="0.25">
      <c r="A44" s="90" t="s">
        <v>15</v>
      </c>
      <c r="B44" s="113">
        <f>'Veridian - 2018Nov'!C72</f>
        <v>9.4E-2</v>
      </c>
      <c r="C44" s="87">
        <f>C43</f>
        <v>2.5462210691397102E-2</v>
      </c>
      <c r="D44" s="113">
        <f>D41</f>
        <v>9.8550989249746077E-2</v>
      </c>
      <c r="E44" s="113">
        <f t="shared" si="19"/>
        <v>0.12401319994114318</v>
      </c>
      <c r="F44" s="221">
        <f t="shared" si="20"/>
        <v>-3.0013199941143182E-2</v>
      </c>
      <c r="G44" s="214">
        <v>17860187.098952975</v>
      </c>
      <c r="H44" s="26">
        <f t="shared" si="21"/>
        <v>1678857.5873015798</v>
      </c>
      <c r="I44" s="26">
        <f t="shared" ref="I44:I45" si="25">+G44*C44</f>
        <v>454759.84690131305</v>
      </c>
      <c r="J44" s="26">
        <f t="shared" si="22"/>
        <v>1760139.1067873682</v>
      </c>
      <c r="K44" s="26">
        <f t="shared" si="23"/>
        <v>-536041.36638710136</v>
      </c>
      <c r="L44" s="217">
        <v>-813477.47276306804</v>
      </c>
      <c r="M44" s="39">
        <f t="shared" si="24"/>
        <v>277436.10637596669</v>
      </c>
    </row>
    <row r="45" spans="1:16" x14ac:dyDescent="0.25">
      <c r="A45" s="3" t="s">
        <v>16</v>
      </c>
      <c r="B45" s="113">
        <f>'Veridian - 2018Nov'!C73</f>
        <v>0.13200000000000001</v>
      </c>
      <c r="C45" s="87">
        <f>C44</f>
        <v>2.5462210691397102E-2</v>
      </c>
      <c r="D45" s="113">
        <f>D41</f>
        <v>9.8550989249746077E-2</v>
      </c>
      <c r="E45" s="113">
        <f t="shared" si="19"/>
        <v>0.12401319994114318</v>
      </c>
      <c r="F45" s="221">
        <f t="shared" si="20"/>
        <v>7.9868000588568244E-3</v>
      </c>
      <c r="G45" s="214">
        <v>18858492.809434634</v>
      </c>
      <c r="H45" s="26">
        <f t="shared" si="21"/>
        <v>2489321.0508453716</v>
      </c>
      <c r="I45" s="26">
        <f t="shared" si="25"/>
        <v>480178.91723602189</v>
      </c>
      <c r="J45" s="26">
        <f t="shared" si="22"/>
        <v>1858523.1221290063</v>
      </c>
      <c r="K45" s="26">
        <f t="shared" si="23"/>
        <v>150619.0114803433</v>
      </c>
      <c r="L45" s="217">
        <v>-177798.321151101</v>
      </c>
      <c r="M45" s="39">
        <f t="shared" si="24"/>
        <v>328417.33263144433</v>
      </c>
    </row>
    <row r="46" spans="1:16" x14ac:dyDescent="0.25">
      <c r="A46" s="347" t="s">
        <v>141</v>
      </c>
      <c r="B46" s="114"/>
      <c r="C46" s="92"/>
      <c r="D46" s="114"/>
      <c r="E46" s="114"/>
      <c r="F46" s="222"/>
      <c r="G46" s="220"/>
      <c r="H46" s="26"/>
      <c r="I46" s="26"/>
      <c r="J46" s="26"/>
      <c r="K46" s="26"/>
      <c r="L46" s="217"/>
      <c r="M46" s="39"/>
      <c r="N46" s="14" t="s">
        <v>141</v>
      </c>
    </row>
    <row r="47" spans="1:16" ht="15.75" thickBot="1" x14ac:dyDescent="0.3">
      <c r="B47" s="346">
        <f>+H47/G47</f>
        <v>8.344028460669134E-2</v>
      </c>
      <c r="G47" s="23">
        <f>SUM(G41:G45)</f>
        <v>106559986.67392452</v>
      </c>
      <c r="H47" s="42">
        <f>SUM(H41:H45)</f>
        <v>8891395.6157574989</v>
      </c>
      <c r="I47" s="60">
        <f>SUM(I41:I46)</f>
        <v>2713252.8319639335</v>
      </c>
      <c r="J47" s="60">
        <f>SUM(J41:J45)</f>
        <v>10501592.10115502</v>
      </c>
      <c r="K47" s="60">
        <f>SUM(K41:K46)</f>
        <v>-4323449.3173614545</v>
      </c>
      <c r="L47" s="42">
        <f>SUM(L41:L45)</f>
        <v>-5948191.2119484898</v>
      </c>
      <c r="M47" s="42">
        <f>SUM(M41:M45)</f>
        <v>1624741.894587036</v>
      </c>
    </row>
    <row r="49" spans="10:11" x14ac:dyDescent="0.25">
      <c r="J49" t="s">
        <v>62</v>
      </c>
      <c r="K49" s="45">
        <f>+K23-K47</f>
        <v>8370.3596653901041</v>
      </c>
    </row>
  </sheetData>
  <pageMargins left="0.2" right="0.2" top="0.75" bottom="0.75" header="0.3" footer="0.3"/>
  <pageSetup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31"/>
  <sheetViews>
    <sheetView showGridLines="0" tabSelected="1" topLeftCell="A59" workbookViewId="0">
      <selection activeCell="K105" sqref="K105"/>
    </sheetView>
  </sheetViews>
  <sheetFormatPr defaultColWidth="9.140625" defaultRowHeight="15" x14ac:dyDescent="0.25"/>
  <cols>
    <col min="1" max="1" width="9.140625" style="257"/>
    <col min="2" max="2" width="3.7109375" style="257" customWidth="1"/>
    <col min="3" max="3" width="49.5703125" style="257" bestFit="1" customWidth="1"/>
    <col min="4" max="4" width="5.42578125" style="257" bestFit="1" customWidth="1"/>
    <col min="5" max="5" width="14.28515625" style="257" bestFit="1" customWidth="1"/>
    <col min="6" max="6" width="14" style="257" customWidth="1"/>
    <col min="7" max="7" width="12" style="257" bestFit="1" customWidth="1"/>
    <col min="8" max="8" width="7" style="257" bestFit="1" customWidth="1"/>
    <col min="9" max="9" width="14.28515625" style="257" customWidth="1"/>
    <col min="10" max="10" width="1.5703125" style="257" customWidth="1"/>
    <col min="11" max="11" width="1.7109375" style="257" customWidth="1"/>
    <col min="12" max="12" width="4.85546875" style="257" customWidth="1"/>
    <col min="13" max="13" width="12.85546875" style="257" customWidth="1"/>
    <col min="14" max="14" width="12.5703125" style="257" customWidth="1"/>
    <col min="15" max="15" width="12.7109375" style="257" customWidth="1"/>
    <col min="16" max="16" width="14.140625" style="257" bestFit="1" customWidth="1"/>
    <col min="17" max="17" width="14.42578125" style="257" bestFit="1" customWidth="1"/>
    <col min="18" max="20" width="14.28515625" style="257" bestFit="1" customWidth="1"/>
    <col min="21" max="21" width="15.28515625" style="257" bestFit="1" customWidth="1"/>
    <col min="22" max="22" width="14" style="257" bestFit="1" customWidth="1"/>
    <col min="23" max="23" width="15" style="257" bestFit="1" customWidth="1"/>
    <col min="24" max="24" width="13.28515625" style="257" bestFit="1" customWidth="1"/>
    <col min="25" max="25" width="12.28515625" style="257" bestFit="1" customWidth="1"/>
    <col min="26" max="26" width="13.140625" style="257" customWidth="1"/>
    <col min="27" max="27" width="11.42578125" style="257" customWidth="1"/>
    <col min="28" max="28" width="13.42578125" style="257" customWidth="1"/>
    <col min="29" max="29" width="12.5703125" style="257" bestFit="1" customWidth="1"/>
    <col min="30" max="30" width="20.140625" style="257" customWidth="1"/>
    <col min="31" max="31" width="15.28515625" style="257" bestFit="1" customWidth="1"/>
    <col min="32" max="33" width="14.28515625" style="257" bestFit="1" customWidth="1"/>
    <col min="34" max="35" width="14.140625" style="257" customWidth="1"/>
    <col min="36" max="37" width="14.28515625" style="257" bestFit="1" customWidth="1"/>
    <col min="38" max="38" width="14.140625" style="257" customWidth="1"/>
    <col min="39" max="40" width="14.28515625" style="257" bestFit="1" customWidth="1"/>
    <col min="41" max="41" width="14.42578125" style="257" bestFit="1" customWidth="1"/>
    <col min="42" max="42" width="14.28515625" style="257" customWidth="1"/>
    <col min="43" max="43" width="14.28515625" style="257" bestFit="1" customWidth="1"/>
    <col min="44" max="44" width="15.28515625" style="257" bestFit="1" customWidth="1"/>
    <col min="45" max="45" width="14.28515625" style="257" bestFit="1" customWidth="1"/>
    <col min="46" max="46" width="9.140625" style="257"/>
    <col min="47" max="47" width="15.28515625" style="257" bestFit="1" customWidth="1"/>
    <col min="48" max="16384" width="9.140625" style="257"/>
  </cols>
  <sheetData>
    <row r="1" spans="2:45" ht="21" x14ac:dyDescent="0.35">
      <c r="B1" s="256" t="s">
        <v>182</v>
      </c>
      <c r="L1" s="258"/>
      <c r="M1" s="259"/>
      <c r="N1" s="259"/>
      <c r="O1" s="259"/>
      <c r="P1" s="259"/>
      <c r="Q1" s="259"/>
      <c r="R1" s="259"/>
      <c r="S1" s="259"/>
      <c r="T1" s="259"/>
      <c r="U1" s="259"/>
      <c r="V1" s="259"/>
      <c r="W1" s="259"/>
      <c r="X1" s="259"/>
      <c r="Y1" s="259"/>
      <c r="Z1" s="259"/>
      <c r="AA1" s="259"/>
      <c r="AB1" s="259"/>
    </row>
    <row r="2" spans="2:45" ht="16.5" x14ac:dyDescent="0.3">
      <c r="B2" s="262"/>
      <c r="C2" s="262"/>
      <c r="D2" s="262"/>
      <c r="E2" s="263"/>
      <c r="F2" s="264"/>
      <c r="M2" s="259"/>
      <c r="N2" s="259"/>
      <c r="O2" s="259"/>
      <c r="P2" s="259"/>
      <c r="Q2" s="259"/>
      <c r="R2" s="259"/>
      <c r="S2" s="259"/>
      <c r="T2" s="259"/>
      <c r="U2" s="259"/>
      <c r="V2" s="259"/>
      <c r="W2" s="259"/>
      <c r="X2" s="259"/>
      <c r="Y2" s="259"/>
      <c r="Z2" s="259"/>
      <c r="AA2" s="259"/>
      <c r="AB2" s="259"/>
      <c r="AE2" s="265"/>
      <c r="AF2" s="265"/>
      <c r="AG2" s="265"/>
      <c r="AH2" s="265"/>
      <c r="AI2" s="265"/>
      <c r="AJ2" s="265"/>
      <c r="AK2" s="265"/>
      <c r="AL2" s="265"/>
      <c r="AM2" s="265"/>
      <c r="AN2" s="265"/>
      <c r="AO2" s="265"/>
      <c r="AP2" s="265"/>
      <c r="AQ2" s="265"/>
      <c r="AR2" s="265"/>
      <c r="AS2" s="265"/>
    </row>
    <row r="3" spans="2:45" ht="16.5" x14ac:dyDescent="0.3">
      <c r="B3" s="262"/>
      <c r="C3" s="262"/>
      <c r="D3" s="266"/>
      <c r="E3" s="266"/>
      <c r="F3" s="266"/>
      <c r="M3" s="267"/>
      <c r="N3" s="267"/>
      <c r="O3" s="267"/>
      <c r="P3" s="267"/>
      <c r="Q3" s="267"/>
      <c r="R3" s="267"/>
      <c r="S3" s="267"/>
      <c r="T3" s="267"/>
      <c r="U3" s="267"/>
      <c r="V3" s="267"/>
      <c r="W3" s="259"/>
      <c r="X3" s="259"/>
      <c r="Y3" s="259"/>
      <c r="Z3" s="259"/>
      <c r="AA3" s="259"/>
      <c r="AB3" s="259"/>
      <c r="AE3" s="268"/>
      <c r="AF3" s="268"/>
      <c r="AG3" s="268"/>
      <c r="AH3" s="268"/>
      <c r="AI3" s="268"/>
      <c r="AP3" s="268"/>
      <c r="AQ3" s="268"/>
      <c r="AR3" s="268"/>
      <c r="AS3" s="268"/>
    </row>
    <row r="4" spans="2:45" ht="15.75" thickBot="1" x14ac:dyDescent="0.3">
      <c r="B4" s="260"/>
      <c r="C4" s="260"/>
      <c r="D4" s="266"/>
      <c r="E4" s="266"/>
      <c r="F4" s="266"/>
      <c r="M4" s="261"/>
      <c r="N4" s="273"/>
      <c r="O4" s="273"/>
      <c r="P4" s="273"/>
      <c r="Q4" s="273"/>
      <c r="R4" s="273"/>
      <c r="S4" s="273"/>
      <c r="T4" s="273"/>
      <c r="U4" s="273"/>
      <c r="V4" s="274"/>
      <c r="W4" s="274"/>
      <c r="X4" s="259"/>
      <c r="Y4" s="259"/>
      <c r="Z4" s="259"/>
      <c r="AA4" s="259"/>
      <c r="AB4" s="259"/>
    </row>
    <row r="5" spans="2:45" ht="15.75" thickBot="1" x14ac:dyDescent="0.3">
      <c r="B5" s="275" t="s">
        <v>87</v>
      </c>
      <c r="C5" s="276"/>
      <c r="D5" s="277"/>
      <c r="E5" s="278">
        <f>+'Veridian 2018 RPP 1st TU'!K47</f>
        <v>-4323449.3173614545</v>
      </c>
      <c r="F5" s="266"/>
      <c r="M5" s="279"/>
      <c r="N5" s="280"/>
      <c r="O5" s="280"/>
      <c r="P5" s="280"/>
      <c r="Q5" s="280"/>
      <c r="R5" s="280"/>
      <c r="S5" s="280"/>
      <c r="T5" s="280"/>
      <c r="U5" s="280"/>
      <c r="V5" s="270"/>
      <c r="W5" s="270"/>
      <c r="AE5" s="268"/>
      <c r="AF5" s="268"/>
      <c r="AG5" s="268"/>
      <c r="AH5" s="268"/>
      <c r="AI5" s="268"/>
      <c r="AJ5" s="268"/>
      <c r="AK5" s="268"/>
      <c r="AL5" s="268"/>
      <c r="AM5" s="268"/>
      <c r="AN5" s="268"/>
      <c r="AO5" s="268"/>
      <c r="AP5" s="268"/>
      <c r="AQ5" s="268"/>
      <c r="AR5" s="268"/>
      <c r="AS5" s="268"/>
    </row>
    <row r="6" spans="2:45" x14ac:dyDescent="0.25">
      <c r="B6" s="260"/>
      <c r="C6" s="260"/>
      <c r="D6" s="260"/>
      <c r="E6" s="271"/>
      <c r="F6" s="271"/>
      <c r="G6" s="266"/>
      <c r="H6" s="266"/>
      <c r="M6" s="279"/>
      <c r="N6" s="280"/>
      <c r="O6" s="280"/>
      <c r="P6" s="280"/>
      <c r="Q6" s="280"/>
      <c r="R6" s="280"/>
      <c r="S6" s="280"/>
      <c r="T6" s="280"/>
      <c r="U6" s="280"/>
      <c r="V6" s="270"/>
      <c r="W6" s="270"/>
      <c r="AE6" s="268"/>
      <c r="AF6" s="268"/>
      <c r="AG6" s="268"/>
      <c r="AH6" s="268"/>
      <c r="AI6" s="268"/>
      <c r="AJ6" s="268"/>
      <c r="AK6" s="268"/>
      <c r="AL6" s="268"/>
      <c r="AM6" s="268"/>
      <c r="AN6" s="268"/>
      <c r="AO6" s="268"/>
      <c r="AP6" s="268"/>
      <c r="AQ6" s="268"/>
      <c r="AR6" s="268"/>
      <c r="AS6" s="268"/>
    </row>
    <row r="7" spans="2:45" x14ac:dyDescent="0.25">
      <c r="B7" s="258" t="s">
        <v>88</v>
      </c>
      <c r="C7" s="260"/>
      <c r="D7" s="260"/>
      <c r="E7" s="281" t="s">
        <v>181</v>
      </c>
      <c r="F7" s="282" t="s">
        <v>89</v>
      </c>
      <c r="G7" s="281" t="s">
        <v>92</v>
      </c>
      <c r="H7" s="266"/>
      <c r="M7" s="279"/>
      <c r="N7" s="280"/>
      <c r="O7" s="280"/>
      <c r="P7" s="280"/>
      <c r="Q7" s="280"/>
      <c r="R7" s="280"/>
      <c r="S7" s="280"/>
      <c r="T7" s="280"/>
      <c r="U7" s="280"/>
      <c r="V7" s="270"/>
      <c r="W7" s="270"/>
      <c r="AE7" s="268"/>
      <c r="AF7" s="268"/>
      <c r="AG7" s="268"/>
      <c r="AH7" s="268"/>
      <c r="AI7" s="268"/>
      <c r="AJ7" s="268"/>
      <c r="AK7" s="268"/>
      <c r="AL7" s="268"/>
      <c r="AM7" s="268"/>
      <c r="AN7" s="268"/>
      <c r="AO7" s="268"/>
      <c r="AP7" s="268"/>
      <c r="AQ7" s="268"/>
      <c r="AR7" s="268"/>
      <c r="AS7" s="268"/>
    </row>
    <row r="8" spans="2:45" x14ac:dyDescent="0.25">
      <c r="B8" s="283" t="s">
        <v>110</v>
      </c>
      <c r="C8" s="260" t="s">
        <v>90</v>
      </c>
      <c r="D8" s="260"/>
      <c r="E8" s="266">
        <f>+'Veridian 2018 RPP 1st TU'!H47</f>
        <v>8891395.6157574989</v>
      </c>
      <c r="F8" s="266">
        <f>'Veridian 2018 RPP 1st TU'!H23</f>
        <v>8879471.0293568932</v>
      </c>
      <c r="G8" s="266">
        <f>E8-F8</f>
        <v>11924.586400605738</v>
      </c>
      <c r="H8" s="284">
        <f>G8/F8</f>
        <v>1.3429388261058824E-3</v>
      </c>
      <c r="I8" s="285" t="s">
        <v>102</v>
      </c>
      <c r="M8" s="279"/>
      <c r="N8" s="280"/>
      <c r="O8" s="280"/>
      <c r="P8" s="280"/>
      <c r="Q8" s="280"/>
      <c r="R8" s="280"/>
      <c r="S8" s="280"/>
      <c r="T8" s="280"/>
      <c r="U8" s="280"/>
      <c r="V8" s="270"/>
      <c r="W8" s="270"/>
      <c r="AI8" s="270"/>
    </row>
    <row r="9" spans="2:45" x14ac:dyDescent="0.25">
      <c r="B9" s="283" t="s">
        <v>111</v>
      </c>
      <c r="C9" s="260" t="s">
        <v>94</v>
      </c>
      <c r="D9" s="260"/>
      <c r="E9" s="266">
        <f>+'Veridian 2018 RPP 1st TU'!I47</f>
        <v>2713252.8319639335</v>
      </c>
      <c r="F9" s="266">
        <f>'Veridian 2018 RPP 1st TU'!I23</f>
        <v>2709085.9030164653</v>
      </c>
      <c r="G9" s="266">
        <f>E9-F9</f>
        <v>4166.9289474682882</v>
      </c>
      <c r="H9" s="284">
        <f>G9/F9</f>
        <v>1.5381309772527219E-3</v>
      </c>
      <c r="I9" s="285" t="s">
        <v>105</v>
      </c>
      <c r="M9" s="279"/>
      <c r="N9" s="280"/>
      <c r="O9" s="280"/>
      <c r="P9" s="280"/>
      <c r="Q9" s="280"/>
      <c r="R9" s="280"/>
      <c r="S9" s="280"/>
      <c r="T9" s="280"/>
      <c r="U9" s="280"/>
      <c r="V9" s="270"/>
      <c r="W9" s="270"/>
      <c r="AE9" s="286"/>
      <c r="AF9" s="286"/>
      <c r="AG9" s="286"/>
      <c r="AH9" s="286"/>
      <c r="AI9" s="268"/>
      <c r="AJ9" s="286"/>
      <c r="AK9" s="286"/>
      <c r="AL9" s="286"/>
      <c r="AM9" s="286"/>
      <c r="AN9" s="286"/>
      <c r="AO9" s="286"/>
      <c r="AQ9" s="286"/>
      <c r="AR9" s="286"/>
    </row>
    <row r="10" spans="2:45" x14ac:dyDescent="0.25">
      <c r="B10" s="287" t="s">
        <v>112</v>
      </c>
      <c r="C10" s="260" t="s">
        <v>91</v>
      </c>
      <c r="D10" s="260"/>
      <c r="E10" s="266">
        <f>+'Veridian 2018 RPP 1st TU'!J47</f>
        <v>10501592.10115502</v>
      </c>
      <c r="F10" s="266">
        <f>'Veridian 2018 RPP 1st TU'!J23</f>
        <v>10485464.084036494</v>
      </c>
      <c r="G10" s="266">
        <f>E10-F10</f>
        <v>16128.017118526623</v>
      </c>
      <c r="H10" s="284">
        <f>G10/F10</f>
        <v>1.5381309772526507E-3</v>
      </c>
      <c r="I10" s="285" t="s">
        <v>108</v>
      </c>
      <c r="M10" s="279"/>
      <c r="N10" s="280"/>
      <c r="O10" s="280"/>
      <c r="P10" s="280"/>
      <c r="Q10" s="280"/>
      <c r="R10" s="280"/>
      <c r="S10" s="280"/>
      <c r="T10" s="280"/>
      <c r="U10" s="280"/>
      <c r="V10" s="270"/>
      <c r="W10" s="270"/>
    </row>
    <row r="11" spans="2:45" x14ac:dyDescent="0.25">
      <c r="B11" s="287"/>
      <c r="C11" s="260"/>
      <c r="D11" s="260"/>
      <c r="E11" s="266"/>
      <c r="F11" s="266"/>
      <c r="G11" s="266"/>
      <c r="H11" s="284"/>
      <c r="I11" s="285"/>
      <c r="M11" s="279"/>
      <c r="N11" s="280"/>
      <c r="O11" s="280"/>
      <c r="P11" s="280"/>
      <c r="Q11" s="280"/>
      <c r="R11" s="280"/>
      <c r="S11" s="280"/>
      <c r="T11" s="280"/>
      <c r="U11" s="280"/>
      <c r="V11" s="270"/>
      <c r="W11" s="270"/>
    </row>
    <row r="12" spans="2:45" x14ac:dyDescent="0.25">
      <c r="B12" s="287"/>
      <c r="C12" s="257" t="s">
        <v>178</v>
      </c>
      <c r="D12" s="260"/>
      <c r="E12" s="266">
        <f>-'Veridian 2018 RPP 1st TU'!K49</f>
        <v>-8370.3596653901041</v>
      </c>
      <c r="F12" s="266"/>
      <c r="G12" s="266">
        <f>E12-F12</f>
        <v>-8370.3596653901041</v>
      </c>
      <c r="H12" s="284"/>
      <c r="I12" s="285"/>
      <c r="M12" s="279"/>
      <c r="N12" s="280"/>
      <c r="O12" s="280"/>
      <c r="P12" s="280"/>
      <c r="Q12" s="280"/>
      <c r="R12" s="280"/>
      <c r="S12" s="280"/>
      <c r="T12" s="280"/>
      <c r="U12" s="280"/>
      <c r="V12" s="270"/>
      <c r="W12" s="270"/>
    </row>
    <row r="13" spans="2:45" ht="15.75" thickBot="1" x14ac:dyDescent="0.3">
      <c r="B13" s="260"/>
      <c r="C13" s="260" t="s">
        <v>172</v>
      </c>
      <c r="D13" s="260"/>
      <c r="E13" s="272">
        <f>E8-E9-E10-E12</f>
        <v>-4315078.9576960653</v>
      </c>
      <c r="F13" s="272">
        <f>F8-F9-F10-F12</f>
        <v>-4315078.9576960653</v>
      </c>
      <c r="G13" s="272">
        <f>G8-G9-G10-G12</f>
        <v>9.3132257461547852E-10</v>
      </c>
      <c r="H13" s="284">
        <f>G13/F13</f>
        <v>-2.158297875301768E-16</v>
      </c>
      <c r="M13" s="279"/>
      <c r="N13" s="280"/>
      <c r="O13" s="280"/>
      <c r="P13" s="280"/>
      <c r="Q13" s="280"/>
      <c r="R13" s="280"/>
      <c r="S13" s="280"/>
      <c r="T13" s="280"/>
      <c r="U13" s="280"/>
      <c r="V13" s="270"/>
      <c r="W13" s="270"/>
      <c r="AE13" s="268"/>
      <c r="AF13" s="268"/>
      <c r="AG13" s="268"/>
      <c r="AH13" s="268"/>
      <c r="AI13" s="268"/>
      <c r="AJ13" s="268"/>
      <c r="AK13" s="268"/>
      <c r="AL13" s="268"/>
      <c r="AM13" s="268"/>
      <c r="AN13" s="268"/>
      <c r="AO13" s="268"/>
      <c r="AP13" s="268"/>
      <c r="AQ13" s="268"/>
      <c r="AR13" s="268"/>
      <c r="AS13" s="268"/>
    </row>
    <row r="14" spans="2:45" x14ac:dyDescent="0.25">
      <c r="B14" s="260"/>
      <c r="C14" s="260"/>
      <c r="D14" s="260"/>
      <c r="F14" s="268"/>
      <c r="G14" s="268"/>
      <c r="M14" s="279"/>
      <c r="N14" s="280"/>
      <c r="O14" s="280"/>
      <c r="P14" s="280"/>
      <c r="Q14" s="280"/>
      <c r="R14" s="280"/>
      <c r="S14" s="280"/>
      <c r="T14" s="280"/>
      <c r="U14" s="280"/>
      <c r="V14" s="270"/>
      <c r="W14" s="270"/>
      <c r="AE14" s="268"/>
      <c r="AF14" s="268"/>
      <c r="AG14" s="268"/>
      <c r="AH14" s="268"/>
      <c r="AI14" s="268"/>
      <c r="AJ14" s="268"/>
      <c r="AK14" s="268"/>
      <c r="AL14" s="268"/>
      <c r="AM14" s="268"/>
      <c r="AN14" s="268"/>
      <c r="AO14" s="268"/>
      <c r="AP14" s="268"/>
      <c r="AQ14" s="268"/>
      <c r="AR14" s="268"/>
      <c r="AS14" s="268"/>
    </row>
    <row r="15" spans="2:45" x14ac:dyDescent="0.25">
      <c r="B15" s="260"/>
      <c r="C15" s="260" t="s">
        <v>193</v>
      </c>
      <c r="D15" s="260"/>
      <c r="E15" s="265" t="s">
        <v>194</v>
      </c>
      <c r="F15" s="348" t="s">
        <v>195</v>
      </c>
      <c r="G15" s="268"/>
      <c r="M15" s="279"/>
      <c r="N15" s="280"/>
      <c r="O15" s="280"/>
      <c r="P15" s="280"/>
      <c r="Q15" s="280"/>
      <c r="R15" s="280"/>
      <c r="S15" s="280"/>
      <c r="T15" s="280"/>
      <c r="U15" s="280"/>
      <c r="V15" s="270"/>
      <c r="W15" s="270"/>
      <c r="AE15" s="268"/>
      <c r="AF15" s="268"/>
      <c r="AG15" s="268"/>
      <c r="AH15" s="268"/>
      <c r="AI15" s="268"/>
      <c r="AJ15" s="268"/>
      <c r="AK15" s="268"/>
      <c r="AL15" s="268"/>
      <c r="AM15" s="268"/>
      <c r="AN15" s="268"/>
      <c r="AO15" s="268"/>
      <c r="AP15" s="268"/>
      <c r="AQ15" s="268"/>
      <c r="AR15" s="268"/>
      <c r="AS15" s="268"/>
    </row>
    <row r="16" spans="2:45" x14ac:dyDescent="0.25">
      <c r="B16" s="260" t="s">
        <v>196</v>
      </c>
      <c r="E16" s="288" t="s">
        <v>106</v>
      </c>
      <c r="F16" s="288" t="s">
        <v>106</v>
      </c>
      <c r="G16" s="288" t="s">
        <v>62</v>
      </c>
      <c r="H16" s="288" t="s">
        <v>103</v>
      </c>
      <c r="I16" s="288" t="s">
        <v>104</v>
      </c>
      <c r="M16" s="279"/>
      <c r="N16" s="280"/>
      <c r="O16" s="280"/>
      <c r="P16" s="280"/>
      <c r="Q16" s="280"/>
      <c r="R16" s="280"/>
      <c r="S16" s="280"/>
      <c r="T16" s="280"/>
      <c r="U16" s="280"/>
      <c r="V16" s="270"/>
      <c r="W16" s="270"/>
      <c r="AE16" s="268"/>
      <c r="AF16" s="268"/>
      <c r="AG16" s="268"/>
      <c r="AH16" s="268"/>
    </row>
    <row r="17" spans="2:44" x14ac:dyDescent="0.25">
      <c r="C17" s="257" t="s">
        <v>12</v>
      </c>
      <c r="E17" s="266">
        <f>+'Veridian 2018 RPP 1st TU'!G41</f>
        <v>6476961.0036261035</v>
      </c>
      <c r="F17" s="266">
        <f>+'Veridian - 2018Nov'!D69</f>
        <v>6143890.0380320316</v>
      </c>
      <c r="G17" s="266">
        <f>E17-F17</f>
        <v>333070.96559407189</v>
      </c>
      <c r="H17" s="289">
        <f>'Veridian - 2018Nov'!E34</f>
        <v>7.6999999999999999E-2</v>
      </c>
      <c r="I17" s="266">
        <f>G17*H17</f>
        <v>25646.464350743536</v>
      </c>
      <c r="N17" s="280"/>
      <c r="O17" s="280"/>
      <c r="P17" s="280"/>
      <c r="Q17" s="280"/>
      <c r="R17" s="280"/>
      <c r="S17" s="280"/>
      <c r="T17" s="280"/>
      <c r="U17" s="280"/>
      <c r="V17" s="270"/>
      <c r="W17" s="270"/>
      <c r="AI17" s="268"/>
      <c r="AP17" s="268"/>
      <c r="AQ17" s="268"/>
      <c r="AR17" s="268"/>
    </row>
    <row r="18" spans="2:44" x14ac:dyDescent="0.25">
      <c r="C18" s="257" t="s">
        <v>13</v>
      </c>
      <c r="E18" s="266">
        <f>+'Veridian 2018 RPP 1st TU'!G42</f>
        <v>4408687.7419639872</v>
      </c>
      <c r="F18" s="266">
        <f>+'Veridian - 2018Nov'!D70</f>
        <v>4333412.2096351441</v>
      </c>
      <c r="G18" s="266">
        <f t="shared" ref="G18:G21" si="0">E18-F18</f>
        <v>75275.532328843139</v>
      </c>
      <c r="H18" s="289">
        <f>'Veridian - 2018Nov'!E35</f>
        <v>8.900000000000001E-2</v>
      </c>
      <c r="I18" s="266">
        <f t="shared" ref="I18:I21" si="1">G18*H18</f>
        <v>6699.5223772670397</v>
      </c>
      <c r="M18" s="279"/>
      <c r="N18" s="280"/>
      <c r="O18" s="280"/>
      <c r="P18" s="280"/>
      <c r="Q18" s="280"/>
      <c r="R18" s="280"/>
      <c r="S18" s="280"/>
      <c r="T18" s="280"/>
      <c r="U18" s="280"/>
      <c r="V18" s="270"/>
      <c r="W18" s="270"/>
      <c r="AI18" s="268"/>
      <c r="AP18" s="268"/>
      <c r="AQ18" s="268"/>
      <c r="AR18" s="268"/>
    </row>
    <row r="19" spans="2:44" x14ac:dyDescent="0.25">
      <c r="C19" s="257" t="s">
        <v>14</v>
      </c>
      <c r="E19" s="266">
        <f>+'Veridian 2018 RPP 1st TU'!G43</f>
        <v>58955658.019946821</v>
      </c>
      <c r="F19" s="266">
        <f>+'Veridian - 2018Nov'!D71</f>
        <v>58955658.019946821</v>
      </c>
      <c r="G19" s="266">
        <f t="shared" si="0"/>
        <v>0</v>
      </c>
      <c r="H19" s="289">
        <f>'Veridian - 2018Nov'!E36</f>
        <v>6.5000000000000002E-2</v>
      </c>
      <c r="I19" s="266">
        <f t="shared" si="1"/>
        <v>0</v>
      </c>
      <c r="M19" s="279"/>
      <c r="N19" s="280"/>
      <c r="O19" s="280"/>
      <c r="P19" s="280"/>
      <c r="Q19" s="280"/>
      <c r="R19" s="280"/>
      <c r="S19" s="280"/>
      <c r="T19" s="280"/>
      <c r="U19" s="280"/>
      <c r="V19" s="270"/>
      <c r="W19" s="270"/>
    </row>
    <row r="20" spans="2:44" x14ac:dyDescent="0.25">
      <c r="C20" s="257" t="s">
        <v>15</v>
      </c>
      <c r="E20" s="266">
        <f>+'Veridian 2018 RPP 1st TU'!G44</f>
        <v>17860187.098952975</v>
      </c>
      <c r="F20" s="266">
        <f>+'Veridian - 2018Nov'!D72</f>
        <v>17860187.098952975</v>
      </c>
      <c r="G20" s="266">
        <f t="shared" si="0"/>
        <v>0</v>
      </c>
      <c r="H20" s="289">
        <f>'Veridian - 2018Nov'!E37</f>
        <v>9.4E-2</v>
      </c>
      <c r="I20" s="266">
        <f t="shared" si="1"/>
        <v>0</v>
      </c>
      <c r="M20" s="279"/>
      <c r="N20" s="280"/>
      <c r="O20" s="280"/>
      <c r="P20" s="280"/>
      <c r="Q20" s="280"/>
      <c r="R20" s="280"/>
      <c r="S20" s="280"/>
      <c r="T20" s="280"/>
      <c r="U20" s="280"/>
      <c r="V20" s="270"/>
      <c r="W20" s="270"/>
    </row>
    <row r="21" spans="2:44" x14ac:dyDescent="0.25">
      <c r="C21" s="257" t="s">
        <v>16</v>
      </c>
      <c r="E21" s="266">
        <f>+'Veridian 2018 RPP 1st TU'!G45</f>
        <v>18858492.809434634</v>
      </c>
      <c r="F21" s="266">
        <f>+'Veridian - 2018Nov'!D73</f>
        <v>18858492.809434634</v>
      </c>
      <c r="G21" s="266">
        <f t="shared" si="0"/>
        <v>0</v>
      </c>
      <c r="H21" s="289">
        <f>'Veridian - 2018Nov'!E38</f>
        <v>0.13200000000000001</v>
      </c>
      <c r="I21" s="266">
        <f t="shared" si="1"/>
        <v>0</v>
      </c>
      <c r="M21" s="279"/>
      <c r="N21" s="280"/>
      <c r="O21" s="280"/>
      <c r="P21" s="280"/>
      <c r="Q21" s="280"/>
      <c r="R21" s="280"/>
      <c r="S21" s="280"/>
      <c r="T21" s="280"/>
      <c r="U21" s="280"/>
      <c r="V21" s="270"/>
      <c r="W21" s="270"/>
    </row>
    <row r="22" spans="2:44" ht="15.75" thickBot="1" x14ac:dyDescent="0.3">
      <c r="C22" s="257" t="s">
        <v>141</v>
      </c>
      <c r="E22" s="272">
        <f>SUM(E17:E21)</f>
        <v>106559986.67392452</v>
      </c>
      <c r="F22" s="355">
        <f>SUM(F17:F21)</f>
        <v>106151640.17600161</v>
      </c>
      <c r="G22" s="272">
        <f>SUM(G17:G21)</f>
        <v>408346.49792291503</v>
      </c>
      <c r="H22" s="290"/>
      <c r="I22" s="272">
        <f>SUM(I17:I21)</f>
        <v>32345.986728010575</v>
      </c>
      <c r="M22" s="279"/>
      <c r="N22" s="280"/>
      <c r="O22" s="280"/>
      <c r="P22" s="280"/>
      <c r="Q22" s="280"/>
      <c r="R22" s="280"/>
      <c r="S22" s="280"/>
      <c r="T22" s="280"/>
      <c r="U22" s="280"/>
      <c r="V22" s="270"/>
      <c r="W22" s="270"/>
    </row>
    <row r="23" spans="2:44" x14ac:dyDescent="0.25">
      <c r="E23" s="271"/>
      <c r="F23" s="271"/>
      <c r="G23" s="271"/>
      <c r="H23" s="291"/>
      <c r="I23" s="271"/>
      <c r="M23" s="279"/>
      <c r="N23" s="280"/>
      <c r="O23" s="280"/>
      <c r="P23" s="280"/>
      <c r="Q23" s="280"/>
      <c r="R23" s="280"/>
      <c r="S23" s="280"/>
      <c r="T23" s="280"/>
      <c r="U23" s="280"/>
      <c r="V23" s="270"/>
      <c r="W23" s="270"/>
    </row>
    <row r="24" spans="2:44" x14ac:dyDescent="0.25">
      <c r="C24" s="260" t="s">
        <v>197</v>
      </c>
      <c r="E24" s="348" t="s">
        <v>195</v>
      </c>
      <c r="M24" s="279"/>
      <c r="N24" s="280"/>
      <c r="O24" s="280"/>
      <c r="P24" s="280"/>
      <c r="Q24" s="280"/>
      <c r="R24" s="280"/>
      <c r="S24" s="280"/>
      <c r="T24" s="280"/>
      <c r="U24" s="280"/>
      <c r="V24" s="270"/>
      <c r="W24" s="270"/>
    </row>
    <row r="25" spans="2:44" x14ac:dyDescent="0.25">
      <c r="B25" s="285" t="s">
        <v>198</v>
      </c>
      <c r="E25" s="288" t="s">
        <v>106</v>
      </c>
      <c r="F25" s="288" t="s">
        <v>107</v>
      </c>
      <c r="G25" s="288" t="s">
        <v>168</v>
      </c>
      <c r="H25" s="288" t="s">
        <v>103</v>
      </c>
      <c r="I25" s="288" t="s">
        <v>104</v>
      </c>
      <c r="M25" s="279"/>
      <c r="N25" s="280"/>
      <c r="O25" s="280"/>
      <c r="P25" s="280"/>
      <c r="Q25" s="280"/>
      <c r="R25" s="280"/>
      <c r="S25" s="280"/>
      <c r="T25" s="280"/>
      <c r="U25" s="280"/>
      <c r="V25" s="270"/>
      <c r="W25" s="270"/>
    </row>
    <row r="26" spans="2:44" x14ac:dyDescent="0.25">
      <c r="C26" s="257" t="s">
        <v>12</v>
      </c>
      <c r="E26" s="266">
        <f>+F17</f>
        <v>6143890.0380320316</v>
      </c>
      <c r="F26" s="266">
        <f>+'Veridian - 2018Nov'!D17</f>
        <v>6158052.5998516511</v>
      </c>
      <c r="G26" s="266">
        <f>E26-F26</f>
        <v>-14162.561819619499</v>
      </c>
      <c r="H26" s="289">
        <f>+'Veridian - 2018Nov'!E34</f>
        <v>7.6999999999999999E-2</v>
      </c>
      <c r="I26" s="266">
        <f>G26*H26</f>
        <v>-1090.5172601107015</v>
      </c>
      <c r="M26" s="279"/>
      <c r="N26" s="280"/>
      <c r="O26" s="280"/>
      <c r="P26" s="280"/>
      <c r="Q26" s="280"/>
      <c r="R26" s="280"/>
      <c r="S26" s="280"/>
      <c r="T26" s="280"/>
      <c r="U26" s="280"/>
      <c r="V26" s="270"/>
      <c r="W26" s="270"/>
    </row>
    <row r="27" spans="2:44" x14ac:dyDescent="0.25">
      <c r="C27" s="257" t="s">
        <v>13</v>
      </c>
      <c r="E27" s="266">
        <f>+F18</f>
        <v>4333412.2096351441</v>
      </c>
      <c r="F27" s="266">
        <f>+'Veridian - 2018Nov'!D18</f>
        <v>4343401.3562391596</v>
      </c>
      <c r="G27" s="266">
        <f t="shared" ref="G27:G30" si="2">E27-F27</f>
        <v>-9989.1466040154919</v>
      </c>
      <c r="H27" s="289">
        <f>+'Veridian - 2018Nov'!E35</f>
        <v>8.900000000000001E-2</v>
      </c>
      <c r="I27" s="266">
        <f t="shared" ref="I27:I30" si="3">G27*H27</f>
        <v>-889.03404775737886</v>
      </c>
      <c r="M27" s="279"/>
      <c r="N27" s="280"/>
      <c r="O27" s="280"/>
      <c r="P27" s="280"/>
      <c r="Q27" s="280"/>
      <c r="R27" s="280"/>
      <c r="S27" s="280"/>
      <c r="T27" s="280"/>
      <c r="U27" s="280"/>
      <c r="V27" s="270"/>
      <c r="W27" s="270"/>
    </row>
    <row r="28" spans="2:44" x14ac:dyDescent="0.25">
      <c r="C28" s="257" t="s">
        <v>14</v>
      </c>
      <c r="E28" s="266">
        <f>+F19</f>
        <v>58955658.019946821</v>
      </c>
      <c r="F28" s="266">
        <f>+'Veridian - 2018Nov'!D19</f>
        <v>59091559.402646586</v>
      </c>
      <c r="G28" s="266">
        <f t="shared" si="2"/>
        <v>-135901.38269976526</v>
      </c>
      <c r="H28" s="289">
        <f>+'Veridian - 2018Nov'!E36</f>
        <v>6.5000000000000002E-2</v>
      </c>
      <c r="I28" s="266">
        <f t="shared" si="3"/>
        <v>-8833.5898754847422</v>
      </c>
      <c r="M28" s="279"/>
      <c r="N28" s="280"/>
      <c r="O28" s="280"/>
      <c r="P28" s="280"/>
      <c r="Q28" s="280"/>
      <c r="R28" s="280"/>
      <c r="S28" s="280"/>
      <c r="T28" s="280"/>
      <c r="U28" s="280"/>
      <c r="V28" s="270"/>
      <c r="W28" s="270"/>
    </row>
    <row r="29" spans="2:44" x14ac:dyDescent="0.25">
      <c r="C29" s="257" t="s">
        <v>15</v>
      </c>
      <c r="E29" s="266">
        <f>+F20</f>
        <v>17860187.098952975</v>
      </c>
      <c r="F29" s="266">
        <f>+'Veridian - 2018Nov'!D20</f>
        <v>17901357.432785954</v>
      </c>
      <c r="G29" s="266">
        <f t="shared" si="2"/>
        <v>-41170.333832979202</v>
      </c>
      <c r="H29" s="289">
        <f>+'Veridian - 2018Nov'!E37</f>
        <v>9.4E-2</v>
      </c>
      <c r="I29" s="266">
        <f t="shared" si="3"/>
        <v>-3870.0113803000449</v>
      </c>
      <c r="M29" s="279"/>
      <c r="N29" s="280"/>
      <c r="O29" s="280"/>
      <c r="P29" s="280"/>
      <c r="Q29" s="280"/>
      <c r="R29" s="280"/>
      <c r="S29" s="280"/>
      <c r="T29" s="280"/>
      <c r="U29" s="280"/>
      <c r="V29" s="270"/>
      <c r="W29" s="270"/>
    </row>
    <row r="30" spans="2:44" x14ac:dyDescent="0.25">
      <c r="C30" s="257" t="s">
        <v>16</v>
      </c>
      <c r="E30" s="266">
        <f>+F21</f>
        <v>18858492.809434634</v>
      </c>
      <c r="F30" s="266">
        <f>+'Veridian - 2018Nov'!D21</f>
        <v>18901964.383402452</v>
      </c>
      <c r="G30" s="266">
        <f t="shared" si="2"/>
        <v>-43471.573967818171</v>
      </c>
      <c r="H30" s="289">
        <f>+'Veridian - 2018Nov'!E38</f>
        <v>0.13200000000000001</v>
      </c>
      <c r="I30" s="266">
        <f t="shared" si="3"/>
        <v>-5738.2477637519987</v>
      </c>
      <c r="M30" s="279"/>
      <c r="N30" s="280"/>
      <c r="O30" s="280"/>
      <c r="P30" s="280"/>
      <c r="Q30" s="280"/>
      <c r="R30" s="280"/>
      <c r="S30" s="280"/>
      <c r="T30" s="280"/>
      <c r="U30" s="280"/>
      <c r="V30" s="270"/>
      <c r="W30" s="270"/>
    </row>
    <row r="31" spans="2:44" ht="15.75" thickBot="1" x14ac:dyDescent="0.3">
      <c r="C31" s="257" t="s">
        <v>141</v>
      </c>
      <c r="E31" s="272">
        <f>SUM(E26:E30)</f>
        <v>106151640.17600161</v>
      </c>
      <c r="F31" s="272">
        <f>SUM(F26:F30)</f>
        <v>106396335.1749258</v>
      </c>
      <c r="G31" s="272">
        <f>SUM(G26:G30)</f>
        <v>-244694.99892419763</v>
      </c>
      <c r="H31" s="290"/>
      <c r="I31" s="272">
        <f>SUM(I26:I30)</f>
        <v>-20421.400327404866</v>
      </c>
      <c r="M31" s="279"/>
      <c r="N31" s="280"/>
      <c r="O31" s="280"/>
      <c r="P31" s="280"/>
      <c r="Q31" s="280"/>
      <c r="R31" s="280"/>
      <c r="S31" s="280"/>
      <c r="T31" s="280"/>
      <c r="U31" s="280"/>
      <c r="V31" s="270"/>
      <c r="W31" s="270"/>
    </row>
    <row r="32" spans="2:44" x14ac:dyDescent="0.25">
      <c r="E32" s="271"/>
      <c r="F32" s="271"/>
      <c r="G32" s="271"/>
      <c r="H32" s="291"/>
      <c r="I32" s="271"/>
      <c r="M32" s="279"/>
      <c r="N32" s="280"/>
      <c r="O32" s="280"/>
      <c r="P32" s="280"/>
      <c r="Q32" s="280"/>
      <c r="R32" s="280"/>
      <c r="S32" s="280"/>
      <c r="T32" s="280"/>
      <c r="U32" s="280"/>
      <c r="V32" s="270"/>
      <c r="W32" s="270"/>
    </row>
    <row r="33" spans="2:23" x14ac:dyDescent="0.25">
      <c r="C33" s="21" t="s">
        <v>178</v>
      </c>
      <c r="D33" s="21"/>
      <c r="E33" s="75"/>
      <c r="F33" s="75"/>
      <c r="G33" s="75"/>
      <c r="H33" s="356"/>
      <c r="I33" s="75">
        <f>-I22-I31</f>
        <v>-11924.586400605709</v>
      </c>
      <c r="M33" s="279"/>
      <c r="N33" s="280"/>
      <c r="O33" s="280"/>
      <c r="P33" s="280"/>
      <c r="Q33" s="280"/>
      <c r="R33" s="280"/>
      <c r="S33" s="280"/>
      <c r="T33" s="280"/>
      <c r="U33" s="280"/>
      <c r="V33" s="270"/>
      <c r="W33" s="270"/>
    </row>
    <row r="34" spans="2:23" ht="15.75" thickBot="1" x14ac:dyDescent="0.3">
      <c r="C34" s="21" t="s">
        <v>199</v>
      </c>
      <c r="D34" s="21"/>
      <c r="E34" s="75"/>
      <c r="F34" s="75"/>
      <c r="G34" s="75"/>
      <c r="H34" s="356"/>
      <c r="I34" s="357">
        <f>I22+I31+I33</f>
        <v>0</v>
      </c>
      <c r="M34" s="279"/>
      <c r="N34" s="280"/>
      <c r="O34" s="280"/>
      <c r="P34" s="280"/>
      <c r="Q34" s="280"/>
      <c r="R34" s="280"/>
      <c r="S34" s="280"/>
      <c r="T34" s="280"/>
      <c r="U34" s="280"/>
      <c r="V34" s="270"/>
      <c r="W34" s="270"/>
    </row>
    <row r="35" spans="2:23" x14ac:dyDescent="0.25">
      <c r="C35" s="21"/>
      <c r="D35" s="21"/>
      <c r="E35" s="75"/>
      <c r="F35" s="75"/>
      <c r="G35" s="75"/>
      <c r="H35" s="356"/>
      <c r="I35" s="75"/>
      <c r="M35" s="279"/>
      <c r="N35" s="280"/>
      <c r="O35" s="280"/>
      <c r="P35" s="280"/>
      <c r="Q35" s="280"/>
      <c r="R35" s="280"/>
      <c r="S35" s="280"/>
      <c r="T35" s="280"/>
      <c r="U35" s="280"/>
      <c r="V35" s="270"/>
      <c r="W35" s="270"/>
    </row>
    <row r="36" spans="2:23" x14ac:dyDescent="0.25">
      <c r="C36" s="21"/>
      <c r="D36" s="21"/>
      <c r="E36" s="21"/>
      <c r="F36" s="21"/>
      <c r="G36" s="21"/>
      <c r="H36" s="21"/>
      <c r="I36" s="21"/>
      <c r="M36" s="279"/>
      <c r="N36" s="280"/>
      <c r="O36" s="280"/>
      <c r="P36" s="280"/>
      <c r="Q36" s="280"/>
      <c r="R36" s="280"/>
      <c r="S36" s="280"/>
      <c r="T36" s="280"/>
      <c r="U36" s="280"/>
      <c r="V36" s="270"/>
      <c r="W36" s="270"/>
    </row>
    <row r="37" spans="2:23" x14ac:dyDescent="0.25">
      <c r="B37" s="285" t="s">
        <v>105</v>
      </c>
      <c r="C37" s="21" t="str">
        <f>C9</f>
        <v>Energy Revenue - RPP</v>
      </c>
      <c r="D37" s="21"/>
      <c r="E37" s="5"/>
      <c r="F37" s="5"/>
      <c r="G37" s="5">
        <f>(G22+G31)</f>
        <v>163651.4989987174</v>
      </c>
      <c r="H37" s="358">
        <f>+'Veridian - 2018Nov'!C87</f>
        <v>2.5462210691397102E-2</v>
      </c>
      <c r="I37" s="5">
        <f t="shared" ref="I37" si="4">G37*H37</f>
        <v>4166.9289474683046</v>
      </c>
      <c r="M37" s="279"/>
      <c r="N37" s="280"/>
      <c r="O37" s="280"/>
      <c r="P37" s="280"/>
      <c r="Q37" s="280"/>
      <c r="R37" s="280"/>
      <c r="S37" s="280"/>
      <c r="T37" s="280"/>
      <c r="U37" s="280"/>
      <c r="V37" s="270"/>
      <c r="W37" s="270"/>
    </row>
    <row r="38" spans="2:23" x14ac:dyDescent="0.25">
      <c r="B38" s="285"/>
      <c r="C38" s="21" t="s">
        <v>141</v>
      </c>
      <c r="D38" s="21"/>
      <c r="E38" s="5"/>
      <c r="F38" s="5"/>
      <c r="G38" s="5"/>
      <c r="H38" s="358"/>
      <c r="I38" s="5">
        <f>+'Veridian 2018 RPP 1st TU'!I46</f>
        <v>0</v>
      </c>
      <c r="M38" s="279"/>
      <c r="N38" s="280"/>
      <c r="O38" s="280"/>
      <c r="P38" s="280"/>
      <c r="Q38" s="280"/>
      <c r="R38" s="280"/>
      <c r="S38" s="280"/>
      <c r="T38" s="280"/>
      <c r="U38" s="280"/>
      <c r="V38" s="270"/>
      <c r="W38" s="270"/>
    </row>
    <row r="39" spans="2:23" x14ac:dyDescent="0.25">
      <c r="B39" s="285"/>
      <c r="C39" s="21" t="s">
        <v>200</v>
      </c>
      <c r="D39" s="21"/>
      <c r="E39" s="5"/>
      <c r="F39" s="5"/>
      <c r="G39" s="5"/>
      <c r="H39" s="358"/>
      <c r="I39" s="5">
        <f>-I37-I38</f>
        <v>-4166.9289474683046</v>
      </c>
      <c r="M39" s="279"/>
      <c r="N39" s="280"/>
      <c r="O39" s="280"/>
      <c r="P39" s="280"/>
      <c r="Q39" s="280"/>
      <c r="R39" s="280"/>
      <c r="S39" s="280"/>
      <c r="T39" s="280"/>
      <c r="U39" s="280"/>
      <c r="V39" s="270"/>
      <c r="W39" s="270"/>
    </row>
    <row r="40" spans="2:23" ht="15.75" thickBot="1" x14ac:dyDescent="0.3">
      <c r="B40" s="285"/>
      <c r="C40" s="21"/>
      <c r="D40" s="21"/>
      <c r="E40" s="5"/>
      <c r="F40" s="5"/>
      <c r="G40" s="5"/>
      <c r="H40" s="358"/>
      <c r="I40" s="357">
        <f>SUM(I37:I39)</f>
        <v>0</v>
      </c>
      <c r="M40" s="279"/>
      <c r="N40" s="280"/>
      <c r="O40" s="280"/>
      <c r="P40" s="280"/>
      <c r="Q40" s="280"/>
      <c r="R40" s="280"/>
      <c r="S40" s="280"/>
      <c r="T40" s="280"/>
      <c r="U40" s="280"/>
      <c r="V40" s="270"/>
      <c r="W40" s="270"/>
    </row>
    <row r="41" spans="2:23" x14ac:dyDescent="0.25">
      <c r="B41" s="285"/>
      <c r="C41" s="21"/>
      <c r="D41" s="21"/>
      <c r="E41" s="5"/>
      <c r="F41" s="5"/>
      <c r="G41" s="5"/>
      <c r="H41" s="358"/>
      <c r="I41" s="144"/>
      <c r="M41" s="279"/>
      <c r="N41" s="280"/>
      <c r="O41" s="280"/>
      <c r="P41" s="280"/>
      <c r="Q41" s="280"/>
      <c r="R41" s="280"/>
      <c r="S41" s="280"/>
      <c r="T41" s="280"/>
      <c r="U41" s="280"/>
      <c r="V41" s="270"/>
      <c r="W41" s="270"/>
    </row>
    <row r="42" spans="2:23" x14ac:dyDescent="0.25">
      <c r="B42" s="285" t="s">
        <v>108</v>
      </c>
      <c r="C42" s="21" t="s">
        <v>91</v>
      </c>
      <c r="D42" s="21"/>
      <c r="E42" s="5"/>
      <c r="F42" s="5"/>
      <c r="G42" s="5">
        <f>G37</f>
        <v>163651.4989987174</v>
      </c>
      <c r="H42" s="358">
        <f>+'Veridian - 2018Nov'!C50</f>
        <v>9.8550989249746077E-2</v>
      </c>
      <c r="I42" s="5">
        <f t="shared" ref="I42" si="5">G42*H42</f>
        <v>16128.01711852743</v>
      </c>
      <c r="M42" s="279"/>
      <c r="N42" s="280"/>
      <c r="O42" s="280"/>
      <c r="P42" s="280"/>
      <c r="Q42" s="280"/>
      <c r="R42" s="280"/>
      <c r="S42" s="280"/>
      <c r="T42" s="280"/>
      <c r="U42" s="280"/>
      <c r="V42" s="270"/>
      <c r="W42" s="270"/>
    </row>
    <row r="43" spans="2:23" x14ac:dyDescent="0.25">
      <c r="B43" s="285"/>
      <c r="C43" s="21" t="s">
        <v>178</v>
      </c>
      <c r="D43" s="21"/>
      <c r="E43" s="5"/>
      <c r="F43" s="5"/>
      <c r="G43" s="5"/>
      <c r="H43" s="358"/>
      <c r="I43" s="144">
        <f>-I42</f>
        <v>-16128.01711852743</v>
      </c>
      <c r="M43" s="279"/>
      <c r="N43" s="280"/>
      <c r="O43" s="280"/>
      <c r="P43" s="280"/>
      <c r="Q43" s="280"/>
      <c r="R43" s="280"/>
      <c r="S43" s="280"/>
      <c r="T43" s="280"/>
      <c r="U43" s="280"/>
      <c r="V43" s="270"/>
      <c r="W43" s="270"/>
    </row>
    <row r="44" spans="2:23" ht="15.75" thickBot="1" x14ac:dyDescent="0.3">
      <c r="B44" s="285"/>
      <c r="C44" s="21"/>
      <c r="D44" s="21"/>
      <c r="E44" s="5"/>
      <c r="F44" s="5"/>
      <c r="G44" s="5"/>
      <c r="H44" s="358"/>
      <c r="I44" s="357">
        <f>SUM(I41:I43)</f>
        <v>0</v>
      </c>
      <c r="M44" s="279"/>
      <c r="N44" s="280"/>
      <c r="O44" s="280"/>
      <c r="P44" s="280"/>
      <c r="Q44" s="280"/>
      <c r="R44" s="280"/>
      <c r="S44" s="280"/>
      <c r="T44" s="280"/>
      <c r="U44" s="280"/>
      <c r="V44" s="270"/>
      <c r="W44" s="270"/>
    </row>
    <row r="45" spans="2:23" x14ac:dyDescent="0.25">
      <c r="B45" s="285"/>
      <c r="E45" s="266"/>
      <c r="F45" s="266"/>
      <c r="G45" s="266"/>
      <c r="H45" s="292"/>
      <c r="I45" s="267"/>
      <c r="M45" s="279"/>
      <c r="N45" s="280"/>
      <c r="O45" s="280"/>
      <c r="P45" s="280"/>
      <c r="Q45" s="280"/>
      <c r="R45" s="280"/>
      <c r="S45" s="280"/>
      <c r="T45" s="280"/>
      <c r="U45" s="280"/>
      <c r="V45" s="270"/>
      <c r="W45" s="270"/>
    </row>
    <row r="46" spans="2:23" x14ac:dyDescent="0.25">
      <c r="B46" s="285"/>
      <c r="E46" s="266"/>
      <c r="F46" s="266"/>
      <c r="G46" s="266"/>
      <c r="H46" s="292"/>
      <c r="I46" s="267"/>
      <c r="M46" s="279"/>
      <c r="N46" s="280"/>
      <c r="O46" s="280"/>
      <c r="P46" s="280"/>
      <c r="Q46" s="280"/>
      <c r="R46" s="280"/>
      <c r="S46" s="280"/>
      <c r="T46" s="280"/>
      <c r="U46" s="280"/>
      <c r="V46" s="270"/>
      <c r="W46" s="270"/>
    </row>
    <row r="47" spans="2:23" x14ac:dyDescent="0.25">
      <c r="B47" s="285"/>
      <c r="E47" s="266"/>
      <c r="F47" s="266"/>
      <c r="G47" s="266"/>
      <c r="H47" s="292"/>
      <c r="I47" s="267"/>
      <c r="M47" s="279"/>
      <c r="N47" s="280"/>
      <c r="O47" s="280"/>
      <c r="P47" s="280"/>
      <c r="Q47" s="280"/>
      <c r="R47" s="280"/>
      <c r="S47" s="280"/>
      <c r="T47" s="280"/>
      <c r="U47" s="280"/>
      <c r="V47" s="270"/>
      <c r="W47" s="270"/>
    </row>
    <row r="48" spans="2:23" ht="15.75" thickBot="1" x14ac:dyDescent="0.3">
      <c r="B48" s="294"/>
      <c r="C48" s="295"/>
      <c r="D48" s="295"/>
      <c r="E48" s="296"/>
      <c r="F48" s="296"/>
      <c r="G48" s="296"/>
      <c r="H48" s="297"/>
      <c r="I48" s="296"/>
      <c r="M48" s="279"/>
      <c r="N48" s="280"/>
      <c r="O48" s="280"/>
      <c r="P48" s="280"/>
      <c r="Q48" s="280"/>
      <c r="R48" s="280"/>
      <c r="S48" s="280"/>
      <c r="T48" s="280"/>
      <c r="U48" s="280"/>
      <c r="V48" s="270"/>
      <c r="W48" s="270"/>
    </row>
    <row r="49" spans="2:29" ht="15" hidden="1" customHeight="1" x14ac:dyDescent="0.25">
      <c r="B49" s="259"/>
      <c r="C49" s="298"/>
      <c r="D49" s="259"/>
      <c r="E49" s="259"/>
      <c r="F49" s="259"/>
      <c r="G49" s="259"/>
      <c r="H49" s="259"/>
      <c r="I49" s="259"/>
      <c r="M49" s="279"/>
      <c r="N49" s="280"/>
      <c r="O49" s="280"/>
      <c r="P49" s="280"/>
      <c r="Q49" s="280"/>
      <c r="R49" s="280"/>
      <c r="S49" s="280"/>
      <c r="T49" s="280"/>
      <c r="U49" s="280"/>
      <c r="V49" s="270"/>
      <c r="W49" s="270"/>
    </row>
    <row r="50" spans="2:29" hidden="1" x14ac:dyDescent="0.25">
      <c r="B50" s="299"/>
      <c r="C50" s="259"/>
      <c r="D50" s="259"/>
      <c r="E50" s="267"/>
      <c r="F50" s="267"/>
      <c r="G50" s="271"/>
      <c r="H50" s="300"/>
      <c r="I50" s="271"/>
      <c r="M50" s="279"/>
      <c r="N50" s="280"/>
      <c r="O50" s="280"/>
      <c r="P50" s="280"/>
      <c r="Q50" s="280"/>
      <c r="R50" s="280"/>
      <c r="S50" s="280"/>
      <c r="T50" s="280"/>
      <c r="U50" s="280"/>
      <c r="V50" s="270"/>
      <c r="W50" s="270"/>
    </row>
    <row r="51" spans="2:29" hidden="1" x14ac:dyDescent="0.25">
      <c r="B51" s="259"/>
      <c r="C51" s="259"/>
      <c r="D51" s="259"/>
      <c r="E51" s="259"/>
      <c r="F51" s="267"/>
      <c r="G51" s="271"/>
      <c r="H51" s="300"/>
      <c r="I51" s="271"/>
      <c r="M51" s="279"/>
      <c r="N51" s="280"/>
      <c r="O51" s="280"/>
      <c r="P51" s="280"/>
      <c r="Q51" s="280"/>
      <c r="R51" s="280"/>
      <c r="S51" s="280"/>
      <c r="T51" s="280"/>
      <c r="U51" s="280"/>
      <c r="V51" s="270"/>
      <c r="W51" s="270"/>
    </row>
    <row r="52" spans="2:29" hidden="1" x14ac:dyDescent="0.25">
      <c r="B52" s="259"/>
      <c r="C52" s="259"/>
      <c r="D52" s="259"/>
      <c r="E52" s="259"/>
      <c r="F52" s="259"/>
      <c r="G52" s="259"/>
      <c r="H52" s="259"/>
      <c r="I52" s="267"/>
      <c r="M52" s="279"/>
      <c r="N52" s="280"/>
      <c r="O52" s="280"/>
      <c r="P52" s="280"/>
      <c r="Q52" s="280"/>
      <c r="R52" s="280"/>
      <c r="S52" s="280"/>
      <c r="T52" s="280"/>
      <c r="U52" s="280"/>
      <c r="V52" s="270"/>
      <c r="W52" s="270"/>
    </row>
    <row r="53" spans="2:29" hidden="1" x14ac:dyDescent="0.25">
      <c r="B53" s="259"/>
      <c r="C53" s="259"/>
      <c r="D53" s="259"/>
      <c r="E53" s="259"/>
      <c r="F53" s="259"/>
      <c r="G53" s="259"/>
      <c r="H53" s="259"/>
      <c r="I53" s="267"/>
      <c r="M53" s="279"/>
      <c r="N53" s="280"/>
      <c r="O53" s="280"/>
      <c r="P53" s="280"/>
      <c r="Q53" s="280"/>
      <c r="R53" s="280"/>
      <c r="S53" s="280"/>
      <c r="T53" s="280"/>
      <c r="U53" s="280"/>
      <c r="V53" s="270"/>
      <c r="W53" s="270"/>
    </row>
    <row r="54" spans="2:29" x14ac:dyDescent="0.25">
      <c r="I54" s="270"/>
      <c r="N54" s="280"/>
      <c r="O54" s="280"/>
      <c r="P54" s="280"/>
      <c r="Q54" s="280"/>
      <c r="R54" s="280"/>
      <c r="S54" s="280"/>
      <c r="T54" s="280"/>
      <c r="U54" s="280"/>
      <c r="V54" s="270"/>
      <c r="W54" s="270"/>
    </row>
    <row r="55" spans="2:29" x14ac:dyDescent="0.25">
      <c r="B55" s="258" t="s">
        <v>162</v>
      </c>
      <c r="E55" s="301" t="s">
        <v>181</v>
      </c>
      <c r="F55" s="301" t="s">
        <v>89</v>
      </c>
      <c r="G55" s="288" t="s">
        <v>62</v>
      </c>
      <c r="N55" s="280"/>
      <c r="O55" s="280"/>
      <c r="P55" s="280"/>
      <c r="Q55" s="280"/>
      <c r="R55" s="280"/>
      <c r="S55" s="280"/>
      <c r="T55" s="280"/>
      <c r="U55" s="280"/>
      <c r="V55" s="270"/>
      <c r="W55" s="270"/>
    </row>
    <row r="56" spans="2:29" x14ac:dyDescent="0.25">
      <c r="C56" s="257" t="s">
        <v>141</v>
      </c>
      <c r="E56" s="268"/>
      <c r="L56" s="259"/>
      <c r="M56" s="259"/>
      <c r="N56" s="259"/>
      <c r="O56" s="259"/>
      <c r="P56" s="259"/>
    </row>
    <row r="57" spans="2:29" x14ac:dyDescent="0.25">
      <c r="C57" s="257" t="s">
        <v>141</v>
      </c>
      <c r="E57" s="268"/>
      <c r="L57" s="302"/>
      <c r="M57" s="259"/>
      <c r="N57" s="259"/>
      <c r="O57" s="259"/>
      <c r="P57" s="259"/>
    </row>
    <row r="58" spans="2:29" x14ac:dyDescent="0.25">
      <c r="C58" s="257" t="s">
        <v>90</v>
      </c>
      <c r="E58" s="303">
        <f>+'Veridian - 2018Nov'!E74</f>
        <v>8859049.6290294901</v>
      </c>
      <c r="F58" s="303">
        <f>'Veridian - 2018Nov'!E74</f>
        <v>8859049.6290294901</v>
      </c>
      <c r="G58" s="303">
        <f>E58-F58</f>
        <v>0</v>
      </c>
      <c r="L58" s="302"/>
      <c r="M58" s="304"/>
      <c r="N58" s="304"/>
      <c r="O58" s="302"/>
      <c r="P58" s="259"/>
    </row>
    <row r="59" spans="2:29" x14ac:dyDescent="0.25">
      <c r="L59" s="305"/>
      <c r="M59" s="306"/>
      <c r="N59" s="307"/>
      <c r="O59" s="307"/>
      <c r="P59" s="259"/>
    </row>
    <row r="60" spans="2:29" x14ac:dyDescent="0.25">
      <c r="C60" s="257" t="s">
        <v>93</v>
      </c>
      <c r="E60" s="268">
        <f>'Veridian - 2018Nov'!E78</f>
        <v>2777231.5806971267</v>
      </c>
      <c r="F60" s="268">
        <f>'Veridian - 2018Nov'!E78</f>
        <v>2777231.5806971267</v>
      </c>
      <c r="G60" s="268">
        <f>E60-F60</f>
        <v>0</v>
      </c>
      <c r="L60" s="308"/>
      <c r="M60" s="308"/>
      <c r="N60" s="308"/>
      <c r="O60" s="308"/>
      <c r="P60" s="259"/>
      <c r="Q60" s="266"/>
      <c r="R60" s="266"/>
      <c r="S60" s="266"/>
      <c r="T60" s="266"/>
      <c r="U60" s="266"/>
      <c r="V60" s="266"/>
      <c r="W60" s="266"/>
      <c r="X60" s="266"/>
      <c r="Y60" s="266"/>
      <c r="Z60" s="266"/>
      <c r="AA60" s="266"/>
      <c r="AB60" s="266"/>
      <c r="AC60" s="266"/>
    </row>
    <row r="61" spans="2:29" ht="15.75" thickBot="1" x14ac:dyDescent="0.3">
      <c r="E61" s="293">
        <f>SUM(E58:E60)</f>
        <v>11636281.209726617</v>
      </c>
      <c r="F61" s="293">
        <f>SUM(F58:F60)</f>
        <v>11636281.209726617</v>
      </c>
      <c r="G61" s="293">
        <f>E61-F61</f>
        <v>0</v>
      </c>
      <c r="L61" s="302"/>
      <c r="M61" s="309"/>
      <c r="N61" s="309"/>
      <c r="O61" s="309"/>
      <c r="P61" s="259"/>
      <c r="Q61" s="310"/>
      <c r="R61" s="310"/>
      <c r="S61" s="310"/>
      <c r="T61" s="310"/>
      <c r="U61" s="310"/>
      <c r="V61" s="310"/>
      <c r="W61" s="310"/>
      <c r="X61" s="310"/>
      <c r="Y61" s="310"/>
      <c r="Z61" s="310"/>
      <c r="AA61" s="310"/>
      <c r="AB61" s="310"/>
      <c r="AC61" s="310"/>
    </row>
    <row r="62" spans="2:29" x14ac:dyDescent="0.25">
      <c r="L62" s="311"/>
      <c r="M62" s="312"/>
      <c r="N62" s="313"/>
      <c r="O62" s="308"/>
      <c r="P62" s="259"/>
      <c r="Q62" s="266"/>
      <c r="R62" s="266"/>
      <c r="S62" s="266"/>
      <c r="T62" s="266"/>
      <c r="U62" s="266"/>
      <c r="V62" s="266"/>
      <c r="W62" s="266"/>
      <c r="X62" s="266"/>
      <c r="Y62" s="266"/>
      <c r="Z62" s="266"/>
      <c r="AA62" s="266"/>
      <c r="AB62" s="266"/>
      <c r="AC62" s="266"/>
    </row>
    <row r="63" spans="2:29" x14ac:dyDescent="0.25">
      <c r="B63" s="258" t="s">
        <v>114</v>
      </c>
      <c r="L63" s="302"/>
      <c r="M63" s="302"/>
      <c r="N63" s="302"/>
      <c r="O63" s="302"/>
      <c r="P63" s="259"/>
    </row>
    <row r="64" spans="2:29" x14ac:dyDescent="0.25">
      <c r="C64" s="21" t="s">
        <v>201</v>
      </c>
      <c r="D64" s="21"/>
      <c r="E64" s="268">
        <f>'Veridian - 2018Nov'!E57</f>
        <v>5422792.3900000006</v>
      </c>
      <c r="F64" s="268">
        <f>'Veridian - 2018Nov'!E57</f>
        <v>5422792.3900000006</v>
      </c>
      <c r="L64" s="397"/>
      <c r="M64" s="398"/>
      <c r="N64" s="398"/>
      <c r="O64" s="398"/>
      <c r="P64" s="259"/>
      <c r="Q64" s="266"/>
      <c r="R64" s="266"/>
      <c r="S64" s="266"/>
      <c r="T64" s="266"/>
      <c r="U64" s="266"/>
      <c r="V64" s="266"/>
      <c r="W64" s="266"/>
      <c r="X64" s="266"/>
      <c r="Y64" s="266"/>
      <c r="Z64" s="266"/>
      <c r="AA64" s="266"/>
      <c r="AB64" s="266"/>
      <c r="AC64" s="266"/>
    </row>
    <row r="65" spans="2:29" ht="15" customHeight="1" x14ac:dyDescent="0.25">
      <c r="C65" s="21" t="s">
        <v>173</v>
      </c>
      <c r="D65" s="21"/>
      <c r="E65" s="268">
        <f>'Veridian - 2018Nov'!E56+'Veridian - 2018Nov'!E62</f>
        <v>67099.22000000003</v>
      </c>
      <c r="F65" s="268">
        <f>'Veridian - 2018Nov'!E56+'Veridian - 2018Nov'!E62</f>
        <v>67099.22000000003</v>
      </c>
      <c r="L65" s="398"/>
      <c r="M65" s="398"/>
      <c r="N65" s="398"/>
      <c r="O65" s="398"/>
      <c r="Q65" s="310"/>
      <c r="R65" s="310"/>
      <c r="S65" s="310"/>
      <c r="T65" s="310"/>
      <c r="U65" s="310"/>
      <c r="V65" s="310"/>
      <c r="W65" s="310"/>
      <c r="X65" s="310"/>
      <c r="Y65" s="310"/>
      <c r="Z65" s="310"/>
      <c r="AA65" s="310"/>
      <c r="AB65" s="310"/>
      <c r="AC65" s="310"/>
    </row>
    <row r="66" spans="2:29" x14ac:dyDescent="0.25">
      <c r="C66" s="21" t="s">
        <v>141</v>
      </c>
      <c r="D66" s="21"/>
      <c r="E66" s="268">
        <f>E57</f>
        <v>0</v>
      </c>
      <c r="F66" s="268"/>
      <c r="L66" s="365"/>
      <c r="M66" s="366"/>
      <c r="N66" s="366"/>
      <c r="O66" s="366"/>
      <c r="Q66" s="266"/>
      <c r="R66" s="266"/>
      <c r="S66" s="266"/>
      <c r="T66" s="266"/>
      <c r="U66" s="266"/>
      <c r="V66" s="266"/>
      <c r="W66" s="266"/>
      <c r="X66" s="266"/>
      <c r="Y66" s="266"/>
      <c r="Z66" s="266"/>
      <c r="AA66" s="266"/>
      <c r="AB66" s="266"/>
      <c r="AC66" s="266"/>
    </row>
    <row r="67" spans="2:29" x14ac:dyDescent="0.25">
      <c r="C67" s="21" t="s">
        <v>95</v>
      </c>
      <c r="D67" s="21"/>
      <c r="E67" s="268"/>
      <c r="F67" s="268">
        <f>'Veridian - 2018Nov'!E59</f>
        <v>10485464.084036494</v>
      </c>
      <c r="L67" s="367"/>
      <c r="M67" s="368"/>
      <c r="N67" s="369"/>
      <c r="O67" s="369"/>
    </row>
    <row r="68" spans="2:29" ht="15.75" thickBot="1" x14ac:dyDescent="0.3">
      <c r="C68" s="21" t="s">
        <v>203</v>
      </c>
      <c r="D68" s="21"/>
      <c r="E68" s="268">
        <f>+'Veridian 2018 RPP 1st TU'!H47-'Veridian 2018 RPP 1st TU'!I47</f>
        <v>6178142.7837935649</v>
      </c>
      <c r="F68" s="268">
        <f>'Veridian 2018 RPP 1st TU'!K23</f>
        <v>-4315078.9576960644</v>
      </c>
      <c r="L68" s="370"/>
      <c r="M68" s="370"/>
      <c r="N68" s="371"/>
      <c r="O68" s="371"/>
    </row>
    <row r="69" spans="2:29" ht="15" customHeight="1" x14ac:dyDescent="0.25">
      <c r="C69" s="21" t="s">
        <v>200</v>
      </c>
      <c r="D69" s="21"/>
      <c r="E69" s="268">
        <f>+I33-I39</f>
        <v>-7757.6574531374044</v>
      </c>
      <c r="F69" s="268"/>
      <c r="I69" s="393" t="s">
        <v>179</v>
      </c>
      <c r="L69" s="365"/>
      <c r="M69" s="372"/>
      <c r="N69" s="372"/>
      <c r="O69" s="372"/>
      <c r="Q69" s="314"/>
    </row>
    <row r="70" spans="2:29" ht="15.75" thickBot="1" x14ac:dyDescent="0.3">
      <c r="E70" s="293">
        <f>SUM(E64:E69)</f>
        <v>11660276.736340428</v>
      </c>
      <c r="F70" s="293">
        <f>SUM(F64:F69)</f>
        <v>11660276.73634043</v>
      </c>
      <c r="G70" s="293">
        <f>E70-F70</f>
        <v>0</v>
      </c>
      <c r="H70" s="285"/>
      <c r="I70" s="394"/>
      <c r="L70" s="373"/>
      <c r="M70" s="374"/>
      <c r="N70" s="371"/>
      <c r="O70" s="371"/>
    </row>
    <row r="71" spans="2:29" x14ac:dyDescent="0.25">
      <c r="I71" s="315">
        <v>5.0000000000000001E-3</v>
      </c>
      <c r="L71" s="362"/>
      <c r="M71" s="73"/>
      <c r="N71" s="75"/>
      <c r="O71" s="73"/>
      <c r="P71" s="259"/>
      <c r="Q71" s="259"/>
      <c r="R71" s="259"/>
    </row>
    <row r="72" spans="2:29" ht="15.75" thickBot="1" x14ac:dyDescent="0.3">
      <c r="B72" s="316" t="s">
        <v>169</v>
      </c>
      <c r="C72" s="316"/>
      <c r="D72" s="316"/>
      <c r="E72" s="317">
        <f>E70-E61</f>
        <v>23995.526613811031</v>
      </c>
      <c r="F72" s="317">
        <f>F70-F61</f>
        <v>23995.526613812894</v>
      </c>
      <c r="G72" s="317">
        <f>ROUND(E72-F72,0)</f>
        <v>0</v>
      </c>
      <c r="I72" s="318">
        <f>I71*F70</f>
        <v>58301.383681702151</v>
      </c>
      <c r="J72" s="267"/>
      <c r="L72" s="144"/>
      <c r="M72" s="73"/>
      <c r="N72" s="363"/>
      <c r="O72" s="364"/>
      <c r="P72" s="259"/>
      <c r="Q72" s="259"/>
      <c r="R72" s="259"/>
    </row>
    <row r="73" spans="2:29" ht="16.5" thickTop="1" thickBot="1" x14ac:dyDescent="0.3">
      <c r="B73" s="338" t="s">
        <v>202</v>
      </c>
      <c r="I73" s="359" t="str">
        <f>IF(ABS(E69)&lt;ABS(I72),"Not Applicable","Review")</f>
        <v>Not Applicable</v>
      </c>
      <c r="J73" s="267"/>
      <c r="L73" s="267"/>
      <c r="M73" s="259"/>
      <c r="N73" s="267"/>
      <c r="O73" s="259"/>
      <c r="P73" s="259"/>
      <c r="Q73" s="259"/>
      <c r="R73" s="259"/>
    </row>
    <row r="74" spans="2:29" x14ac:dyDescent="0.25">
      <c r="B74" s="298"/>
      <c r="C74" s="259"/>
      <c r="D74" s="259"/>
      <c r="E74" s="259"/>
      <c r="F74" s="259"/>
      <c r="G74" s="267"/>
      <c r="I74" s="21"/>
      <c r="L74" s="271"/>
      <c r="M74" s="259"/>
      <c r="N74" s="271"/>
      <c r="O74" s="259"/>
      <c r="P74" s="267"/>
      <c r="Q74" s="259"/>
      <c r="R74" s="267"/>
    </row>
    <row r="75" spans="2:29" hidden="1" x14ac:dyDescent="0.25">
      <c r="B75" s="299"/>
      <c r="C75" s="259"/>
      <c r="D75" s="259"/>
      <c r="E75" s="259"/>
      <c r="F75" s="259"/>
      <c r="G75" s="267"/>
      <c r="I75" s="21"/>
      <c r="L75" s="267"/>
      <c r="M75" s="259"/>
      <c r="N75" s="271"/>
      <c r="O75" s="259"/>
      <c r="P75" s="259"/>
      <c r="Q75" s="259"/>
      <c r="R75" s="259"/>
    </row>
    <row r="76" spans="2:29" hidden="1" x14ac:dyDescent="0.25">
      <c r="B76" s="259"/>
      <c r="C76" s="259"/>
      <c r="D76" s="259"/>
      <c r="E76" s="259"/>
      <c r="F76" s="259"/>
      <c r="G76" s="267"/>
      <c r="I76" s="21"/>
      <c r="L76" s="259"/>
      <c r="M76" s="259"/>
      <c r="N76" s="267"/>
      <c r="O76" s="259"/>
      <c r="P76" s="259"/>
      <c r="Q76" s="259"/>
      <c r="R76" s="267"/>
    </row>
    <row r="77" spans="2:29" hidden="1" x14ac:dyDescent="0.25">
      <c r="B77" s="259"/>
      <c r="C77" s="259"/>
      <c r="D77" s="259"/>
      <c r="E77" s="259"/>
      <c r="F77" s="259"/>
      <c r="G77" s="267"/>
      <c r="I77" s="21"/>
    </row>
    <row r="78" spans="2:29" hidden="1" x14ac:dyDescent="0.25">
      <c r="I78" s="21"/>
    </row>
    <row r="79" spans="2:29" hidden="1" x14ac:dyDescent="0.25">
      <c r="F79" s="268"/>
      <c r="I79" s="21"/>
    </row>
    <row r="80" spans="2:29" hidden="1" x14ac:dyDescent="0.25">
      <c r="C80" s="258"/>
      <c r="I80" s="21"/>
    </row>
    <row r="81" spans="1:10" ht="18" customHeight="1" x14ac:dyDescent="0.25">
      <c r="B81" s="258" t="s">
        <v>80</v>
      </c>
      <c r="E81" s="301" t="str">
        <f>E55</f>
        <v>EV Method</v>
      </c>
      <c r="F81" s="301" t="s">
        <v>89</v>
      </c>
      <c r="G81" s="288" t="s">
        <v>62</v>
      </c>
      <c r="I81" s="21"/>
    </row>
    <row r="82" spans="1:10" x14ac:dyDescent="0.25">
      <c r="C82" s="257" t="s">
        <v>109</v>
      </c>
      <c r="E82" s="268">
        <f>'Veridian - 2018Nov'!E81+'Veridian - 2018Nov'!E80</f>
        <v>7614807.0305450996</v>
      </c>
      <c r="F82" s="268">
        <f>'Veridian - 2018Nov'!E81+'Veridian - 2018Nov'!E80</f>
        <v>7614807.0305450996</v>
      </c>
      <c r="G82" s="259"/>
      <c r="H82" s="259"/>
      <c r="I82" s="21"/>
    </row>
    <row r="83" spans="1:10" x14ac:dyDescent="0.25">
      <c r="C83" s="257" t="s">
        <v>99</v>
      </c>
      <c r="E83" s="268">
        <f>'Veridian - 2018Nov'!E79</f>
        <v>2911796</v>
      </c>
      <c r="F83" s="268">
        <f>'Veridian - 2018Nov'!E79</f>
        <v>2911796</v>
      </c>
      <c r="G83" s="259"/>
      <c r="H83" s="319"/>
      <c r="I83" s="21"/>
    </row>
    <row r="84" spans="1:10" ht="15.75" thickBot="1" x14ac:dyDescent="0.3">
      <c r="C84" s="257" t="s">
        <v>96</v>
      </c>
      <c r="E84" s="293">
        <f>SUM(E82:E83)</f>
        <v>10526603.030545101</v>
      </c>
      <c r="F84" s="293">
        <f>SUM(F82:F83)</f>
        <v>10526603.030545101</v>
      </c>
      <c r="G84" s="293">
        <f>E84-F84</f>
        <v>0</v>
      </c>
      <c r="H84" s="319"/>
      <c r="I84" s="46"/>
    </row>
    <row r="85" spans="1:10" x14ac:dyDescent="0.25">
      <c r="E85" s="267"/>
      <c r="F85" s="267"/>
      <c r="G85" s="268"/>
      <c r="H85" s="319"/>
      <c r="I85" s="46"/>
    </row>
    <row r="86" spans="1:10" x14ac:dyDescent="0.25">
      <c r="B86" s="257" t="s">
        <v>115</v>
      </c>
      <c r="E86" s="271"/>
      <c r="F86" s="269"/>
      <c r="G86" s="259"/>
      <c r="H86" s="319"/>
      <c r="I86" s="21"/>
    </row>
    <row r="87" spans="1:10" ht="15.75" thickBot="1" x14ac:dyDescent="0.3">
      <c r="C87" s="257" t="s">
        <v>97</v>
      </c>
      <c r="E87" s="271">
        <f>'Veridian - 2018Nov'!E58</f>
        <v>2911796</v>
      </c>
      <c r="F87" s="268">
        <f>'Veridian - 2018Nov'!E58</f>
        <v>2911796</v>
      </c>
      <c r="G87" s="259"/>
      <c r="H87" s="319"/>
      <c r="I87" s="21"/>
    </row>
    <row r="88" spans="1:10" x14ac:dyDescent="0.25">
      <c r="C88" s="257" t="s">
        <v>98</v>
      </c>
      <c r="E88" s="271">
        <f>+'Veridian - 2018Nov'!E59+'Veridian - 2018Nov'!E60</f>
        <v>16681477.97137782</v>
      </c>
      <c r="F88" s="268">
        <f>'Veridian - 2018Nov'!E60</f>
        <v>6196013.887341327</v>
      </c>
      <c r="G88" s="259"/>
      <c r="H88" s="319"/>
      <c r="I88" s="395" t="s">
        <v>179</v>
      </c>
    </row>
    <row r="89" spans="1:10" x14ac:dyDescent="0.25">
      <c r="C89" s="21" t="s">
        <v>203</v>
      </c>
      <c r="E89" s="271">
        <f>-'Veridian 2018 RPP 1st TU'!J47</f>
        <v>-10501592.10115502</v>
      </c>
      <c r="F89" s="268"/>
      <c r="G89" s="259"/>
      <c r="H89" s="319"/>
      <c r="I89" s="396"/>
    </row>
    <row r="90" spans="1:10" x14ac:dyDescent="0.25">
      <c r="C90" s="21" t="s">
        <v>200</v>
      </c>
      <c r="E90" s="271">
        <f>-I43</f>
        <v>16128.01711852743</v>
      </c>
      <c r="F90" s="268"/>
      <c r="G90" s="259"/>
      <c r="H90" s="319"/>
      <c r="I90" s="396"/>
    </row>
    <row r="91" spans="1:10" ht="15.75" thickBot="1" x14ac:dyDescent="0.3">
      <c r="C91" s="257" t="s">
        <v>100</v>
      </c>
      <c r="E91" s="293">
        <f>SUM(E87:E90)</f>
        <v>9107809.8873413261</v>
      </c>
      <c r="F91" s="293">
        <f>SUM(F87:F88)</f>
        <v>9107809.887341328</v>
      </c>
      <c r="G91" s="293">
        <f>E91-F91</f>
        <v>0</v>
      </c>
      <c r="H91" s="320"/>
      <c r="I91" s="396"/>
    </row>
    <row r="92" spans="1:10" x14ac:dyDescent="0.25">
      <c r="G92" s="259"/>
      <c r="H92" s="319"/>
      <c r="I92" s="360">
        <v>5.0000000000000001E-3</v>
      </c>
    </row>
    <row r="93" spans="1:10" ht="15.75" thickBot="1" x14ac:dyDescent="0.3">
      <c r="B93" s="316" t="s">
        <v>160</v>
      </c>
      <c r="C93" s="316"/>
      <c r="D93" s="316"/>
      <c r="E93" s="317">
        <f>E91-E84</f>
        <v>-1418793.1432037745</v>
      </c>
      <c r="F93" s="317">
        <f>F91-F84</f>
        <v>-1418793.1432037726</v>
      </c>
      <c r="G93" s="317">
        <f>E93-F93</f>
        <v>-1.862645149230957E-9</v>
      </c>
      <c r="H93" s="319"/>
      <c r="I93" s="361">
        <f>I92*F91</f>
        <v>45539.049436706642</v>
      </c>
      <c r="J93" s="267"/>
    </row>
    <row r="94" spans="1:10" ht="16.5" thickTop="1" thickBot="1" x14ac:dyDescent="0.3">
      <c r="B94" s="338" t="s">
        <v>202</v>
      </c>
      <c r="E94" s="321"/>
      <c r="F94" s="321"/>
      <c r="G94" s="259"/>
      <c r="H94" s="319"/>
      <c r="I94" s="359" t="str">
        <f>IF(ABS(E90)&lt;ABS(I93),"Not Applicable","Review")</f>
        <v>Not Applicable</v>
      </c>
      <c r="J94" s="267"/>
    </row>
    <row r="95" spans="1:10" x14ac:dyDescent="0.25">
      <c r="A95" s="259"/>
      <c r="B95" s="299"/>
      <c r="C95" s="283"/>
      <c r="D95" s="259"/>
      <c r="E95" s="271"/>
      <c r="F95" s="269"/>
      <c r="G95" s="259"/>
      <c r="H95" s="319"/>
      <c r="I95" s="259"/>
    </row>
    <row r="96" spans="1:10" hidden="1" x14ac:dyDescent="0.25">
      <c r="A96" s="259"/>
      <c r="B96" s="259"/>
      <c r="C96" s="259"/>
      <c r="D96" s="259"/>
      <c r="E96" s="269"/>
      <c r="F96" s="269"/>
      <c r="G96" s="269"/>
      <c r="H96" s="269"/>
      <c r="I96" s="269"/>
    </row>
    <row r="97" spans="1:42" hidden="1" x14ac:dyDescent="0.25">
      <c r="A97" s="259"/>
      <c r="B97" s="259"/>
      <c r="C97" s="259"/>
      <c r="D97" s="259"/>
      <c r="E97" s="271"/>
      <c r="F97" s="271"/>
      <c r="G97" s="271"/>
      <c r="H97" s="322"/>
      <c r="I97" s="271"/>
    </row>
    <row r="98" spans="1:42" hidden="1" x14ac:dyDescent="0.25">
      <c r="A98" s="259"/>
      <c r="B98" s="259"/>
      <c r="C98" s="259"/>
      <c r="D98" s="259"/>
      <c r="E98" s="271"/>
      <c r="F98" s="271"/>
      <c r="G98" s="271"/>
      <c r="H98" s="322"/>
      <c r="I98" s="271"/>
    </row>
    <row r="99" spans="1:42" hidden="1" x14ac:dyDescent="0.25">
      <c r="A99" s="259"/>
      <c r="B99" s="259"/>
      <c r="C99" s="259"/>
      <c r="D99" s="259"/>
      <c r="E99" s="271"/>
      <c r="F99" s="271"/>
      <c r="G99" s="271"/>
      <c r="H99" s="291"/>
      <c r="I99" s="271"/>
    </row>
    <row r="100" spans="1:42" hidden="1" x14ac:dyDescent="0.25">
      <c r="B100" s="259"/>
      <c r="C100" s="259"/>
      <c r="D100" s="259"/>
      <c r="E100" s="259"/>
      <c r="F100" s="259"/>
      <c r="G100" s="323"/>
    </row>
    <row r="101" spans="1:42" hidden="1" x14ac:dyDescent="0.25">
      <c r="B101" s="259"/>
      <c r="C101" s="259"/>
      <c r="D101" s="259"/>
      <c r="E101" s="259"/>
      <c r="F101" s="259"/>
      <c r="I101" s="268"/>
    </row>
    <row r="102" spans="1:42" hidden="1" x14ac:dyDescent="0.25">
      <c r="B102" s="259"/>
      <c r="C102" s="259"/>
      <c r="D102" s="259"/>
      <c r="E102" s="259"/>
      <c r="F102" s="259"/>
      <c r="G102" s="324"/>
      <c r="H102" s="325"/>
    </row>
    <row r="103" spans="1:42" ht="15.75" thickBot="1" x14ac:dyDescent="0.3">
      <c r="B103" s="259"/>
      <c r="C103" s="259"/>
      <c r="D103" s="259"/>
      <c r="E103" s="267"/>
      <c r="F103" s="259"/>
      <c r="G103" s="326"/>
      <c r="N103" s="280"/>
      <c r="O103" s="280"/>
      <c r="P103" s="280"/>
      <c r="Q103" s="280"/>
      <c r="R103" s="280"/>
      <c r="S103" s="280"/>
      <c r="T103" s="280"/>
      <c r="V103" s="280"/>
      <c r="X103" s="280"/>
      <c r="Z103" s="280"/>
      <c r="AB103" s="280"/>
      <c r="AE103" s="280"/>
      <c r="AG103" s="280"/>
      <c r="AK103" s="280"/>
      <c r="AL103" s="280"/>
      <c r="AM103" s="280"/>
      <c r="AO103" s="280"/>
      <c r="AP103" s="280"/>
    </row>
    <row r="104" spans="1:42" x14ac:dyDescent="0.25">
      <c r="B104" s="327"/>
      <c r="C104" s="328"/>
      <c r="D104" s="328"/>
      <c r="E104" s="328"/>
      <c r="F104" s="329"/>
      <c r="AO104" s="257" t="s">
        <v>118</v>
      </c>
    </row>
    <row r="105" spans="1:42" x14ac:dyDescent="0.25">
      <c r="B105" s="330" t="s">
        <v>180</v>
      </c>
      <c r="C105" s="259"/>
      <c r="D105" s="259"/>
      <c r="E105" s="259"/>
      <c r="F105" s="331"/>
    </row>
    <row r="106" spans="1:42" x14ac:dyDescent="0.25">
      <c r="B106" s="330" t="str">
        <f>IF(E106&gt;0,"DR","CR")</f>
        <v>CR</v>
      </c>
      <c r="C106" s="259" t="s">
        <v>116</v>
      </c>
      <c r="D106" s="259"/>
      <c r="E106" s="267">
        <f>+E69</f>
        <v>-7757.6574531374044</v>
      </c>
      <c r="F106" s="331"/>
    </row>
    <row r="107" spans="1:42" x14ac:dyDescent="0.25">
      <c r="B107" s="330" t="str">
        <f>IF(E107&gt;0,"DR","CR")</f>
        <v>DR</v>
      </c>
      <c r="C107" s="259" t="s">
        <v>113</v>
      </c>
      <c r="D107" s="259"/>
      <c r="E107" s="267">
        <f>+E90</f>
        <v>16128.01711852743</v>
      </c>
      <c r="F107" s="331"/>
    </row>
    <row r="108" spans="1:42" x14ac:dyDescent="0.25">
      <c r="B108" s="330" t="str">
        <f>IF(E108&gt;0,"DR","CR")</f>
        <v>CR</v>
      </c>
      <c r="C108" s="73" t="s">
        <v>204</v>
      </c>
      <c r="D108" s="259"/>
      <c r="E108" s="267">
        <f>+E12</f>
        <v>-8370.3596653901041</v>
      </c>
      <c r="F108" s="332"/>
    </row>
    <row r="109" spans="1:42" ht="15.75" thickBot="1" x14ac:dyDescent="0.3">
      <c r="B109" s="333"/>
      <c r="C109" s="295"/>
      <c r="D109" s="295"/>
      <c r="E109" s="295"/>
      <c r="F109" s="334"/>
      <c r="G109" s="266"/>
      <c r="I109" s="270"/>
    </row>
    <row r="112" spans="1:42" x14ac:dyDescent="0.25">
      <c r="E112" s="268"/>
      <c r="F112" s="268"/>
    </row>
    <row r="115" spans="5:7" x14ac:dyDescent="0.25">
      <c r="E115" s="268"/>
      <c r="F115" s="268"/>
      <c r="G115" s="268"/>
    </row>
    <row r="117" spans="5:7" x14ac:dyDescent="0.25">
      <c r="F117" s="266"/>
    </row>
    <row r="119" spans="5:7" x14ac:dyDescent="0.25">
      <c r="E119" s="266"/>
      <c r="F119" s="268"/>
    </row>
    <row r="121" spans="5:7" x14ac:dyDescent="0.25">
      <c r="E121" s="268"/>
      <c r="F121" s="268"/>
    </row>
    <row r="124" spans="5:7" x14ac:dyDescent="0.25">
      <c r="E124" s="268"/>
      <c r="F124" s="335"/>
      <c r="G124" s="268"/>
    </row>
    <row r="125" spans="5:7" x14ac:dyDescent="0.25">
      <c r="E125" s="268"/>
      <c r="F125" s="336"/>
      <c r="G125" s="268"/>
    </row>
    <row r="126" spans="5:7" x14ac:dyDescent="0.25">
      <c r="F126" s="337"/>
    </row>
    <row r="129" spans="5:7" x14ac:dyDescent="0.25">
      <c r="E129" s="268"/>
      <c r="F129" s="336"/>
      <c r="G129" s="268"/>
    </row>
    <row r="130" spans="5:7" x14ac:dyDescent="0.25">
      <c r="E130" s="268"/>
      <c r="F130" s="335"/>
      <c r="G130" s="268"/>
    </row>
    <row r="131" spans="5:7" x14ac:dyDescent="0.25">
      <c r="G131" s="268"/>
    </row>
  </sheetData>
  <mergeCells count="3">
    <mergeCell ref="I69:I70"/>
    <mergeCell ref="I88:I91"/>
    <mergeCell ref="L64:O65"/>
  </mergeCells>
  <pageMargins left="0.2" right="0.2" top="0.25" bottom="0.25" header="0.3" footer="0.3"/>
  <pageSetup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1"/>
  <sheetViews>
    <sheetView showGridLines="0" zoomScaleNormal="100" workbookViewId="0">
      <selection activeCell="C31" sqref="C31:D31"/>
    </sheetView>
  </sheetViews>
  <sheetFormatPr defaultRowHeight="15" x14ac:dyDescent="0.25"/>
  <cols>
    <col min="1" max="1" width="16.42578125" customWidth="1"/>
    <col min="2" max="2" width="15.7109375" customWidth="1"/>
    <col min="3" max="5" width="13.7109375" customWidth="1"/>
    <col min="6" max="9" width="13.28515625" customWidth="1"/>
    <col min="10" max="10" width="25.42578125" customWidth="1"/>
    <col min="11" max="11" width="37.28515625" style="120" customWidth="1"/>
    <col min="12" max="12" width="18" style="120" bestFit="1" customWidth="1"/>
    <col min="13" max="14" width="12.7109375" style="120" customWidth="1"/>
  </cols>
  <sheetData>
    <row r="1" spans="1:14" ht="26.25" x14ac:dyDescent="0.4">
      <c r="A1" s="405" t="s">
        <v>174</v>
      </c>
      <c r="B1" s="405"/>
      <c r="C1" s="405"/>
      <c r="D1" s="405"/>
      <c r="E1" s="405"/>
      <c r="F1" s="405"/>
      <c r="G1" s="405"/>
      <c r="H1" s="405"/>
      <c r="I1" s="405"/>
      <c r="J1" s="119"/>
    </row>
    <row r="2" spans="1:14" ht="26.25" x14ac:dyDescent="0.4">
      <c r="A2" s="121"/>
      <c r="B2" s="121"/>
      <c r="C2" s="121"/>
      <c r="D2" s="121"/>
      <c r="E2" s="121"/>
      <c r="F2" s="121"/>
      <c r="G2" s="121"/>
      <c r="H2" s="121"/>
      <c r="I2" s="121"/>
      <c r="J2" s="119"/>
    </row>
    <row r="3" spans="1:14" x14ac:dyDescent="0.25">
      <c r="A3" s="2" t="s">
        <v>119</v>
      </c>
      <c r="I3" s="3"/>
    </row>
    <row r="4" spans="1:14" ht="29.45" customHeight="1" thickBot="1" x14ac:dyDescent="0.3">
      <c r="A4" s="406" t="s">
        <v>120</v>
      </c>
      <c r="B4" s="407"/>
      <c r="C4" s="408"/>
      <c r="D4" s="409" t="s">
        <v>121</v>
      </c>
      <c r="E4" s="410"/>
      <c r="F4" s="411" t="s">
        <v>122</v>
      </c>
      <c r="G4" s="412"/>
      <c r="I4" s="13"/>
    </row>
    <row r="5" spans="1:14" ht="30.75" thickBot="1" x14ac:dyDescent="0.3">
      <c r="A5" s="122" t="s">
        <v>123</v>
      </c>
      <c r="B5" s="123" t="s">
        <v>124</v>
      </c>
      <c r="C5" s="123" t="s">
        <v>125</v>
      </c>
      <c r="D5" s="124" t="s">
        <v>103</v>
      </c>
      <c r="E5" s="125" t="s">
        <v>36</v>
      </c>
      <c r="F5" s="126" t="s">
        <v>126</v>
      </c>
      <c r="G5" s="125" t="s">
        <v>36</v>
      </c>
      <c r="I5" s="13"/>
      <c r="K5" s="127"/>
      <c r="L5" s="128"/>
      <c r="M5" s="129"/>
    </row>
    <row r="6" spans="1:14" x14ac:dyDescent="0.25">
      <c r="A6" s="130" t="s">
        <v>127</v>
      </c>
      <c r="B6" s="131">
        <f>'Veridian - 2018Nov'!D28</f>
        <v>106151640.17600161</v>
      </c>
      <c r="C6" s="131">
        <f>'Veridian - 2018Nov'!E28</f>
        <v>106151640.17600161</v>
      </c>
      <c r="D6" s="132">
        <f>'Veridian 2018 RPP 1st TU'!B23</f>
        <v>8.3456549652374673E-2</v>
      </c>
      <c r="E6" s="131">
        <f>C6*D6</f>
        <v>8859049.6290294882</v>
      </c>
      <c r="F6" s="133"/>
      <c r="G6" s="133"/>
      <c r="I6" s="3"/>
      <c r="K6" s="127"/>
      <c r="L6" s="128"/>
      <c r="M6" s="129"/>
    </row>
    <row r="7" spans="1:14" s="120" customFormat="1" x14ac:dyDescent="0.25">
      <c r="A7" s="130" t="s">
        <v>128</v>
      </c>
      <c r="B7" s="134">
        <v>0</v>
      </c>
      <c r="C7" s="134">
        <f>-'Veridian - 2018Nov'!D8</f>
        <v>49628346</v>
      </c>
      <c r="D7" s="135">
        <f>'Veridian - 2018Nov'!C88</f>
        <v>2.4718384002408313E-2</v>
      </c>
      <c r="E7" s="134">
        <f>+C7*D7</f>
        <v>1226732.5138323845</v>
      </c>
      <c r="F7" s="136"/>
      <c r="G7" s="134">
        <f>'Veridian - 2018Nov'!E79</f>
        <v>2911796</v>
      </c>
      <c r="I7"/>
      <c r="J7"/>
      <c r="K7" s="127"/>
      <c r="L7" s="127"/>
      <c r="N7" s="127"/>
    </row>
    <row r="8" spans="1:14" s="120" customFormat="1" x14ac:dyDescent="0.25">
      <c r="A8" s="130" t="s">
        <v>129</v>
      </c>
      <c r="B8" s="349">
        <f>+'Veridian - 2018Nov'!D80</f>
        <v>2512056.31</v>
      </c>
      <c r="C8" s="349"/>
      <c r="D8" s="350"/>
      <c r="E8" s="349"/>
      <c r="F8" s="350">
        <f>+'Veridian - 2018Nov'!C50</f>
        <v>9.8550989249746077E-2</v>
      </c>
      <c r="G8" s="349">
        <f>+B8*F8</f>
        <v>247565.63440156681</v>
      </c>
      <c r="H8" s="375" t="s">
        <v>206</v>
      </c>
      <c r="I8" s="416">
        <f>(G8+G9)/(B8+B9)</f>
        <v>0.12139690357396311</v>
      </c>
      <c r="J8"/>
      <c r="K8" s="127"/>
      <c r="L8" s="127"/>
      <c r="N8" s="127"/>
    </row>
    <row r="9" spans="1:14" s="120" customFormat="1" ht="15.75" thickBot="1" x14ac:dyDescent="0.3">
      <c r="A9" s="130" t="s">
        <v>129</v>
      </c>
      <c r="B9" s="137">
        <f>'Veridian - 2018Nov'!D29-B8</f>
        <v>60214498.415975481</v>
      </c>
      <c r="C9" s="137">
        <f>'Veridian - 2018Nov'!D29</f>
        <v>62726554.725975484</v>
      </c>
      <c r="D9" s="138">
        <f>'Veridian - 2018Nov'!C88</f>
        <v>2.4718384002408313E-2</v>
      </c>
      <c r="E9" s="137">
        <f>+D9*C9</f>
        <v>1550499.066864742</v>
      </c>
      <c r="F9" s="138">
        <f>'Veridian - 2018Nov'!C47</f>
        <v>0.12235</v>
      </c>
      <c r="G9" s="137">
        <f>B9*F9</f>
        <v>7367243.8811945999</v>
      </c>
      <c r="H9" s="375" t="s">
        <v>207</v>
      </c>
      <c r="I9" s="416"/>
      <c r="J9"/>
      <c r="N9" s="139"/>
    </row>
    <row r="10" spans="1:14" s="120" customFormat="1" ht="15.75" thickBot="1" x14ac:dyDescent="0.3">
      <c r="A10" s="136"/>
      <c r="B10" s="140">
        <f>SUM(B6:B9)</f>
        <v>168878194.90197709</v>
      </c>
      <c r="C10" s="140">
        <f>SUM(C6:C9)</f>
        <v>218506540.90197709</v>
      </c>
      <c r="D10" s="141"/>
      <c r="E10" s="339">
        <f>SUM(E6:E9)</f>
        <v>11636281.209726615</v>
      </c>
      <c r="F10" s="141"/>
      <c r="G10" s="339">
        <f>SUM(G6:G9)</f>
        <v>10526605.515596166</v>
      </c>
      <c r="I10"/>
      <c r="J10"/>
      <c r="K10" s="127"/>
      <c r="L10" s="142"/>
      <c r="M10" s="143"/>
    </row>
    <row r="11" spans="1:14" s="120" customFormat="1" ht="15.75" thickTop="1" x14ac:dyDescent="0.25">
      <c r="A11" s="3"/>
      <c r="B11" s="18"/>
      <c r="C11" s="18"/>
      <c r="D11" s="3"/>
      <c r="E11" s="144"/>
      <c r="F11" s="73"/>
      <c r="G11" s="144"/>
      <c r="I11"/>
      <c r="J11"/>
      <c r="K11" s="127"/>
      <c r="L11" s="142"/>
      <c r="M11" s="143"/>
    </row>
    <row r="12" spans="1:14" ht="15.75" thickBot="1" x14ac:dyDescent="0.3">
      <c r="A12" s="2" t="s">
        <v>130</v>
      </c>
      <c r="K12" s="127"/>
      <c r="L12" s="128"/>
      <c r="M12" s="143"/>
    </row>
    <row r="13" spans="1:14" s="120" customFormat="1" ht="16.5" thickBot="1" x14ac:dyDescent="0.3">
      <c r="A13" s="145"/>
      <c r="B13" s="146"/>
      <c r="C13" s="147"/>
      <c r="D13" s="413" t="s">
        <v>131</v>
      </c>
      <c r="E13" s="414"/>
      <c r="F13" s="414"/>
      <c r="G13" s="414"/>
      <c r="H13" s="414"/>
      <c r="I13" s="415"/>
      <c r="N13" s="139"/>
    </row>
    <row r="14" spans="1:14" s="120" customFormat="1" ht="29.45" customHeight="1" thickBot="1" x14ac:dyDescent="0.3">
      <c r="A14" s="399" t="s">
        <v>120</v>
      </c>
      <c r="B14" s="400"/>
      <c r="C14" s="401"/>
      <c r="D14" s="402" t="s">
        <v>132</v>
      </c>
      <c r="E14" s="403"/>
      <c r="F14" s="402" t="s">
        <v>133</v>
      </c>
      <c r="G14" s="404"/>
      <c r="H14" s="148" t="s">
        <v>134</v>
      </c>
      <c r="I14" s="149" t="s">
        <v>135</v>
      </c>
    </row>
    <row r="15" spans="1:14" s="120" customFormat="1" ht="48" customHeight="1" thickBot="1" x14ac:dyDescent="0.3">
      <c r="A15" s="122" t="s">
        <v>123</v>
      </c>
      <c r="B15" s="123" t="s">
        <v>136</v>
      </c>
      <c r="C15" s="123" t="s">
        <v>137</v>
      </c>
      <c r="D15" s="126" t="s">
        <v>138</v>
      </c>
      <c r="E15" s="125" t="s">
        <v>36</v>
      </c>
      <c r="F15" s="126" t="s">
        <v>139</v>
      </c>
      <c r="G15" s="125" t="s">
        <v>36</v>
      </c>
      <c r="H15" s="148" t="s">
        <v>36</v>
      </c>
      <c r="I15" s="150" t="s">
        <v>36</v>
      </c>
    </row>
    <row r="16" spans="1:14" s="120" customFormat="1" x14ac:dyDescent="0.25">
      <c r="A16" s="151" t="s">
        <v>140</v>
      </c>
      <c r="B16" s="152">
        <f>'Veridian - 2018Nov'!D11</f>
        <v>106396335.1749258</v>
      </c>
      <c r="C16" s="153">
        <f>'Veridian - 2018Nov'!E11</f>
        <v>106396335.1749258</v>
      </c>
      <c r="D16" s="154">
        <f>'Veridian - 2018Nov'!C45</f>
        <v>2.5462210691397102E-2</v>
      </c>
      <c r="E16" s="153">
        <f>C16*D16</f>
        <v>2709085.9030164653</v>
      </c>
      <c r="F16" s="254">
        <f>'Veridian - 2018Nov'!C51</f>
        <v>9.8550989249746077E-2</v>
      </c>
      <c r="G16" s="153">
        <f>B16*F16</f>
        <v>10485464.084036494</v>
      </c>
      <c r="H16" s="155">
        <f>'Veridian 2018 RPP 1st TU'!K23</f>
        <v>-4315078.9576960644</v>
      </c>
      <c r="I16" s="156">
        <f>+E16+G16+H16</f>
        <v>8879471.0293568932</v>
      </c>
      <c r="J16" s="127"/>
      <c r="K16" s="127"/>
    </row>
    <row r="17" spans="1:12" s="120" customFormat="1" x14ac:dyDescent="0.25">
      <c r="A17" s="130" t="s">
        <v>128</v>
      </c>
      <c r="B17" s="157">
        <v>0</v>
      </c>
      <c r="C17" s="158">
        <f>-'Veridian - 2018Nov'!D8</f>
        <v>49628346</v>
      </c>
      <c r="D17" s="159">
        <f>'Veridian - 2018Nov'!C46</f>
        <v>2.4718384002408313E-2</v>
      </c>
      <c r="E17" s="158">
        <f>C17*D17</f>
        <v>1226732.5138323845</v>
      </c>
      <c r="F17" s="159"/>
      <c r="G17" s="158"/>
      <c r="H17" s="160"/>
      <c r="I17" s="161">
        <f>+E17+G17+H17</f>
        <v>1226732.5138323845</v>
      </c>
      <c r="J17" s="127"/>
      <c r="K17" s="162"/>
    </row>
    <row r="18" spans="1:12" s="120" customFormat="1" ht="15.75" thickBot="1" x14ac:dyDescent="0.3">
      <c r="A18" s="130" t="s">
        <v>129</v>
      </c>
      <c r="B18" s="163">
        <f>'Veridian - 2018Nov'!D12</f>
        <v>62871148.575074211</v>
      </c>
      <c r="C18" s="158">
        <f>'Veridian - 2018Nov'!D12</f>
        <v>62871148.575074211</v>
      </c>
      <c r="D18" s="164">
        <f>'Veridian - 2018Nov'!C46</f>
        <v>2.4718384002408313E-2</v>
      </c>
      <c r="E18" s="165">
        <f>C18*D18</f>
        <v>1554073.1931511506</v>
      </c>
      <c r="F18" s="138"/>
      <c r="G18" s="166"/>
      <c r="H18" s="160"/>
      <c r="I18" s="161">
        <f>+E18+G18+H18</f>
        <v>1554073.1931511506</v>
      </c>
      <c r="J18" s="127"/>
    </row>
    <row r="19" spans="1:12" s="120" customFormat="1" ht="15.75" thickBot="1" x14ac:dyDescent="0.3">
      <c r="A19" s="136"/>
      <c r="B19" s="140">
        <f>SUM(B16:B18)</f>
        <v>169267483.75</v>
      </c>
      <c r="C19" s="140">
        <f>SUM(C16:C18)</f>
        <v>218895829.75</v>
      </c>
      <c r="D19" s="140"/>
      <c r="E19" s="140">
        <f>SUM(E16:E18)</f>
        <v>5489891.6100000003</v>
      </c>
      <c r="F19" s="141"/>
      <c r="G19" s="140">
        <f>SUM(G16:G18)</f>
        <v>10485464.084036494</v>
      </c>
      <c r="H19" s="140">
        <f>SUM(H16:H18)</f>
        <v>-4315078.9576960644</v>
      </c>
      <c r="I19" s="339">
        <f>SUM(I16:I18)</f>
        <v>11660276.736340428</v>
      </c>
      <c r="J19" s="127"/>
      <c r="K19" s="127"/>
      <c r="L19" s="127"/>
    </row>
    <row r="20" spans="1:12" s="120" customFormat="1" ht="15.75" thickTop="1" x14ac:dyDescent="0.25">
      <c r="A20"/>
      <c r="B20"/>
      <c r="C20"/>
      <c r="D20"/>
      <c r="E20" s="167"/>
      <c r="F20" s="168"/>
      <c r="G20" s="3"/>
      <c r="H20" s="3"/>
      <c r="I20" s="105"/>
      <c r="J20" s="7" t="s">
        <v>141</v>
      </c>
      <c r="K20" s="127"/>
    </row>
    <row r="21" spans="1:12" s="120" customFormat="1" x14ac:dyDescent="0.25">
      <c r="A21" s="2" t="s">
        <v>142</v>
      </c>
      <c r="B21"/>
      <c r="C21"/>
      <c r="D21"/>
      <c r="E21"/>
      <c r="F21"/>
      <c r="G21"/>
      <c r="H21"/>
      <c r="I21"/>
      <c r="J21"/>
      <c r="K21" s="128"/>
    </row>
    <row r="22" spans="1:12" s="120" customFormat="1" ht="16.149999999999999" customHeight="1" thickBot="1" x14ac:dyDescent="0.3">
      <c r="A22" s="406" t="s">
        <v>120</v>
      </c>
      <c r="B22" s="407"/>
      <c r="C22" s="408"/>
      <c r="D22" s="420" t="s">
        <v>143</v>
      </c>
      <c r="E22" s="421"/>
      <c r="F22" s="169"/>
      <c r="G22" s="170"/>
      <c r="H22" s="170"/>
      <c r="I22" s="170"/>
      <c r="J22" s="170"/>
      <c r="K22" s="139"/>
    </row>
    <row r="23" spans="1:12" s="120" customFormat="1" ht="45" customHeight="1" thickBot="1" x14ac:dyDescent="0.3">
      <c r="A23" s="122" t="s">
        <v>123</v>
      </c>
      <c r="B23" s="123" t="s">
        <v>136</v>
      </c>
      <c r="C23" s="123" t="s">
        <v>137</v>
      </c>
      <c r="D23" s="126" t="s">
        <v>139</v>
      </c>
      <c r="E23" s="171" t="s">
        <v>36</v>
      </c>
      <c r="F23" s="3"/>
      <c r="G23" s="172"/>
      <c r="H23" s="172"/>
      <c r="I23" s="3"/>
      <c r="J23" s="3"/>
    </row>
    <row r="24" spans="1:12" s="120" customFormat="1" x14ac:dyDescent="0.25">
      <c r="A24" s="130" t="s">
        <v>128</v>
      </c>
      <c r="B24" s="173"/>
      <c r="C24" s="158"/>
      <c r="D24" s="159"/>
      <c r="E24" s="158">
        <f>'Veridian - 2018Nov'!E79</f>
        <v>2911796</v>
      </c>
      <c r="F24" s="90"/>
      <c r="G24" s="172"/>
      <c r="H24" s="172"/>
      <c r="I24" s="3"/>
      <c r="J24" s="3"/>
    </row>
    <row r="25" spans="1:12" s="120" customFormat="1" ht="15.75" thickBot="1" x14ac:dyDescent="0.3">
      <c r="A25" s="130" t="s">
        <v>129</v>
      </c>
      <c r="B25" s="173">
        <f>B18</f>
        <v>62871148.575074211</v>
      </c>
      <c r="C25" s="158"/>
      <c r="D25" s="342">
        <f>'Veridian - 2018Nov'!C52</f>
        <v>9.8550989249746077E-2</v>
      </c>
      <c r="E25" s="165">
        <f>+D25*B25</f>
        <v>6196013.887341327</v>
      </c>
      <c r="F25" s="90"/>
      <c r="G25" s="172"/>
      <c r="H25" s="172"/>
      <c r="I25" s="3"/>
      <c r="J25" s="3"/>
    </row>
    <row r="26" spans="1:12" s="120" customFormat="1" ht="15.75" thickBot="1" x14ac:dyDescent="0.3">
      <c r="A26" s="136"/>
      <c r="B26" s="137">
        <f>+B24+B25</f>
        <v>62871148.575074211</v>
      </c>
      <c r="C26" s="137">
        <f>+C24+C25</f>
        <v>0</v>
      </c>
      <c r="D26" s="174"/>
      <c r="E26" s="340">
        <f>+E24+E25</f>
        <v>9107809.887341328</v>
      </c>
      <c r="F26" s="90"/>
      <c r="G26" s="172"/>
      <c r="H26" s="175"/>
      <c r="I26" s="3"/>
      <c r="J26" s="3"/>
      <c r="K26" s="139"/>
    </row>
    <row r="27" spans="1:12" s="120" customFormat="1" x14ac:dyDescent="0.25">
      <c r="A27" s="3"/>
      <c r="B27" s="18"/>
      <c r="C27" s="18"/>
      <c r="D27" s="17"/>
      <c r="E27" s="144"/>
      <c r="F27" s="3"/>
      <c r="G27" s="172"/>
      <c r="H27" s="175"/>
      <c r="I27" s="3"/>
      <c r="J27" s="3"/>
      <c r="K27" s="139"/>
    </row>
    <row r="28" spans="1:12" s="120" customFormat="1" ht="15.75" thickBot="1" x14ac:dyDescent="0.3">
      <c r="A28" s="2" t="s">
        <v>144</v>
      </c>
      <c r="B28" s="17"/>
      <c r="C28" s="18"/>
      <c r="D28" s="3"/>
      <c r="E28"/>
      <c r="F28"/>
      <c r="G28"/>
      <c r="H28" s="7" t="s">
        <v>141</v>
      </c>
      <c r="I28"/>
      <c r="J28"/>
    </row>
    <row r="29" spans="1:12" s="120" customFormat="1" ht="15" customHeight="1" thickBot="1" x14ac:dyDescent="0.3">
      <c r="A29" s="176"/>
      <c r="B29" s="177"/>
      <c r="C29" s="422" t="s">
        <v>145</v>
      </c>
      <c r="D29" s="414"/>
      <c r="E29" s="414"/>
      <c r="F29" s="414"/>
      <c r="G29" s="414"/>
      <c r="H29" s="414"/>
      <c r="I29" s="415"/>
    </row>
    <row r="30" spans="1:12" s="120" customFormat="1" ht="15.75" thickBot="1" x14ac:dyDescent="0.3">
      <c r="A30" s="423"/>
      <c r="B30" s="424"/>
      <c r="C30" s="178"/>
      <c r="D30" s="13"/>
      <c r="E30" s="172"/>
      <c r="F30" s="429"/>
      <c r="G30" s="430"/>
      <c r="H30" s="430"/>
      <c r="I30" s="431"/>
    </row>
    <row r="31" spans="1:12" s="120" customFormat="1" ht="15" customHeight="1" thickBot="1" x14ac:dyDescent="0.3">
      <c r="A31" s="425"/>
      <c r="B31" s="426"/>
      <c r="C31" s="432" t="s">
        <v>209</v>
      </c>
      <c r="D31" s="433"/>
      <c r="E31" s="341">
        <f>+I19-E10</f>
        <v>23995.526613812894</v>
      </c>
      <c r="F31" s="417" t="s">
        <v>146</v>
      </c>
      <c r="G31" s="418"/>
      <c r="H31" s="418"/>
      <c r="I31" s="419"/>
      <c r="J31" s="127"/>
    </row>
    <row r="32" spans="1:12" s="120" customFormat="1" ht="16.5" thickTop="1" thickBot="1" x14ac:dyDescent="0.3">
      <c r="A32" s="427"/>
      <c r="B32" s="428"/>
      <c r="C32" s="179"/>
      <c r="E32" s="180"/>
      <c r="F32" s="434"/>
      <c r="G32" s="435"/>
      <c r="H32" s="435"/>
      <c r="I32" s="436"/>
    </row>
    <row r="33" spans="1:10" s="120" customFormat="1" ht="16.5" thickBot="1" x14ac:dyDescent="0.3">
      <c r="A33" s="122" t="s">
        <v>123</v>
      </c>
      <c r="B33" s="181" t="s">
        <v>147</v>
      </c>
      <c r="C33" s="182" t="s">
        <v>148</v>
      </c>
      <c r="D33" s="183" t="s">
        <v>149</v>
      </c>
      <c r="E33" s="184" t="s">
        <v>86</v>
      </c>
      <c r="F33" s="413" t="s">
        <v>150</v>
      </c>
      <c r="G33" s="414"/>
      <c r="H33" s="414"/>
      <c r="I33" s="415"/>
    </row>
    <row r="34" spans="1:10" s="120" customFormat="1" x14ac:dyDescent="0.25">
      <c r="A34" s="185" t="s">
        <v>127</v>
      </c>
      <c r="B34" s="186" t="s">
        <v>151</v>
      </c>
      <c r="C34" s="187">
        <f>+C16</f>
        <v>106396335.1749258</v>
      </c>
      <c r="D34" s="188">
        <f>((+I16)/C16)-D6</f>
        <v>0</v>
      </c>
      <c r="E34" s="189">
        <f>+C34*D34</f>
        <v>0</v>
      </c>
      <c r="F34" s="418" t="s">
        <v>152</v>
      </c>
      <c r="G34" s="418"/>
      <c r="H34" s="418"/>
      <c r="I34" s="419"/>
    </row>
    <row r="35" spans="1:10" s="120" customFormat="1" x14ac:dyDescent="0.25">
      <c r="A35" s="185" t="s">
        <v>127</v>
      </c>
      <c r="B35" s="186" t="s">
        <v>153</v>
      </c>
      <c r="C35" s="190">
        <f>+C16-C6</f>
        <v>244694.99892419577</v>
      </c>
      <c r="D35" s="191">
        <f>D6</f>
        <v>8.3456549652374673E-2</v>
      </c>
      <c r="E35" s="192">
        <f>+C35*D35</f>
        <v>20421.40032740491</v>
      </c>
      <c r="F35" s="418" t="s">
        <v>154</v>
      </c>
      <c r="G35" s="418"/>
      <c r="H35" s="418"/>
      <c r="I35" s="419"/>
    </row>
    <row r="36" spans="1:10" s="120" customFormat="1" x14ac:dyDescent="0.25">
      <c r="A36" s="193" t="s">
        <v>129</v>
      </c>
      <c r="B36" s="186" t="s">
        <v>155</v>
      </c>
      <c r="C36" s="190">
        <f>+C17+C18</f>
        <v>112499494.57507421</v>
      </c>
      <c r="D36" s="194">
        <f>+D17-D7</f>
        <v>0</v>
      </c>
      <c r="E36" s="192">
        <f>+C36*D36</f>
        <v>0</v>
      </c>
      <c r="F36" s="418" t="s">
        <v>152</v>
      </c>
      <c r="G36" s="418"/>
      <c r="H36" s="418"/>
      <c r="I36" s="419"/>
      <c r="J36" s="195"/>
    </row>
    <row r="37" spans="1:10" s="120" customFormat="1" ht="15.75" thickBot="1" x14ac:dyDescent="0.3">
      <c r="A37" s="185" t="s">
        <v>129</v>
      </c>
      <c r="B37" s="186" t="s">
        <v>153</v>
      </c>
      <c r="C37" s="196">
        <f>(+C18+C17)-(C9+C7)</f>
        <v>144593.84909872711</v>
      </c>
      <c r="D37" s="197">
        <f>+D7</f>
        <v>2.4718384002408313E-2</v>
      </c>
      <c r="E37" s="198">
        <f>+C37*D37</f>
        <v>3574.1262864086179</v>
      </c>
      <c r="F37" s="418" t="s">
        <v>154</v>
      </c>
      <c r="G37" s="418"/>
      <c r="H37" s="418"/>
      <c r="I37" s="419"/>
      <c r="J37" s="195"/>
    </row>
    <row r="38" spans="1:10" s="120" customFormat="1" ht="15.75" thickBot="1" x14ac:dyDescent="0.3">
      <c r="A38" s="199"/>
      <c r="B38" s="136"/>
      <c r="C38" s="200" t="s">
        <v>156</v>
      </c>
      <c r="D38" s="201"/>
      <c r="E38" s="202">
        <f>SUM(E34:E37)</f>
        <v>23995.526613813527</v>
      </c>
      <c r="F38" s="417"/>
      <c r="G38" s="418"/>
      <c r="H38" s="418"/>
      <c r="I38" s="419"/>
    </row>
    <row r="39" spans="1:10" s="120" customFormat="1" ht="15.75" thickTop="1" x14ac:dyDescent="0.25">
      <c r="A39" s="172"/>
      <c r="B39" s="3"/>
      <c r="C39" s="106"/>
      <c r="D39" s="3"/>
      <c r="E39" s="144"/>
      <c r="F39" s="106"/>
      <c r="G39" s="106"/>
      <c r="H39" s="106"/>
      <c r="I39" s="106"/>
    </row>
    <row r="40" spans="1:10" s="120" customFormat="1" ht="15.75" thickBot="1" x14ac:dyDescent="0.3">
      <c r="A40" s="2" t="s">
        <v>157</v>
      </c>
      <c r="B40" s="18"/>
      <c r="C40" s="18"/>
      <c r="D40"/>
      <c r="E40"/>
      <c r="F40"/>
      <c r="G40" s="195"/>
      <c r="H40" s="195"/>
      <c r="I40" s="172"/>
      <c r="J40"/>
    </row>
    <row r="41" spans="1:10" s="120" customFormat="1" ht="16.5" thickBot="1" x14ac:dyDescent="0.3">
      <c r="A41" s="176"/>
      <c r="B41" s="203"/>
      <c r="C41" s="422" t="s">
        <v>158</v>
      </c>
      <c r="D41" s="414"/>
      <c r="E41" s="414"/>
      <c r="F41" s="414" t="s">
        <v>150</v>
      </c>
      <c r="G41" s="414"/>
      <c r="H41" s="414"/>
      <c r="I41" s="415"/>
    </row>
    <row r="42" spans="1:10" s="120" customFormat="1" ht="15.75" thickBot="1" x14ac:dyDescent="0.3">
      <c r="A42" s="423"/>
      <c r="B42" s="424"/>
      <c r="C42" s="204"/>
      <c r="D42" s="13"/>
      <c r="E42" s="3"/>
      <c r="F42" s="434"/>
      <c r="G42" s="435"/>
      <c r="H42" s="435"/>
      <c r="I42" s="436"/>
    </row>
    <row r="43" spans="1:10" s="120" customFormat="1" ht="15" customHeight="1" thickBot="1" x14ac:dyDescent="0.3">
      <c r="A43" s="425"/>
      <c r="B43" s="426"/>
      <c r="C43" s="432" t="s">
        <v>209</v>
      </c>
      <c r="D43" s="433"/>
      <c r="E43" s="341">
        <f>+E26-G10</f>
        <v>-1418795.6282548383</v>
      </c>
      <c r="F43" s="417" t="s">
        <v>146</v>
      </c>
      <c r="G43" s="418"/>
      <c r="H43" s="418"/>
      <c r="I43" s="419"/>
    </row>
    <row r="44" spans="1:10" s="120" customFormat="1" ht="16.5" thickTop="1" thickBot="1" x14ac:dyDescent="0.3">
      <c r="A44" s="427"/>
      <c r="B44" s="428"/>
      <c r="C44" s="179"/>
      <c r="E44" s="180"/>
      <c r="F44" s="434"/>
      <c r="G44" s="435"/>
      <c r="H44" s="435"/>
      <c r="I44" s="436"/>
    </row>
    <row r="45" spans="1:10" s="120" customFormat="1" ht="16.5" thickBot="1" x14ac:dyDescent="0.3">
      <c r="A45" s="122" t="s">
        <v>123</v>
      </c>
      <c r="B45" s="181" t="s">
        <v>147</v>
      </c>
      <c r="C45" s="182" t="s">
        <v>148</v>
      </c>
      <c r="D45" s="183" t="s">
        <v>149</v>
      </c>
      <c r="E45" s="184" t="s">
        <v>86</v>
      </c>
      <c r="F45" s="413" t="s">
        <v>150</v>
      </c>
      <c r="G45" s="414"/>
      <c r="H45" s="414"/>
      <c r="I45" s="415"/>
    </row>
    <row r="46" spans="1:10" s="120" customFormat="1" x14ac:dyDescent="0.25">
      <c r="A46" s="205" t="s">
        <v>129</v>
      </c>
      <c r="B46" s="206" t="s">
        <v>151</v>
      </c>
      <c r="C46" s="376">
        <f>+B25</f>
        <v>62871148.575074211</v>
      </c>
      <c r="D46" s="188">
        <f>+D25-I8</f>
        <v>-2.2845914324217037E-2</v>
      </c>
      <c r="E46" s="207">
        <f>+D46*C46</f>
        <v>-1436348.8738112655</v>
      </c>
      <c r="F46" s="437" t="s">
        <v>159</v>
      </c>
      <c r="G46" s="437"/>
      <c r="H46" s="437"/>
      <c r="I46" s="438"/>
      <c r="J46" s="208"/>
    </row>
    <row r="47" spans="1:10" s="120" customFormat="1" ht="15.75" thickBot="1" x14ac:dyDescent="0.3">
      <c r="A47" s="185" t="s">
        <v>129</v>
      </c>
      <c r="B47" s="186" t="s">
        <v>153</v>
      </c>
      <c r="C47" s="377">
        <f>(+B9+B8)-B25</f>
        <v>-144593.84909872711</v>
      </c>
      <c r="D47" s="378">
        <f>-I8</f>
        <v>-0.12139690357396311</v>
      </c>
      <c r="E47" s="209">
        <f>+C47*D47</f>
        <v>17553.245556426347</v>
      </c>
      <c r="F47" s="439" t="s">
        <v>154</v>
      </c>
      <c r="G47" s="439"/>
      <c r="H47" s="439"/>
      <c r="I47" s="440"/>
      <c r="J47" s="210"/>
    </row>
    <row r="48" spans="1:10" s="120" customFormat="1" ht="15.75" thickBot="1" x14ac:dyDescent="0.3">
      <c r="A48" s="199"/>
      <c r="B48" s="136"/>
      <c r="C48" s="200" t="s">
        <v>156</v>
      </c>
      <c r="D48" s="200"/>
      <c r="E48" s="202">
        <f>SUM(E46:E47)</f>
        <v>-1418795.6282548392</v>
      </c>
      <c r="F48" s="441"/>
      <c r="G48" s="442"/>
      <c r="H48" s="442"/>
      <c r="I48" s="443"/>
    </row>
    <row r="49" spans="1:11" s="120" customFormat="1" ht="15.75" thickTop="1" x14ac:dyDescent="0.25">
      <c r="A49"/>
      <c r="B49" s="73"/>
      <c r="C49"/>
    </row>
    <row r="59" spans="1:11" x14ac:dyDescent="0.25">
      <c r="I59" s="211"/>
      <c r="J59" s="117"/>
      <c r="K59" s="139"/>
    </row>
    <row r="60" spans="1:11" x14ac:dyDescent="0.25">
      <c r="I60" s="211"/>
      <c r="J60" s="117"/>
      <c r="K60" s="139"/>
    </row>
    <row r="61" spans="1:11" x14ac:dyDescent="0.25">
      <c r="I61" s="34"/>
      <c r="J61" s="31"/>
      <c r="K61" s="139"/>
    </row>
  </sheetData>
  <mergeCells count="33">
    <mergeCell ref="F45:I45"/>
    <mergeCell ref="F46:I46"/>
    <mergeCell ref="F47:I47"/>
    <mergeCell ref="F48:I48"/>
    <mergeCell ref="C41:I41"/>
    <mergeCell ref="A42:B44"/>
    <mergeCell ref="F42:I42"/>
    <mergeCell ref="C43:D43"/>
    <mergeCell ref="F43:I43"/>
    <mergeCell ref="F44:I44"/>
    <mergeCell ref="F38:I38"/>
    <mergeCell ref="A22:C22"/>
    <mergeCell ref="D22:E22"/>
    <mergeCell ref="C29:I29"/>
    <mergeCell ref="A30:B32"/>
    <mergeCell ref="F30:I30"/>
    <mergeCell ref="C31:D31"/>
    <mergeCell ref="F31:I31"/>
    <mergeCell ref="F32:I32"/>
    <mergeCell ref="F33:I33"/>
    <mergeCell ref="F34:I34"/>
    <mergeCell ref="F35:I35"/>
    <mergeCell ref="F36:I36"/>
    <mergeCell ref="F37:I37"/>
    <mergeCell ref="A14:C14"/>
    <mergeCell ref="D14:E14"/>
    <mergeCell ref="F14:G14"/>
    <mergeCell ref="A1:I1"/>
    <mergeCell ref="A4:C4"/>
    <mergeCell ref="D4:E4"/>
    <mergeCell ref="F4:G4"/>
    <mergeCell ref="D13:I13"/>
    <mergeCell ref="I8:I9"/>
  </mergeCells>
  <pageMargins left="0.7" right="0.7" top="0.75" bottom="0.75" header="0.3" footer="0.3"/>
  <pageSetup paperSize="17"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Veridian - 2018Nov</vt:lpstr>
      <vt:lpstr>Veridian 2018 RPP 1st TU</vt:lpstr>
      <vt:lpstr>Ver Settlement Comparison</vt:lpstr>
      <vt:lpstr>Final RSVA Balances</vt:lpstr>
      <vt:lpstr>'Ver Settlement Comparison'!Print_Area</vt:lpstr>
      <vt:lpstr>'Veridian - 2018Nov'!Print_Area</vt:lpstr>
      <vt:lpstr>'Veridian 2018 RPP 1st TU'!Print_Area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Reffle</dc:creator>
  <cp:lastModifiedBy>Cindy Perrin</cp:lastModifiedBy>
  <cp:lastPrinted>2019-08-08T00:57:19Z</cp:lastPrinted>
  <dcterms:created xsi:type="dcterms:W3CDTF">2019-07-16T19:41:05Z</dcterms:created>
  <dcterms:modified xsi:type="dcterms:W3CDTF">2020-01-13T15:59:17Z</dcterms:modified>
</cp:coreProperties>
</file>