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-90" windowWidth="20730" windowHeight="11760" tabRatio="800"/>
  </bookViews>
  <sheets>
    <sheet name="Veridian - 2019" sheetId="5" r:id="rId1"/>
    <sheet name="Veridian 2019 RPP Settlement" sheetId="6" r:id="rId2"/>
    <sheet name="Ver Settlement Comparison" sheetId="7" r:id="rId3"/>
    <sheet name="Final RSVA Balances" sheetId="9" r:id="rId4"/>
  </sheets>
  <externalReferences>
    <externalReference r:id="rId5"/>
  </externalReferences>
  <definedNames>
    <definedName name="_xlnm.Print_Area" localSheetId="2">'Ver Settlement Comparison'!$A$1:$O$117</definedName>
    <definedName name="_xlnm.Print_Area" localSheetId="0">'Veridian - 2019'!$B$1:$E$88</definedName>
    <definedName name="_xlnm.Print_Area" localSheetId="1">'Veridian 2019 RPP Settlement'!$A$1:$K$24</definedName>
  </definedNames>
  <calcPr calcId="145621"/>
</workbook>
</file>

<file path=xl/calcChain.xml><?xml version="1.0" encoding="utf-8"?>
<calcChain xmlns="http://schemas.openxmlformats.org/spreadsheetml/2006/main">
  <c r="D32" i="5" l="1"/>
  <c r="H8" i="7" l="1"/>
  <c r="E12" i="5" l="1"/>
  <c r="E11" i="5"/>
  <c r="E9" i="5"/>
  <c r="D6" i="5"/>
  <c r="D5" i="5"/>
  <c r="F8" i="9" l="1"/>
  <c r="K23" i="6" l="1"/>
  <c r="H44" i="7"/>
  <c r="H45" i="7" s="1"/>
  <c r="C79" i="5"/>
  <c r="I40" i="7" l="1"/>
  <c r="C80" i="5" l="1"/>
  <c r="C98" i="7" l="1"/>
  <c r="C77" i="7"/>
  <c r="G11" i="7"/>
  <c r="G50" i="6" l="1"/>
  <c r="K49" i="6"/>
  <c r="B8" i="9" l="1"/>
  <c r="G8" i="9" s="1"/>
  <c r="E79" i="5"/>
  <c r="E65" i="5"/>
  <c r="E29" i="5" l="1"/>
  <c r="D80" i="5"/>
  <c r="B9" i="9"/>
  <c r="E19" i="7" l="1"/>
  <c r="E20" i="7"/>
  <c r="E21" i="7"/>
  <c r="E22" i="7"/>
  <c r="E18" i="7"/>
  <c r="E23" i="7" l="1"/>
  <c r="M49" i="6" l="1"/>
  <c r="L50" i="6" l="1"/>
  <c r="D45" i="6" l="1"/>
  <c r="J45" i="6" s="1"/>
  <c r="D46" i="6"/>
  <c r="J46" i="6" s="1"/>
  <c r="J44" i="6"/>
  <c r="D48" i="6"/>
  <c r="J48" i="6" s="1"/>
  <c r="D47" i="6"/>
  <c r="J47" i="6" s="1"/>
  <c r="L24" i="6"/>
  <c r="J50" i="6" l="1"/>
  <c r="D87" i="5"/>
  <c r="E97" i="7" l="1"/>
  <c r="E10" i="7"/>
  <c r="C35" i="7"/>
  <c r="C12" i="7" s="1"/>
  <c r="D25" i="9" l="1"/>
  <c r="F16" i="9"/>
  <c r="E89" i="7" l="1"/>
  <c r="C17" i="9" l="1"/>
  <c r="F9" i="9"/>
  <c r="C9" i="9"/>
  <c r="C7" i="9"/>
  <c r="C26" i="9"/>
  <c r="G9" i="9" l="1"/>
  <c r="I8" i="9" s="1"/>
  <c r="D47" i="9" l="1"/>
  <c r="D46" i="9"/>
  <c r="E73" i="7"/>
  <c r="F73" i="7"/>
  <c r="C33" i="7" l="1"/>
  <c r="C39" i="7"/>
  <c r="E95" i="7"/>
  <c r="F95" i="7"/>
  <c r="F72" i="7"/>
  <c r="E72" i="7"/>
  <c r="G11" i="6" l="1"/>
  <c r="D11" i="6"/>
  <c r="C11" i="6"/>
  <c r="B11" i="6"/>
  <c r="G10" i="6"/>
  <c r="D10" i="6"/>
  <c r="C10" i="6"/>
  <c r="B10" i="6"/>
  <c r="G9" i="6"/>
  <c r="D9" i="6"/>
  <c r="C9" i="6"/>
  <c r="B9" i="6"/>
  <c r="G8" i="6"/>
  <c r="D8" i="6"/>
  <c r="C8" i="6"/>
  <c r="B8" i="6"/>
  <c r="G7" i="6"/>
  <c r="D7" i="6"/>
  <c r="C7" i="6"/>
  <c r="B7" i="6"/>
  <c r="H9" i="6" l="1"/>
  <c r="E9" i="6"/>
  <c r="F9" i="6" s="1"/>
  <c r="G12" i="6"/>
  <c r="I7" i="6"/>
  <c r="J10" i="6"/>
  <c r="I11" i="6"/>
  <c r="J8" i="6"/>
  <c r="H11" i="6"/>
  <c r="H7" i="6"/>
  <c r="I9" i="6"/>
  <c r="E11" i="6"/>
  <c r="F11" i="6" s="1"/>
  <c r="E7" i="6"/>
  <c r="J7" i="6"/>
  <c r="H8" i="6"/>
  <c r="J9" i="6"/>
  <c r="H10" i="6"/>
  <c r="J11" i="6"/>
  <c r="E8" i="6"/>
  <c r="I8" i="6"/>
  <c r="E10" i="6"/>
  <c r="I10" i="6"/>
  <c r="H12" i="6" l="1"/>
  <c r="B12" i="6" s="1"/>
  <c r="I12" i="6"/>
  <c r="K11" i="6"/>
  <c r="F7" i="6"/>
  <c r="F10" i="6"/>
  <c r="K8" i="6"/>
  <c r="J12" i="6"/>
  <c r="K7" i="6"/>
  <c r="K10" i="6"/>
  <c r="F8" i="6"/>
  <c r="K9" i="6"/>
  <c r="E38" i="5"/>
  <c r="E37" i="5"/>
  <c r="E36" i="5"/>
  <c r="E35" i="5"/>
  <c r="E34" i="5"/>
  <c r="C68" i="5" s="1"/>
  <c r="I39" i="5"/>
  <c r="H30" i="7" l="1"/>
  <c r="C70" i="5"/>
  <c r="H28" i="7"/>
  <c r="H31" i="7"/>
  <c r="C71" i="5"/>
  <c r="H32" i="7"/>
  <c r="C72" i="5"/>
  <c r="H29" i="7"/>
  <c r="C69" i="5"/>
  <c r="K12" i="6"/>
  <c r="B21" i="6" l="1"/>
  <c r="H21" i="7" s="1"/>
  <c r="B47" i="6"/>
  <c r="H47" i="6" s="1"/>
  <c r="B22" i="6"/>
  <c r="B34" i="6" s="1"/>
  <c r="B48" i="6"/>
  <c r="H48" i="6" s="1"/>
  <c r="B19" i="6"/>
  <c r="B31" i="6" s="1"/>
  <c r="B45" i="6"/>
  <c r="H45" i="6" s="1"/>
  <c r="B20" i="6"/>
  <c r="H20" i="7" s="1"/>
  <c r="B46" i="6"/>
  <c r="H46" i="6" s="1"/>
  <c r="B18" i="6"/>
  <c r="B30" i="6" s="1"/>
  <c r="B44" i="6"/>
  <c r="H44" i="6" s="1"/>
  <c r="D39" i="5"/>
  <c r="D28" i="5" s="1"/>
  <c r="E28" i="5" s="1"/>
  <c r="E30" i="5" s="1"/>
  <c r="E26" i="5" s="1"/>
  <c r="D7" i="5"/>
  <c r="D9" i="5" s="1"/>
  <c r="C34" i="5" l="1"/>
  <c r="C17" i="5" s="1"/>
  <c r="H19" i="7"/>
  <c r="B33" i="6"/>
  <c r="H18" i="7"/>
  <c r="H22" i="7"/>
  <c r="B32" i="6"/>
  <c r="H50" i="6"/>
  <c r="C35" i="5"/>
  <c r="C18" i="5" s="1"/>
  <c r="D18" i="5" s="1"/>
  <c r="C38" i="5"/>
  <c r="C21" i="5" s="1"/>
  <c r="D21" i="5" s="1"/>
  <c r="C37" i="5"/>
  <c r="C20" i="5" s="1"/>
  <c r="D20" i="5" s="1"/>
  <c r="C36" i="5"/>
  <c r="C19" i="5" s="1"/>
  <c r="D19" i="5" s="1"/>
  <c r="D17" i="5" l="1"/>
  <c r="C22" i="5"/>
  <c r="B50" i="6"/>
  <c r="B6" i="9"/>
  <c r="B10" i="9" s="1"/>
  <c r="E8" i="7"/>
  <c r="C39" i="5"/>
  <c r="D72" i="5" l="1"/>
  <c r="F22" i="7" s="1"/>
  <c r="D71" i="5"/>
  <c r="F21" i="7" s="1"/>
  <c r="D70" i="5"/>
  <c r="F20" i="7" s="1"/>
  <c r="D69" i="5"/>
  <c r="F19" i="7" s="1"/>
  <c r="D68" i="5"/>
  <c r="F18" i="7" s="1"/>
  <c r="E78" i="5"/>
  <c r="D30" i="5"/>
  <c r="D86" i="5"/>
  <c r="F91" i="7" l="1"/>
  <c r="D26" i="5"/>
  <c r="C28" i="5"/>
  <c r="C29" i="5"/>
  <c r="C12" i="5" s="1"/>
  <c r="E29" i="7"/>
  <c r="G19" i="7"/>
  <c r="I19" i="7" s="1"/>
  <c r="E30" i="7"/>
  <c r="G20" i="7"/>
  <c r="I20" i="7" s="1"/>
  <c r="E31" i="7"/>
  <c r="G21" i="7"/>
  <c r="I21" i="7" s="1"/>
  <c r="E32" i="7"/>
  <c r="G22" i="7"/>
  <c r="I22" i="7" s="1"/>
  <c r="E28" i="7"/>
  <c r="F23" i="7"/>
  <c r="G18" i="7"/>
  <c r="C6" i="9"/>
  <c r="D88" i="5"/>
  <c r="G7" i="9"/>
  <c r="G10" i="9" s="1"/>
  <c r="E24" i="9"/>
  <c r="E91" i="7"/>
  <c r="E69" i="5"/>
  <c r="E70" i="5"/>
  <c r="J57" i="5"/>
  <c r="D77" i="5"/>
  <c r="E68" i="5"/>
  <c r="E71" i="5"/>
  <c r="E72" i="5"/>
  <c r="D73" i="5"/>
  <c r="C11" i="5" l="1"/>
  <c r="C13" i="5" s="1"/>
  <c r="C30" i="5"/>
  <c r="C10" i="9"/>
  <c r="E33" i="7"/>
  <c r="E39" i="7" s="1"/>
  <c r="E44" i="7" s="1"/>
  <c r="E45" i="7" s="1"/>
  <c r="I45" i="7" s="1"/>
  <c r="G23" i="7"/>
  <c r="I18" i="7"/>
  <c r="I23" i="7" s="1"/>
  <c r="E80" i="5"/>
  <c r="I80" i="5" s="1"/>
  <c r="E73" i="5"/>
  <c r="D61" i="5"/>
  <c r="C61" i="5" s="1"/>
  <c r="D55" i="5"/>
  <c r="C55" i="5" s="1"/>
  <c r="E65" i="7" l="1"/>
  <c r="I73" i="5"/>
  <c r="F90" i="7"/>
  <c r="F92" i="7" s="1"/>
  <c r="E90" i="7"/>
  <c r="E92" i="7" s="1"/>
  <c r="F65" i="7"/>
  <c r="C73" i="5"/>
  <c r="I61" i="5"/>
  <c r="I55" i="5"/>
  <c r="G92" i="7" l="1"/>
  <c r="I56" i="5"/>
  <c r="C59" i="5" l="1"/>
  <c r="D18" i="6" l="1"/>
  <c r="C58" i="5"/>
  <c r="D20" i="6" l="1"/>
  <c r="D19" i="6"/>
  <c r="D22" i="6"/>
  <c r="D21" i="6"/>
  <c r="D30" i="6"/>
  <c r="D34" i="6" l="1"/>
  <c r="D32" i="6"/>
  <c r="D33" i="6"/>
  <c r="D31" i="6"/>
  <c r="G65" i="7" l="1"/>
  <c r="D56" i="5" l="1"/>
  <c r="C56" i="5" s="1"/>
  <c r="B18" i="9" l="1"/>
  <c r="B25" i="9" s="1"/>
  <c r="C47" i="9" s="1"/>
  <c r="B16" i="9"/>
  <c r="D59" i="5"/>
  <c r="E59" i="5" s="1"/>
  <c r="C18" i="9"/>
  <c r="F30" i="7" l="1"/>
  <c r="G30" i="7" s="1"/>
  <c r="I30" i="7" s="1"/>
  <c r="I87" i="5"/>
  <c r="G20" i="6"/>
  <c r="H20" i="6" s="1"/>
  <c r="H32" i="6" s="1"/>
  <c r="D13" i="5"/>
  <c r="E32" i="5" s="1"/>
  <c r="B19" i="9"/>
  <c r="D58" i="5"/>
  <c r="E58" i="5" s="1"/>
  <c r="E96" i="7" s="1"/>
  <c r="C37" i="9"/>
  <c r="C36" i="9"/>
  <c r="C46" i="9"/>
  <c r="E46" i="9" s="1"/>
  <c r="E25" i="9"/>
  <c r="E26" i="9" s="1"/>
  <c r="E43" i="9" s="1"/>
  <c r="B26" i="9"/>
  <c r="E47" i="9"/>
  <c r="G18" i="6"/>
  <c r="F96" i="7"/>
  <c r="F99" i="7" s="1"/>
  <c r="J59" i="5"/>
  <c r="J62" i="5" s="1"/>
  <c r="E13" i="5" l="1"/>
  <c r="G21" i="6"/>
  <c r="J21" i="6" s="1"/>
  <c r="J33" i="6" s="1"/>
  <c r="J20" i="6"/>
  <c r="J32" i="6" s="1"/>
  <c r="G22" i="6"/>
  <c r="G34" i="6" s="1"/>
  <c r="G19" i="6"/>
  <c r="H19" i="6" s="1"/>
  <c r="H31" i="6" s="1"/>
  <c r="G32" i="6"/>
  <c r="I58" i="5"/>
  <c r="F75" i="7"/>
  <c r="F31" i="7"/>
  <c r="G31" i="7" s="1"/>
  <c r="I31" i="7" s="1"/>
  <c r="F29" i="7"/>
  <c r="G29" i="7" s="1"/>
  <c r="I29" i="7" s="1"/>
  <c r="F32" i="7"/>
  <c r="G32" i="7" s="1"/>
  <c r="I32" i="7" s="1"/>
  <c r="G16" i="9"/>
  <c r="G19" i="9" s="1"/>
  <c r="D22" i="5"/>
  <c r="F33" i="7" s="1"/>
  <c r="F39" i="7" s="1"/>
  <c r="G39" i="7" s="1"/>
  <c r="C87" i="5"/>
  <c r="F28" i="7"/>
  <c r="G28" i="7" s="1"/>
  <c r="I28" i="7" s="1"/>
  <c r="C16" i="9"/>
  <c r="I86" i="5"/>
  <c r="E48" i="9"/>
  <c r="G30" i="6"/>
  <c r="J18" i="6"/>
  <c r="H18" i="6"/>
  <c r="I101" i="7"/>
  <c r="F101" i="7"/>
  <c r="H21" i="6"/>
  <c r="H33" i="6" s="1"/>
  <c r="G33" i="6"/>
  <c r="E87" i="5" l="1"/>
  <c r="E88" i="5" s="1"/>
  <c r="C88" i="5" s="1"/>
  <c r="J19" i="6"/>
  <c r="J31" i="6" s="1"/>
  <c r="H30" i="6"/>
  <c r="J30" i="6"/>
  <c r="G31" i="6"/>
  <c r="G35" i="6" s="1"/>
  <c r="G24" i="6"/>
  <c r="J22" i="6"/>
  <c r="J34" i="6" s="1"/>
  <c r="H22" i="6"/>
  <c r="H34" i="6" s="1"/>
  <c r="C45" i="5"/>
  <c r="C77" i="5" s="1"/>
  <c r="G33" i="7"/>
  <c r="I33" i="7"/>
  <c r="I35" i="7" s="1"/>
  <c r="J87" i="5"/>
  <c r="F44" i="7"/>
  <c r="G44" i="7" s="1"/>
  <c r="I44" i="7" s="1"/>
  <c r="I46" i="7" s="1"/>
  <c r="C19" i="9"/>
  <c r="C34" i="9"/>
  <c r="C35" i="9"/>
  <c r="C86" i="5" l="1"/>
  <c r="H39" i="7" s="1"/>
  <c r="I39" i="7" s="1"/>
  <c r="I41" i="7" s="1"/>
  <c r="E77" i="7" s="1"/>
  <c r="E114" i="7" s="1"/>
  <c r="B114" i="7" s="1"/>
  <c r="E77" i="5"/>
  <c r="H35" i="6"/>
  <c r="E98" i="7"/>
  <c r="E99" i="7" s="1"/>
  <c r="E101" i="7" s="1"/>
  <c r="G101" i="7" s="1"/>
  <c r="J35" i="6"/>
  <c r="H24" i="6"/>
  <c r="F8" i="7" s="1"/>
  <c r="G8" i="7" s="1"/>
  <c r="J24" i="6"/>
  <c r="F10" i="7" s="1"/>
  <c r="G10" i="7" s="1"/>
  <c r="H10" i="7" s="1"/>
  <c r="I36" i="7"/>
  <c r="D17" i="9"/>
  <c r="D18" i="9"/>
  <c r="E18" i="9" s="1"/>
  <c r="I18" i="9" s="1"/>
  <c r="I48" i="7"/>
  <c r="E67" i="7" l="1"/>
  <c r="I74" i="5"/>
  <c r="I75" i="5" s="1"/>
  <c r="E69" i="7"/>
  <c r="J86" i="5"/>
  <c r="J88" i="5" s="1"/>
  <c r="C44" i="5"/>
  <c r="C44" i="6" s="1"/>
  <c r="I44" i="6" s="1"/>
  <c r="K44" i="6" s="1"/>
  <c r="M44" i="6" s="1"/>
  <c r="E81" i="5"/>
  <c r="F67" i="7"/>
  <c r="G67" i="7" s="1"/>
  <c r="G99" i="7"/>
  <c r="E115" i="7"/>
  <c r="B115" i="7" s="1"/>
  <c r="I102" i="7"/>
  <c r="B24" i="6"/>
  <c r="D6" i="9" s="1"/>
  <c r="E17" i="9"/>
  <c r="I17" i="9" s="1"/>
  <c r="I42" i="7"/>
  <c r="I50" i="7" s="1"/>
  <c r="F68" i="7" l="1"/>
  <c r="D9" i="9" s="1"/>
  <c r="D7" i="9" s="1"/>
  <c r="E44" i="6"/>
  <c r="F44" i="6" s="1"/>
  <c r="C45" i="6"/>
  <c r="C46" i="6" s="1"/>
  <c r="D16" i="9"/>
  <c r="E16" i="9" s="1"/>
  <c r="E19" i="9" s="1"/>
  <c r="C18" i="6"/>
  <c r="E18" i="6" s="1"/>
  <c r="E30" i="6" s="1"/>
  <c r="E6" i="9"/>
  <c r="D35" i="9"/>
  <c r="E35" i="9" s="1"/>
  <c r="E45" i="6"/>
  <c r="F45" i="6" s="1"/>
  <c r="I45" i="6" l="1"/>
  <c r="K45" i="6" s="1"/>
  <c r="M45" i="6" s="1"/>
  <c r="E9" i="9"/>
  <c r="F69" i="7"/>
  <c r="G69" i="7" s="1"/>
  <c r="F18" i="6"/>
  <c r="F30" i="6" s="1"/>
  <c r="I18" i="6"/>
  <c r="I30" i="6" s="1"/>
  <c r="K30" i="6" s="1"/>
  <c r="C19" i="6"/>
  <c r="C30" i="6"/>
  <c r="D37" i="9"/>
  <c r="E37" i="9" s="1"/>
  <c r="E7" i="9"/>
  <c r="D36" i="9"/>
  <c r="E36" i="9" s="1"/>
  <c r="I46" i="6"/>
  <c r="K46" i="6" s="1"/>
  <c r="M46" i="6" s="1"/>
  <c r="E46" i="6"/>
  <c r="F46" i="6" s="1"/>
  <c r="C47" i="6"/>
  <c r="E10" i="9" l="1"/>
  <c r="K18" i="6"/>
  <c r="M18" i="6" s="1"/>
  <c r="C20" i="6"/>
  <c r="E19" i="6"/>
  <c r="C31" i="6"/>
  <c r="I19" i="6"/>
  <c r="C48" i="6"/>
  <c r="I47" i="6"/>
  <c r="E47" i="6"/>
  <c r="F47" i="6" s="1"/>
  <c r="I31" i="6" l="1"/>
  <c r="K31" i="6" s="1"/>
  <c r="K19" i="6"/>
  <c r="M19" i="6" s="1"/>
  <c r="E31" i="6"/>
  <c r="F19" i="6"/>
  <c r="F31" i="6" s="1"/>
  <c r="I20" i="6"/>
  <c r="C21" i="6"/>
  <c r="C32" i="6"/>
  <c r="E20" i="6"/>
  <c r="K47" i="6"/>
  <c r="E48" i="6"/>
  <c r="F48" i="6" s="1"/>
  <c r="I48" i="6"/>
  <c r="K48" i="6" s="1"/>
  <c r="M48" i="6" s="1"/>
  <c r="C22" i="6" l="1"/>
  <c r="E21" i="6"/>
  <c r="C33" i="6"/>
  <c r="I21" i="6"/>
  <c r="F20" i="6"/>
  <c r="F32" i="6" s="1"/>
  <c r="E32" i="6"/>
  <c r="I32" i="6"/>
  <c r="K32" i="6" s="1"/>
  <c r="K20" i="6"/>
  <c r="M20" i="6" s="1"/>
  <c r="I50" i="6"/>
  <c r="M47" i="6"/>
  <c r="M50" i="6" s="1"/>
  <c r="K50" i="6"/>
  <c r="I33" i="6" l="1"/>
  <c r="K33" i="6" s="1"/>
  <c r="K21" i="6"/>
  <c r="M21" i="6" s="1"/>
  <c r="F21" i="6"/>
  <c r="F33" i="6" s="1"/>
  <c r="E33" i="6"/>
  <c r="I22" i="6"/>
  <c r="E22" i="6"/>
  <c r="C34" i="6"/>
  <c r="N49" i="6"/>
  <c r="E5" i="7"/>
  <c r="E76" i="7"/>
  <c r="E78" i="7" s="1"/>
  <c r="E9" i="7"/>
  <c r="E34" i="6" l="1"/>
  <c r="F22" i="6"/>
  <c r="F34" i="6" s="1"/>
  <c r="I24" i="6"/>
  <c r="I34" i="6"/>
  <c r="K22" i="6"/>
  <c r="M22" i="6" s="1"/>
  <c r="M24" i="6" s="1"/>
  <c r="E80" i="7"/>
  <c r="K24" i="6" l="1"/>
  <c r="F9" i="7"/>
  <c r="K34" i="6"/>
  <c r="K35" i="6" s="1"/>
  <c r="I35" i="6"/>
  <c r="F76" i="7" l="1"/>
  <c r="F78" i="7" s="1"/>
  <c r="G78" i="7" s="1"/>
  <c r="K53" i="6"/>
  <c r="E12" i="7" s="1"/>
  <c r="E13" i="7" s="1"/>
  <c r="F80" i="7"/>
  <c r="G80" i="7" s="1"/>
  <c r="H16" i="9"/>
  <c r="E60" i="5"/>
  <c r="I80" i="7"/>
  <c r="I81" i="7" s="1"/>
  <c r="F13" i="7"/>
  <c r="G9" i="7"/>
  <c r="H9" i="7" s="1"/>
  <c r="E62" i="5" l="1"/>
  <c r="I60" i="5"/>
  <c r="I62" i="5" s="1"/>
  <c r="K62" i="5" s="1"/>
  <c r="G12" i="7"/>
  <c r="G13" i="7" s="1"/>
  <c r="H13" i="7" s="1"/>
  <c r="E116" i="7"/>
  <c r="E117" i="7" s="1"/>
  <c r="H19" i="9"/>
  <c r="I16" i="9"/>
  <c r="B116" i="7" l="1"/>
  <c r="D34" i="9"/>
  <c r="E34" i="9" s="1"/>
  <c r="E38" i="9" s="1"/>
  <c r="I19" i="9"/>
  <c r="E31" i="9" s="1"/>
  <c r="K37" i="9" l="1"/>
</calcChain>
</file>

<file path=xl/sharedStrings.xml><?xml version="1.0" encoding="utf-8"?>
<sst xmlns="http://schemas.openxmlformats.org/spreadsheetml/2006/main" count="372" uniqueCount="214">
  <si>
    <t>Table 22: Wholesale Volume data per IESO Power Bill</t>
  </si>
  <si>
    <t>GA RPP/non-RPP Ratios</t>
  </si>
  <si>
    <t>GA Volumes</t>
  </si>
  <si>
    <t>Energy Volumes</t>
  </si>
  <si>
    <t>Embedded Generation</t>
  </si>
  <si>
    <t>Class A customer Volumes for GA  (TLF included)</t>
  </si>
  <si>
    <t>Actual RPP Quantity Proportion</t>
  </si>
  <si>
    <t>Actual non-RPP Quantity Proportion</t>
  </si>
  <si>
    <t xml:space="preserve">Wholesale kWh Volumes </t>
  </si>
  <si>
    <t>Table 23: Actual Volumes purchased for RPP Customers (TLF Included)</t>
  </si>
  <si>
    <t>kWh Volumes</t>
  </si>
  <si>
    <t>Actual %</t>
  </si>
  <si>
    <t>Tier 1</t>
  </si>
  <si>
    <t>Tier 2</t>
  </si>
  <si>
    <t>TOU Off-peak</t>
  </si>
  <si>
    <t>TOU Mid-peak</t>
  </si>
  <si>
    <t>TOU On-peak</t>
  </si>
  <si>
    <t>Table 24: Actual Retail Volume Revenue Data (TLF included)</t>
  </si>
  <si>
    <t>Billed/Unbilled Retail Volumes</t>
  </si>
  <si>
    <t>Actual RPP Sales Quantities</t>
  </si>
  <si>
    <t>Actual non-RPP Sales Quantities</t>
  </si>
  <si>
    <t xml:space="preserve">Actual Retail Revenue kWh Volumes </t>
  </si>
  <si>
    <r>
      <t>Table 25: Actual RPP Revenue Volume and Price Data</t>
    </r>
    <r>
      <rPr>
        <b/>
        <vertAlign val="superscript"/>
        <sz val="10"/>
        <color theme="1"/>
        <rFont val="Calibri"/>
        <family val="2"/>
        <scheme val="minor"/>
      </rPr>
      <t>14</t>
    </r>
  </si>
  <si>
    <t>RPP Price/kWh</t>
  </si>
  <si>
    <t>Table 26: Commodity Price Data</t>
  </si>
  <si>
    <t>Wholesale Prices</t>
  </si>
  <si>
    <t>Commodity Price</t>
  </si>
  <si>
    <t>per kWh</t>
  </si>
  <si>
    <t>Actual Average Energy Price for RPP Customers</t>
  </si>
  <si>
    <t>Actual Average Energy Price for non-RPP customers</t>
  </si>
  <si>
    <t>GA 1st estimate</t>
  </si>
  <si>
    <t>GA 2nd estimate</t>
  </si>
  <si>
    <t>Class B - GA actual</t>
  </si>
  <si>
    <t>Class B - GA actual IESO billed</t>
  </si>
  <si>
    <t>Table 27: Commodity Cost of Power Billed by IESO</t>
  </si>
  <si>
    <t>Cost/kWh</t>
  </si>
  <si>
    <t>Amount</t>
  </si>
  <si>
    <t>Actual Payments to Embedded Generators - 4705</t>
  </si>
  <si>
    <t>Charge Type 101 - 4705</t>
  </si>
  <si>
    <t>Charge Type 147 - non-RPP Class A - 4707</t>
  </si>
  <si>
    <r>
      <t>Charge Type 148 - RPP - 4705</t>
    </r>
    <r>
      <rPr>
        <b/>
        <vertAlign val="superscript"/>
        <sz val="11"/>
        <color theme="1"/>
        <rFont val="Calibri"/>
        <family val="2"/>
        <scheme val="minor"/>
      </rPr>
      <t>15</t>
    </r>
  </si>
  <si>
    <r>
      <t>Charge Type 148 - non-RPP - 4707</t>
    </r>
    <r>
      <rPr>
        <b/>
        <vertAlign val="superscript"/>
        <sz val="11"/>
        <color theme="1"/>
        <rFont val="Calibri"/>
        <family val="2"/>
        <scheme val="minor"/>
      </rPr>
      <t>15</t>
    </r>
  </si>
  <si>
    <r>
      <t>Charge Type 1142 - RPP - 4705 - RPP Settlement - Final Settlement Amount</t>
    </r>
    <r>
      <rPr>
        <b/>
        <vertAlign val="superscript"/>
        <sz val="11"/>
        <color theme="1"/>
        <rFont val="Calibri"/>
        <family val="2"/>
        <scheme val="minor"/>
      </rPr>
      <t>16</t>
    </r>
  </si>
  <si>
    <t>Charge Type 1412 - FIT Program Settlement Amount - 4705</t>
  </si>
  <si>
    <t>Actual cost of power</t>
  </si>
  <si>
    <t>Actual Net Accrued &amp; Billed Revenue from RPP &amp; non-RPP Customers:</t>
  </si>
  <si>
    <t>Table 28: RPP Commodity Revenue</t>
  </si>
  <si>
    <t>Total Actual Revenue</t>
  </si>
  <si>
    <t>Table 29: non-RPP Actual Revenue</t>
  </si>
  <si>
    <t>Actual non-RPP Energy Revenue</t>
  </si>
  <si>
    <t>Actual Class A non-RPP GA Revenue at PDF</t>
  </si>
  <si>
    <t>Class B non-RPP GA Revenue at 1st estimate</t>
  </si>
  <si>
    <t>Actual RPP power sales volumes and revenues</t>
  </si>
  <si>
    <t>Actual Non-RPP power sales volumes and revenues</t>
  </si>
  <si>
    <t>RPP Settlement Calculation based on Actual GA Price on Business Day 4 of February 2018</t>
  </si>
  <si>
    <t>Table 31: Estimated RPP Revenue &amp; Actual GA price</t>
  </si>
  <si>
    <t>RPP Revenue Prices</t>
  </si>
  <si>
    <t>RPP Price</t>
  </si>
  <si>
    <t>Estimated RPP Energy Price</t>
  </si>
  <si>
    <t>GA Actual</t>
  </si>
  <si>
    <t>Total Commodity</t>
  </si>
  <si>
    <t>Difference</t>
  </si>
  <si>
    <t>$ Estimated RPP Revenue</t>
  </si>
  <si>
    <t>$ Estimated RPP Energy</t>
  </si>
  <si>
    <t>$ Actual GA</t>
  </si>
  <si>
    <t>$ Estimated RPP Settlement</t>
  </si>
  <si>
    <t>Table 32 Final Revised RPP Settlement based on Actual RPP Revenue and Actual GA Price</t>
  </si>
  <si>
    <t>Actual RPP Energy Price</t>
  </si>
  <si>
    <t>$ Actual RPP Revenue</t>
  </si>
  <si>
    <t>$ Actual RPP Energy</t>
  </si>
  <si>
    <t>2nd RPP Settlement True-up</t>
  </si>
  <si>
    <t>Table 33: True-up of RPP Volumes and Revenue and GA price to actual</t>
  </si>
  <si>
    <t>True-Up elements</t>
  </si>
  <si>
    <t>RPP Energy Price Difference</t>
  </si>
  <si>
    <t>GA Price Difference</t>
  </si>
  <si>
    <t>$ True-Up RPP Revenue</t>
  </si>
  <si>
    <t>$ True-up RPP Energy</t>
  </si>
  <si>
    <t>$ True-up GA</t>
  </si>
  <si>
    <t>$ RPP Settlement True-UP</t>
  </si>
  <si>
    <t>GA Revenue</t>
  </si>
  <si>
    <t>Energy Revenue</t>
  </si>
  <si>
    <t>TOU On-peak (total)</t>
  </si>
  <si>
    <t>Total for all RPP</t>
  </si>
  <si>
    <t xml:space="preserve">Table 30: Actual Average unit cost of power sold for RPP &amp; non-RPP for 2nd True-up </t>
  </si>
  <si>
    <t>$ Final RPP Settlement</t>
  </si>
  <si>
    <t>Total</t>
  </si>
  <si>
    <t>Total Actual IESO Settlement</t>
  </si>
  <si>
    <t>Comparison</t>
  </si>
  <si>
    <t>OEB Method</t>
  </si>
  <si>
    <t>RPP Revenue</t>
  </si>
  <si>
    <t>GA - RPP</t>
  </si>
  <si>
    <t>Diff</t>
  </si>
  <si>
    <t>Non-RPP Revenue</t>
  </si>
  <si>
    <t>Energy Revenue - RPP</t>
  </si>
  <si>
    <t>GA RPP Portion</t>
  </si>
  <si>
    <t>GA - T otal Revenue</t>
  </si>
  <si>
    <t>GA - Class A Cost</t>
  </si>
  <si>
    <t xml:space="preserve">GA - Class B Cost </t>
  </si>
  <si>
    <t>GA - Class A Revenue</t>
  </si>
  <si>
    <t>GA - Total Cost</t>
  </si>
  <si>
    <t xml:space="preserve">Final RPP Settlement Calculation </t>
  </si>
  <si>
    <t>(1)</t>
  </si>
  <si>
    <t>Rate</t>
  </si>
  <si>
    <t>$ Amount</t>
  </si>
  <si>
    <t>(2)</t>
  </si>
  <si>
    <t>Retail kWh</t>
  </si>
  <si>
    <t>Wholesale kWh</t>
  </si>
  <si>
    <t>(3)</t>
  </si>
  <si>
    <t>GA - Class B Non-RPP Revenue</t>
  </si>
  <si>
    <t>(A)</t>
  </si>
  <si>
    <t>(B)</t>
  </si>
  <si>
    <t>(C)</t>
  </si>
  <si>
    <t>GA Costs (4707)</t>
  </si>
  <si>
    <t>Cost of Energy (4705)</t>
  </si>
  <si>
    <t>GA - Cost (4707)</t>
  </si>
  <si>
    <t>Power Costs (4705)</t>
  </si>
  <si>
    <t>Total $</t>
  </si>
  <si>
    <t>from above</t>
  </si>
  <si>
    <t>Table 37 - Total Energy and GA Revenue</t>
  </si>
  <si>
    <t>Volume Data by Customer Group</t>
  </si>
  <si>
    <t>Revenue - Energy Sales (Tables 28 &amp; 29)</t>
  </si>
  <si>
    <t>Revenue - GA (Table 29)</t>
  </si>
  <si>
    <t>Customer Group</t>
  </si>
  <si>
    <t>GA Retail
kWh Volumes</t>
  </si>
  <si>
    <t>Energy Retail kWh Volumes</t>
  </si>
  <si>
    <t>Class B - RPP</t>
  </si>
  <si>
    <t xml:space="preserve">Class A - Non-RPP </t>
  </si>
  <si>
    <t>Class B - Non-RPP</t>
  </si>
  <si>
    <t>Table 38 - Account 4705 Total Commodity Costs</t>
  </si>
  <si>
    <t>Costs - 4705 (Table 27)</t>
  </si>
  <si>
    <t>Commodity  (Wholesale)</t>
  </si>
  <si>
    <t>GA (Wholesale)</t>
  </si>
  <si>
    <t>Final IESO RPP Settlement</t>
  </si>
  <si>
    <t>Total Wholesale Cost</t>
  </si>
  <si>
    <t>GA Wholesale kWh Volumes</t>
  </si>
  <si>
    <t>Energy Wholesale kWh Volumes</t>
  </si>
  <si>
    <t>Final Purchased Price</t>
  </si>
  <si>
    <t>Actual GA IESO Bill Price</t>
  </si>
  <si>
    <t>Class B  - RPP</t>
  </si>
  <si>
    <t xml:space="preserve"> </t>
  </si>
  <si>
    <t>Table 39 - Account 4705 Total GA Costs</t>
  </si>
  <si>
    <t>GA Costs - 4707 (Table 27)</t>
  </si>
  <si>
    <t>Table 40 - Account 1588 Balance Explanation</t>
  </si>
  <si>
    <t>1588 - RSVA Power - Balance Explanation</t>
  </si>
  <si>
    <t>Account Balance - December 31, 2017</t>
  </si>
  <si>
    <t>Balance Per DVA Continuity</t>
  </si>
  <si>
    <t>Variance - Type</t>
  </si>
  <si>
    <t>Quantity</t>
  </si>
  <si>
    <t>Price</t>
  </si>
  <si>
    <t>Explanation</t>
  </si>
  <si>
    <t>Price Variance</t>
  </si>
  <si>
    <t>Retail vs Wholesale Price Variances</t>
  </si>
  <si>
    <t>Volume Variance</t>
  </si>
  <si>
    <t>Retail vs Wholesale Volume Variance - (UFE differences)</t>
  </si>
  <si>
    <t>Price Difference</t>
  </si>
  <si>
    <t>Balance Explained</t>
  </si>
  <si>
    <t>Table 41 - Account 1589 Balance Explanation</t>
  </si>
  <si>
    <t>1589 - RSVA GA - Balance Explanation</t>
  </si>
  <si>
    <t>Retail GA Price Billed vs Wholesale GA Actual Price paid to IESO</t>
  </si>
  <si>
    <t>1589 Variance Account (after true-up)</t>
  </si>
  <si>
    <t>Wholesale</t>
  </si>
  <si>
    <t xml:space="preserve">Sale of Energy </t>
  </si>
  <si>
    <t>not required</t>
  </si>
  <si>
    <t>see split below</t>
  </si>
  <si>
    <t>RPP - Class B GA actual</t>
  </si>
  <si>
    <t>Non RPP - Class B GA actual</t>
  </si>
  <si>
    <t>UFE</t>
  </si>
  <si>
    <t xml:space="preserve">1588 Variance Account - Final(after true-up) </t>
  </si>
  <si>
    <t>Retail</t>
  </si>
  <si>
    <t>For Informational Purposes Only:</t>
  </si>
  <si>
    <t>Final IESO Settlement (A-B-C)</t>
  </si>
  <si>
    <t xml:space="preserve">FIT/MicroFit @ spot </t>
  </si>
  <si>
    <t>Summary and Explanation of Final Balances of RSVA 1588 and 1589 -OEB Guidance</t>
  </si>
  <si>
    <t>Summary:</t>
  </si>
  <si>
    <t>Energy  Cost</t>
  </si>
  <si>
    <t>GA Cost</t>
  </si>
  <si>
    <t xml:space="preserve">  Adjustment for OEB Accounting Guidance (UFE)</t>
  </si>
  <si>
    <t>Materiality Threshold</t>
  </si>
  <si>
    <t>Entry to Align to OEB Methodology Outcome:</t>
  </si>
  <si>
    <t>EV Method</t>
  </si>
  <si>
    <t>COMPARISON - EV AND OEB METHODOLOGY OUTCOME</t>
  </si>
  <si>
    <t>IESO AQEW</t>
  </si>
  <si>
    <t>Recalculated $
1st True-UP Submitted 20190404</t>
  </si>
  <si>
    <t>Difference = $ Final RPP Settlement</t>
  </si>
  <si>
    <t>+ve = payment to IESO</t>
  </si>
  <si>
    <t>-ve = payment from IESO</t>
  </si>
  <si>
    <t>Rounding Difference</t>
  </si>
  <si>
    <t>Table 32a Final Revised RPP Settlement based on Actual RPP Revenue and Actual GA Price - Veridian Methodology</t>
  </si>
  <si>
    <t>Estimate Tier</t>
  </si>
  <si>
    <t>Actual Tier</t>
  </si>
  <si>
    <t>(1a)</t>
  </si>
  <si>
    <t>(1b)</t>
  </si>
  <si>
    <t>Total  Difference (1a + 1b)</t>
  </si>
  <si>
    <t>Rounding</t>
  </si>
  <si>
    <t>HO/Powerstream</t>
  </si>
  <si>
    <t>Commodity Cost of Power per IESO/Hydro One Invoice:</t>
  </si>
  <si>
    <t>Additional Supply - Hydro One</t>
  </si>
  <si>
    <t>Actual vs. Estimate Tier Volume (kWh):</t>
  </si>
  <si>
    <t>Wholesale vs Retail Volume Differences (UFE ):</t>
  </si>
  <si>
    <t>Class B non-RPP GA Revenue at actual (embedded)</t>
  </si>
  <si>
    <t>1598 Final Settlement*</t>
  </si>
  <si>
    <t xml:space="preserve">  Adjustment for OEB Accounting Guidance (Act Tier + UFE)</t>
  </si>
  <si>
    <t>Net Energy Cost Settlement (IESO CT 101 + Hydro One)</t>
  </si>
  <si>
    <t>* EV Method splits 1598 settlement as follows:  1)RPP less Energy posted to 4705 and 2) GA portion posted to 4707</t>
  </si>
  <si>
    <t>A/R IESO</t>
  </si>
  <si>
    <t>Data for Final RPP Settlement based on Actual Revenue Volumes 2019:</t>
  </si>
  <si>
    <t>Class B - Non-RPP Actual</t>
  </si>
  <si>
    <t xml:space="preserve">Billed GA Rate </t>
  </si>
  <si>
    <t>1st estimate</t>
  </si>
  <si>
    <t xml:space="preserve">Actual </t>
  </si>
  <si>
    <t>Rate difference (Rounding)</t>
  </si>
  <si>
    <r>
      <rPr>
        <vertAlign val="super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- Volumes related to each RPP price point for Revenue based on actual consumption during calendar month.
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- Updated GA for RPP and non-RPP class B customers based on actual proportions for RPP and non-RPP Class B customers.
</t>
    </r>
    <r>
      <rPr>
        <vertAlign val="super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- This is the updated cumulative RPP Settlement amount. The true up element of this amount will be incorporated into Charge 
       Type 1142 in the RPP settlement with the IESO</t>
    </r>
  </si>
  <si>
    <t>linked  to final RPP Settlement Calc</t>
  </si>
  <si>
    <t xml:space="preserve">RPP Settlement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</si>
</sst>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_);_(* \(#,##0.00000\);_(* &quot;-&quot;??_);_(@_)"/>
    <numFmt numFmtId="167" formatCode="_(&quot;$&quot;* #,##0.0000_);_(&quot;$&quot;* \(#,##0.0000\);_(&quot;$&quot;* &quot;-&quot;??_);_(@_)"/>
    <numFmt numFmtId="168" formatCode="_-* #,##0_-;\-* #,##0_-;_-* &quot;-&quot;??_-;_-@_-"/>
    <numFmt numFmtId="169" formatCode="_(&quot;$&quot;* #,##0.000_);_(&quot;$&quot;* \(#,##0.000\);_(&quot;$&quot;* &quot;-&quot;??_);_(@_)"/>
    <numFmt numFmtId="170" formatCode="_(* #,##0.0000_);_(* \(#,##0.0000\);_(* &quot;-&quot;??_);_(@_)"/>
    <numFmt numFmtId="171" formatCode="_-&quot;$&quot;* #,##0.0000_-;\-&quot;$&quot;* #,##0.0000_-;_-&quot;$&quot;* &quot;-&quot;??_-;_-@_-"/>
    <numFmt numFmtId="172" formatCode="_(&quot;$&quot;* #,##0.00000_);_(&quot;$&quot;* \(#,##0.00000\);_(&quot;$&quot;* &quot;-&quot;??_);_(@_)"/>
    <numFmt numFmtId="173" formatCode="_-&quot;$&quot;* #,##0.00_-;\-&quot;$&quot;* #,##0.00_-;_-&quot;$&quot;* &quot;-&quot;??_-;_-@_-"/>
    <numFmt numFmtId="174" formatCode="_-* #,##0.00_-;\-* #,##0.00_-;_-* &quot;-&quot;??_-;_-@_-"/>
    <numFmt numFmtId="175" formatCode="_-&quot;$&quot;* #,##0_-;\-&quot;$&quot;* #,##0_-;_-&quot;$&quot;* &quot;-&quot;????_-;_-@_-"/>
    <numFmt numFmtId="176" formatCode="_-&quot;$&quot;* #,##0_-;\-&quot;$&quot;* #,##0_-;_-&quot;$&quot;* &quot;-&quot;??_-;_-@_-"/>
    <numFmt numFmtId="177" formatCode="_-&quot;$&quot;* #,##0.00000_-;\-&quot;$&quot;* #,##0.00000_-;_-&quot;$&quot;* &quot;-&quot;??_-;_-@_-"/>
    <numFmt numFmtId="178" formatCode="0.000000"/>
    <numFmt numFmtId="179" formatCode="_(* #,##0.000_);_(* \(#,##0.000\);_(* &quot;-&quot;??_);_(@_)"/>
    <numFmt numFmtId="180" formatCode="0.00000"/>
    <numFmt numFmtId="181" formatCode="\ mm\/dd\/yyyy"/>
    <numFmt numFmtId="182" formatCode="0.0000"/>
    <numFmt numFmtId="183" formatCode="_(* #,##0.000000_);_(* \(#,##0.000000\);_(* &quot;-&quot;??_);_(@_)"/>
    <numFmt numFmtId="184" formatCode="0.0%"/>
    <numFmt numFmtId="185" formatCode="_(&quot;$&quot;* #,##0.000000_);_(&quot;$&quot;* \(#,##0.000000\);_(&quot;$&quot;* &quot;-&quot;??_);_(@_)"/>
    <numFmt numFmtId="186" formatCode="0.000%"/>
    <numFmt numFmtId="187" formatCode="_(* #,##0.0000000_);_(* \(#,##0.0000000\);_(* &quot;-&quot;??_);_(@_)"/>
    <numFmt numFmtId="188" formatCode="_-* #,##0.000000_-;\-* #,##0.000000_-;_-* &quot;-&quot;??_-;_-@_-"/>
    <numFmt numFmtId="189" formatCode="#,##0.00000_);[Red]\(#,##0.00000\)"/>
    <numFmt numFmtId="190" formatCode="_(&quot;$&quot;* #,##0.0000_);_(&quot;$&quot;* \(#,##0.0000\);_(&quot;$&quot;* &quot;-&quot;??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Arial"/>
      <family val="2"/>
    </font>
    <font>
      <u/>
      <sz val="10"/>
      <name val="Arial"/>
      <family val="2"/>
    </font>
    <font>
      <sz val="11"/>
      <name val="Comic Sans MS"/>
      <family val="4"/>
    </font>
    <font>
      <b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 style="dashed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445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Border="1"/>
    <xf numFmtId="0" fontId="0" fillId="0" borderId="0" xfId="0" applyFont="1"/>
    <xf numFmtId="164" fontId="0" fillId="0" borderId="0" xfId="1" applyNumberFormat="1" applyFont="1" applyFill="1"/>
    <xf numFmtId="164" fontId="0" fillId="0" borderId="0" xfId="1" applyNumberFormat="1" applyFont="1"/>
    <xf numFmtId="164" fontId="0" fillId="0" borderId="0" xfId="0" applyNumberFormat="1"/>
    <xf numFmtId="0" fontId="3" fillId="0" borderId="0" xfId="0" applyFont="1" applyBorder="1"/>
    <xf numFmtId="165" fontId="0" fillId="0" borderId="0" xfId="0" applyNumberFormat="1" applyBorder="1"/>
    <xf numFmtId="164" fontId="0" fillId="0" borderId="1" xfId="1" applyNumberFormat="1" applyFont="1" applyFill="1" applyBorder="1"/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0" fontId="0" fillId="0" borderId="0" xfId="3" applyNumberFormat="1" applyFont="1"/>
    <xf numFmtId="10" fontId="0" fillId="0" borderId="0" xfId="3" applyNumberFormat="1" applyFont="1" applyFill="1"/>
    <xf numFmtId="166" fontId="0" fillId="0" borderId="0" xfId="0" applyNumberFormat="1" applyBorder="1"/>
    <xf numFmtId="167" fontId="0" fillId="0" borderId="0" xfId="0" applyNumberFormat="1" applyBorder="1"/>
    <xf numFmtId="164" fontId="0" fillId="0" borderId="0" xfId="0" applyNumberFormat="1" applyBorder="1"/>
    <xf numFmtId="165" fontId="0" fillId="0" borderId="0" xfId="2" applyNumberFormat="1" applyFont="1" applyBorder="1"/>
    <xf numFmtId="0" fontId="0" fillId="0" borderId="0" xfId="0" applyFill="1"/>
    <xf numFmtId="10" fontId="0" fillId="0" borderId="2" xfId="0" applyNumberFormat="1" applyBorder="1"/>
    <xf numFmtId="164" fontId="0" fillId="0" borderId="2" xfId="0" applyNumberFormat="1" applyBorder="1"/>
    <xf numFmtId="0" fontId="4" fillId="0" borderId="0" xfId="0" applyFont="1"/>
    <xf numFmtId="167" fontId="0" fillId="0" borderId="0" xfId="0" applyNumberFormat="1"/>
    <xf numFmtId="165" fontId="0" fillId="0" borderId="0" xfId="2" applyNumberFormat="1" applyFont="1"/>
    <xf numFmtId="168" fontId="0" fillId="0" borderId="0" xfId="1" applyNumberFormat="1" applyFont="1"/>
    <xf numFmtId="169" fontId="0" fillId="0" borderId="0" xfId="2" applyNumberFormat="1" applyFont="1" applyFill="1"/>
    <xf numFmtId="169" fontId="0" fillId="0" borderId="0" xfId="2" applyNumberFormat="1" applyFont="1"/>
    <xf numFmtId="164" fontId="5" fillId="0" borderId="0" xfId="1" applyNumberFormat="1" applyFont="1" applyFill="1"/>
    <xf numFmtId="43" fontId="0" fillId="0" borderId="0" xfId="0" applyNumberFormat="1"/>
    <xf numFmtId="164" fontId="0" fillId="0" borderId="0" xfId="3" applyNumberFormat="1" applyFont="1"/>
    <xf numFmtId="0" fontId="0" fillId="0" borderId="0" xfId="0" applyAlignment="1">
      <alignment horizontal="center"/>
    </xf>
    <xf numFmtId="170" fontId="0" fillId="0" borderId="0" xfId="0" applyNumberFormat="1"/>
    <xf numFmtId="167" fontId="0" fillId="0" borderId="0" xfId="2" applyNumberFormat="1" applyFont="1"/>
    <xf numFmtId="44" fontId="0" fillId="0" borderId="0" xfId="0" applyNumberFormat="1"/>
    <xf numFmtId="171" fontId="0" fillId="0" borderId="0" xfId="0" applyNumberFormat="1"/>
    <xf numFmtId="165" fontId="2" fillId="0" borderId="0" xfId="2" applyNumberFormat="1" applyFont="1" applyBorder="1" applyAlignment="1">
      <alignment horizontal="center"/>
    </xf>
    <xf numFmtId="165" fontId="0" fillId="0" borderId="0" xfId="2" applyNumberFormat="1" applyFont="1" applyFill="1"/>
    <xf numFmtId="165" fontId="0" fillId="0" borderId="0" xfId="0" applyNumberFormat="1" applyFill="1"/>
    <xf numFmtId="172" fontId="0" fillId="0" borderId="0" xfId="0" applyNumberFormat="1" applyFill="1"/>
    <xf numFmtId="165" fontId="0" fillId="0" borderId="2" xfId="2" applyNumberFormat="1" applyFont="1" applyFill="1" applyBorder="1"/>
    <xf numFmtId="44" fontId="0" fillId="0" borderId="0" xfId="2" applyFont="1"/>
    <xf numFmtId="44" fontId="0" fillId="0" borderId="0" xfId="2" applyFont="1" applyFill="1"/>
    <xf numFmtId="165" fontId="0" fillId="0" borderId="0" xfId="0" applyNumberFormat="1"/>
    <xf numFmtId="164" fontId="0" fillId="0" borderId="0" xfId="0" applyNumberFormat="1" applyFill="1"/>
    <xf numFmtId="0" fontId="2" fillId="0" borderId="0" xfId="0" applyFont="1" applyFill="1" applyAlignment="1">
      <alignment horizontal="center" wrapText="1"/>
    </xf>
    <xf numFmtId="173" fontId="0" fillId="0" borderId="0" xfId="0" applyNumberFormat="1"/>
    <xf numFmtId="174" fontId="0" fillId="0" borderId="0" xfId="0" applyNumberFormat="1" applyFill="1"/>
    <xf numFmtId="175" fontId="0" fillId="0" borderId="0" xfId="0" applyNumberFormat="1"/>
    <xf numFmtId="175" fontId="0" fillId="0" borderId="0" xfId="0" applyNumberFormat="1" applyFill="1"/>
    <xf numFmtId="164" fontId="0" fillId="0" borderId="2" xfId="1" applyNumberFormat="1" applyFont="1" applyBorder="1"/>
    <xf numFmtId="165" fontId="0" fillId="0" borderId="0" xfId="2" applyNumberFormat="1" applyFont="1" applyFill="1" applyBorder="1"/>
    <xf numFmtId="164" fontId="0" fillId="0" borderId="0" xfId="1" applyNumberFormat="1" applyFont="1" applyBorder="1"/>
    <xf numFmtId="44" fontId="0" fillId="0" borderId="0" xfId="0" applyNumberFormat="1" applyFill="1"/>
    <xf numFmtId="165" fontId="2" fillId="0" borderId="0" xfId="2" applyNumberFormat="1" applyFont="1" applyFill="1" applyBorder="1" applyAlignment="1">
      <alignment horizontal="center"/>
    </xf>
    <xf numFmtId="167" fontId="0" fillId="0" borderId="0" xfId="0" applyNumberFormat="1" applyFont="1" applyFill="1"/>
    <xf numFmtId="164" fontId="1" fillId="0" borderId="0" xfId="1" applyNumberFormat="1" applyFont="1" applyBorder="1"/>
    <xf numFmtId="165" fontId="1" fillId="0" borderId="0" xfId="2" applyNumberFormat="1" applyFont="1" applyFill="1" applyBorder="1"/>
    <xf numFmtId="165" fontId="0" fillId="0" borderId="2" xfId="2" applyNumberFormat="1" applyFont="1" applyBorder="1"/>
    <xf numFmtId="10" fontId="0" fillId="0" borderId="0" xfId="3" applyNumberFormat="1" applyFont="1" applyFill="1" applyBorder="1"/>
    <xf numFmtId="174" fontId="0" fillId="0" borderId="0" xfId="0" applyNumberFormat="1"/>
    <xf numFmtId="166" fontId="0" fillId="0" borderId="0" xfId="1" applyNumberFormat="1" applyFont="1" applyBorder="1"/>
    <xf numFmtId="177" fontId="0" fillId="0" borderId="0" xfId="0" applyNumberFormat="1"/>
    <xf numFmtId="167" fontId="0" fillId="0" borderId="1" xfId="0" applyNumberFormat="1" applyBorder="1"/>
    <xf numFmtId="164" fontId="0" fillId="0" borderId="1" xfId="1" applyNumberFormat="1" applyFont="1" applyBorder="1"/>
    <xf numFmtId="165" fontId="0" fillId="0" borderId="2" xfId="0" applyNumberFormat="1" applyBorder="1"/>
    <xf numFmtId="172" fontId="0" fillId="0" borderId="0" xfId="3" applyNumberFormat="1" applyFont="1" applyBorder="1"/>
    <xf numFmtId="174" fontId="0" fillId="0" borderId="0" xfId="1" applyNumberFormat="1" applyFont="1" applyBorder="1"/>
    <xf numFmtId="172" fontId="0" fillId="0" borderId="0" xfId="2" applyNumberFormat="1" applyFont="1" applyBorder="1"/>
    <xf numFmtId="43" fontId="0" fillId="0" borderId="0" xfId="1" applyFont="1" applyBorder="1"/>
    <xf numFmtId="0" fontId="0" fillId="0" borderId="0" xfId="0" applyFill="1" applyBorder="1"/>
    <xf numFmtId="164" fontId="0" fillId="0" borderId="0" xfId="1" applyNumberFormat="1" applyFont="1" applyFill="1" applyBorder="1"/>
    <xf numFmtId="165" fontId="0" fillId="0" borderId="0" xfId="0" applyNumberFormat="1" applyFill="1" applyBorder="1"/>
    <xf numFmtId="0" fontId="9" fillId="0" borderId="0" xfId="0" applyFont="1"/>
    <xf numFmtId="0" fontId="2" fillId="0" borderId="0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0" borderId="4" xfId="0" applyBorder="1"/>
    <xf numFmtId="167" fontId="0" fillId="0" borderId="5" xfId="2" applyNumberFormat="1" applyFont="1" applyBorder="1"/>
    <xf numFmtId="171" fontId="0" fillId="0" borderId="5" xfId="0" applyNumberFormat="1" applyBorder="1"/>
    <xf numFmtId="169" fontId="0" fillId="0" borderId="0" xfId="0" applyNumberFormat="1" applyBorder="1"/>
    <xf numFmtId="167" fontId="0" fillId="0" borderId="0" xfId="2" applyNumberFormat="1" applyFont="1" applyBorder="1"/>
    <xf numFmtId="171" fontId="0" fillId="0" borderId="0" xfId="0" applyNumberFormat="1" applyBorder="1"/>
    <xf numFmtId="164" fontId="0" fillId="0" borderId="0" xfId="3" applyNumberFormat="1" applyFont="1" applyBorder="1"/>
    <xf numFmtId="0" fontId="0" fillId="0" borderId="6" xfId="0" applyBorder="1"/>
    <xf numFmtId="0" fontId="0" fillId="0" borderId="7" xfId="0" applyBorder="1"/>
    <xf numFmtId="167" fontId="0" fillId="0" borderId="8" xfId="2" applyNumberFormat="1" applyFont="1" applyBorder="1"/>
    <xf numFmtId="171" fontId="0" fillId="0" borderId="8" xfId="0" applyNumberFormat="1" applyBorder="1"/>
    <xf numFmtId="167" fontId="0" fillId="0" borderId="9" xfId="2" applyNumberFormat="1" applyFont="1" applyBorder="1"/>
    <xf numFmtId="177" fontId="0" fillId="0" borderId="0" xfId="0" applyNumberFormat="1" applyBorder="1"/>
    <xf numFmtId="0" fontId="0" fillId="0" borderId="0" xfId="0" applyBorder="1" applyAlignment="1">
      <alignment horizontal="center"/>
    </xf>
    <xf numFmtId="173" fontId="0" fillId="0" borderId="0" xfId="0" applyNumberFormat="1" applyBorder="1"/>
    <xf numFmtId="0" fontId="2" fillId="0" borderId="3" xfId="0" applyFont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169" fontId="0" fillId="0" borderId="5" xfId="0" applyNumberFormat="1" applyBorder="1"/>
    <xf numFmtId="169" fontId="0" fillId="0" borderId="8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11" xfId="0" applyBorder="1"/>
    <xf numFmtId="0" fontId="0" fillId="0" borderId="0" xfId="0" applyBorder="1" applyAlignment="1">
      <alignment horizontal="left"/>
    </xf>
    <xf numFmtId="0" fontId="11" fillId="0" borderId="0" xfId="0" applyFont="1" applyFill="1"/>
    <xf numFmtId="0" fontId="0" fillId="0" borderId="8" xfId="0" applyBorder="1" applyAlignment="1">
      <alignment horizontal="center"/>
    </xf>
    <xf numFmtId="164" fontId="0" fillId="2" borderId="0" xfId="1" applyNumberFormat="1" applyFont="1" applyFill="1"/>
    <xf numFmtId="164" fontId="0" fillId="2" borderId="0" xfId="0" applyNumberFormat="1" applyFill="1"/>
    <xf numFmtId="172" fontId="0" fillId="0" borderId="0" xfId="0" applyNumberFormat="1"/>
    <xf numFmtId="167" fontId="0" fillId="0" borderId="5" xfId="2" applyNumberFormat="1" applyFont="1" applyFill="1" applyBorder="1"/>
    <xf numFmtId="167" fontId="0" fillId="0" borderId="0" xfId="2" applyNumberFormat="1" applyFont="1" applyFill="1" applyBorder="1"/>
    <xf numFmtId="167" fontId="0" fillId="0" borderId="8" xfId="2" applyNumberFormat="1" applyFont="1" applyFill="1" applyBorder="1"/>
    <xf numFmtId="0" fontId="0" fillId="0" borderId="0" xfId="0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3" fontId="0" fillId="0" borderId="0" xfId="1" applyFont="1"/>
    <xf numFmtId="43" fontId="0" fillId="0" borderId="0" xfId="1" applyNumberFormat="1" applyFont="1" applyFill="1" applyBorder="1"/>
    <xf numFmtId="0" fontId="16" fillId="0" borderId="0" xfId="0" applyFont="1" applyAlignment="1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2" fillId="0" borderId="33" xfId="0" applyFont="1" applyBorder="1"/>
    <xf numFmtId="0" fontId="2" fillId="0" borderId="34" xfId="0" applyFont="1" applyBorder="1" applyAlignment="1">
      <alignment horizontal="center" wrapText="1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5" xfId="0" applyFont="1" applyBorder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0" xfId="1" applyNumberFormat="1" applyFont="1" applyAlignment="1">
      <alignment wrapText="1"/>
    </xf>
    <xf numFmtId="187" fontId="0" fillId="0" borderId="0" xfId="0" applyNumberFormat="1" applyAlignment="1">
      <alignment wrapText="1"/>
    </xf>
    <xf numFmtId="0" fontId="0" fillId="0" borderId="3" xfId="0" applyFont="1" applyBorder="1"/>
    <xf numFmtId="164" fontId="0" fillId="0" borderId="37" xfId="0" applyNumberFormat="1" applyBorder="1"/>
    <xf numFmtId="167" fontId="0" fillId="0" borderId="37" xfId="0" applyNumberFormat="1" applyBorder="1"/>
    <xf numFmtId="0" fontId="0" fillId="0" borderId="37" xfId="0" applyBorder="1"/>
    <xf numFmtId="164" fontId="0" fillId="0" borderId="3" xfId="0" applyNumberFormat="1" applyBorder="1"/>
    <xf numFmtId="167" fontId="0" fillId="0" borderId="3" xfId="0" applyNumberFormat="1" applyBorder="1"/>
    <xf numFmtId="0" fontId="0" fillId="0" borderId="3" xfId="0" applyBorder="1"/>
    <xf numFmtId="164" fontId="0" fillId="0" borderId="38" xfId="0" applyNumberFormat="1" applyBorder="1"/>
    <xf numFmtId="167" fontId="0" fillId="0" borderId="38" xfId="0" applyNumberFormat="1" applyBorder="1"/>
    <xf numFmtId="43" fontId="0" fillId="0" borderId="0" xfId="0" applyNumberFormat="1" applyAlignment="1">
      <alignment wrapText="1"/>
    </xf>
    <xf numFmtId="164" fontId="0" fillId="0" borderId="39" xfId="0" applyNumberFormat="1" applyBorder="1"/>
    <xf numFmtId="0" fontId="0" fillId="0" borderId="30" xfId="0" applyBorder="1"/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4" fontId="0" fillId="0" borderId="0" xfId="0" applyNumberForma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31" xfId="0" applyFill="1" applyBorder="1"/>
    <xf numFmtId="0" fontId="2" fillId="0" borderId="4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0" fillId="0" borderId="20" xfId="0" applyFont="1" applyBorder="1"/>
    <xf numFmtId="164" fontId="0" fillId="0" borderId="44" xfId="0" applyNumberFormat="1" applyBorder="1"/>
    <xf numFmtId="167" fontId="0" fillId="0" borderId="43" xfId="0" applyNumberFormat="1" applyBorder="1"/>
    <xf numFmtId="164" fontId="0" fillId="0" borderId="45" xfId="1" applyNumberFormat="1" applyFont="1" applyBorder="1"/>
    <xf numFmtId="164" fontId="0" fillId="0" borderId="46" xfId="0" applyNumberFormat="1" applyBorder="1"/>
    <xf numFmtId="164" fontId="0" fillId="0" borderId="4" xfId="0" applyNumberFormat="1" applyBorder="1"/>
    <xf numFmtId="164" fontId="0" fillId="0" borderId="47" xfId="0" applyNumberFormat="1" applyBorder="1"/>
    <xf numFmtId="167" fontId="0" fillId="0" borderId="32" xfId="0" applyNumberFormat="1" applyBorder="1"/>
    <xf numFmtId="0" fontId="0" fillId="0" borderId="48" xfId="0" applyBorder="1"/>
    <xf numFmtId="164" fontId="0" fillId="0" borderId="28" xfId="0" applyNumberFormat="1" applyBorder="1"/>
    <xf numFmtId="170" fontId="0" fillId="0" borderId="0" xfId="0" applyNumberFormat="1" applyAlignment="1">
      <alignment wrapText="1"/>
    </xf>
    <xf numFmtId="167" fontId="0" fillId="0" borderId="49" xfId="0" applyNumberFormat="1" applyBorder="1"/>
    <xf numFmtId="164" fontId="0" fillId="0" borderId="47" xfId="0" applyNumberFormat="1" applyFill="1" applyBorder="1"/>
    <xf numFmtId="43" fontId="0" fillId="0" borderId="47" xfId="0" applyNumberFormat="1" applyBorder="1"/>
    <xf numFmtId="188" fontId="0" fillId="0" borderId="0" xfId="0" applyNumberFormat="1"/>
    <xf numFmtId="0" fontId="0" fillId="0" borderId="5" xfId="0" applyBorder="1"/>
    <xf numFmtId="0" fontId="0" fillId="0" borderId="6" xfId="0" applyFill="1" applyBorder="1" applyAlignment="1"/>
    <xf numFmtId="0" fontId="0" fillId="0" borderId="0" xfId="0" applyFill="1" applyBorder="1" applyAlignment="1"/>
    <xf numFmtId="0" fontId="2" fillId="0" borderId="50" xfId="0" applyFont="1" applyBorder="1" applyAlignment="1">
      <alignment horizontal="center"/>
    </xf>
    <xf numFmtId="0" fontId="0" fillId="0" borderId="0" xfId="0" applyBorder="1" applyAlignment="1">
      <alignment wrapText="1"/>
    </xf>
    <xf numFmtId="164" fontId="0" fillId="0" borderId="32" xfId="0" applyNumberFormat="1" applyBorder="1"/>
    <xf numFmtId="167" fontId="0" fillId="0" borderId="30" xfId="0" applyNumberFormat="1" applyBorder="1"/>
    <xf numFmtId="164" fontId="0" fillId="0" borderId="0" xfId="0" applyNumberFormat="1" applyBorder="1" applyAlignment="1">
      <alignment wrapText="1"/>
    </xf>
    <xf numFmtId="0" fontId="0" fillId="0" borderId="4" xfId="0" applyBorder="1" applyAlignment="1"/>
    <xf numFmtId="0" fontId="0" fillId="3" borderId="26" xfId="0" applyFill="1" applyBorder="1" applyAlignment="1"/>
    <xf numFmtId="0" fontId="2" fillId="0" borderId="4" xfId="0" applyFont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164" fontId="0" fillId="0" borderId="0" xfId="0" applyNumberFormat="1" applyFill="1" applyBorder="1" applyAlignment="1">
      <alignment wrapText="1"/>
    </xf>
    <xf numFmtId="0" fontId="2" fillId="0" borderId="34" xfId="0" applyFont="1" applyBorder="1"/>
    <xf numFmtId="164" fontId="2" fillId="0" borderId="35" xfId="0" applyNumberFormat="1" applyFont="1" applyFill="1" applyBorder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2" fillId="0" borderId="41" xfId="0" applyFont="1" applyBorder="1" applyAlignment="1">
      <alignment horizontal="center"/>
    </xf>
    <xf numFmtId="0" fontId="18" fillId="0" borderId="3" xfId="0" applyFont="1" applyBorder="1"/>
    <xf numFmtId="0" fontId="18" fillId="0" borderId="32" xfId="0" applyFont="1" applyBorder="1" applyAlignment="1">
      <alignment wrapText="1"/>
    </xf>
    <xf numFmtId="164" fontId="0" fillId="0" borderId="56" xfId="0" applyNumberFormat="1" applyFill="1" applyBorder="1" applyAlignment="1">
      <alignment wrapText="1"/>
    </xf>
    <xf numFmtId="167" fontId="0" fillId="0" borderId="57" xfId="2" applyNumberFormat="1" applyFont="1" applyFill="1" applyBorder="1" applyAlignment="1">
      <alignment wrapText="1"/>
    </xf>
    <xf numFmtId="165" fontId="0" fillId="0" borderId="58" xfId="0" applyNumberFormat="1" applyFill="1" applyBorder="1" applyAlignment="1">
      <alignment wrapText="1"/>
    </xf>
    <xf numFmtId="164" fontId="0" fillId="0" borderId="15" xfId="0" applyNumberFormat="1" applyBorder="1" applyAlignment="1">
      <alignment wrapText="1"/>
    </xf>
    <xf numFmtId="167" fontId="0" fillId="0" borderId="59" xfId="2" applyNumberFormat="1" applyFont="1" applyFill="1" applyBorder="1" applyAlignment="1">
      <alignment wrapText="1"/>
    </xf>
    <xf numFmtId="165" fontId="0" fillId="0" borderId="60" xfId="0" applyNumberFormat="1" applyBorder="1" applyAlignment="1">
      <alignment wrapText="1"/>
    </xf>
    <xf numFmtId="0" fontId="18" fillId="0" borderId="3" xfId="0" applyFont="1" applyBorder="1" applyAlignment="1">
      <alignment wrapText="1"/>
    </xf>
    <xf numFmtId="167" fontId="0" fillId="0" borderId="59" xfId="0" applyNumberFormat="1" applyBorder="1" applyAlignment="1">
      <alignment wrapText="1"/>
    </xf>
    <xf numFmtId="0" fontId="0" fillId="0" borderId="0" xfId="0" applyAlignment="1"/>
    <xf numFmtId="164" fontId="0" fillId="0" borderId="61" xfId="1" applyNumberFormat="1" applyFont="1" applyBorder="1" applyAlignment="1">
      <alignment wrapText="1"/>
    </xf>
    <xf numFmtId="167" fontId="0" fillId="0" borderId="62" xfId="2" applyNumberFormat="1" applyFont="1" applyBorder="1" applyAlignment="1">
      <alignment wrapText="1"/>
    </xf>
    <xf numFmtId="165" fontId="0" fillId="0" borderId="63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29" xfId="0" applyBorder="1" applyAlignment="1">
      <alignment horizontal="left"/>
    </xf>
    <xf numFmtId="0" fontId="0" fillId="0" borderId="29" xfId="0" applyBorder="1"/>
    <xf numFmtId="164" fontId="0" fillId="0" borderId="64" xfId="0" applyNumberFormat="1" applyFill="1" applyBorder="1"/>
    <xf numFmtId="0" fontId="0" fillId="0" borderId="5" xfId="0" applyBorder="1" applyAlignment="1"/>
    <xf numFmtId="0" fontId="2" fillId="0" borderId="6" xfId="0" applyFont="1" applyBorder="1" applyAlignment="1">
      <alignment horizontal="center" wrapText="1"/>
    </xf>
    <xf numFmtId="0" fontId="18" fillId="0" borderId="20" xfId="0" applyFont="1" applyBorder="1"/>
    <xf numFmtId="0" fontId="18" fillId="0" borderId="7" xfId="0" applyFont="1" applyBorder="1" applyAlignment="1">
      <alignment wrapText="1"/>
    </xf>
    <xf numFmtId="165" fontId="0" fillId="0" borderId="58" xfId="0" applyNumberFormat="1" applyBorder="1" applyAlignment="1">
      <alignment wrapText="1"/>
    </xf>
    <xf numFmtId="44" fontId="0" fillId="0" borderId="0" xfId="0" applyNumberFormat="1" applyAlignment="1">
      <alignment wrapText="1"/>
    </xf>
    <xf numFmtId="165" fontId="0" fillId="0" borderId="63" xfId="2" applyNumberFormat="1" applyFont="1" applyBorder="1" applyAlignment="1">
      <alignment wrapText="1"/>
    </xf>
    <xf numFmtId="44" fontId="0" fillId="0" borderId="0" xfId="0" applyNumberFormat="1" applyAlignment="1"/>
    <xf numFmtId="170" fontId="0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Font="1" applyFill="1"/>
    <xf numFmtId="168" fontId="0" fillId="2" borderId="0" xfId="1" applyNumberFormat="1" applyFont="1" applyFill="1"/>
    <xf numFmtId="43" fontId="0" fillId="0" borderId="0" xfId="0" applyNumberFormat="1" applyFill="1"/>
    <xf numFmtId="172" fontId="0" fillId="0" borderId="0" xfId="2" applyNumberFormat="1" applyFont="1" applyFill="1" applyAlignment="1">
      <alignment horizontal="right"/>
    </xf>
    <xf numFmtId="165" fontId="0" fillId="2" borderId="0" xfId="2" applyNumberFormat="1" applyFont="1" applyFill="1"/>
    <xf numFmtId="176" fontId="0" fillId="2" borderId="0" xfId="2" applyNumberFormat="1" applyFont="1" applyFill="1"/>
    <xf numFmtId="171" fontId="0" fillId="0" borderId="5" xfId="0" applyNumberFormat="1" applyFill="1" applyBorder="1"/>
    <xf numFmtId="164" fontId="0" fillId="0" borderId="0" xfId="3" applyNumberFormat="1" applyFont="1" applyFill="1"/>
    <xf numFmtId="171" fontId="0" fillId="0" borderId="0" xfId="0" applyNumberFormat="1" applyFill="1" applyBorder="1"/>
    <xf numFmtId="171" fontId="0" fillId="0" borderId="8" xfId="0" applyNumberFormat="1" applyFill="1" applyBorder="1"/>
    <xf numFmtId="165" fontId="2" fillId="0" borderId="6" xfId="2" applyNumberFormat="1" applyFont="1" applyBorder="1" applyAlignment="1">
      <alignment horizontal="center"/>
    </xf>
    <xf numFmtId="165" fontId="0" fillId="0" borderId="27" xfId="2" applyNumberFormat="1" applyFont="1" applyBorder="1"/>
    <xf numFmtId="164" fontId="2" fillId="0" borderId="6" xfId="1" applyNumberFormat="1" applyFont="1" applyBorder="1" applyAlignment="1">
      <alignment horizontal="center"/>
    </xf>
    <xf numFmtId="165" fontId="2" fillId="0" borderId="27" xfId="2" applyNumberFormat="1" applyFont="1" applyBorder="1" applyAlignment="1">
      <alignment horizontal="center"/>
    </xf>
    <xf numFmtId="164" fontId="0" fillId="0" borderId="6" xfId="0" applyNumberFormat="1" applyFill="1" applyBorder="1"/>
    <xf numFmtId="165" fontId="0" fillId="0" borderId="27" xfId="2" applyNumberFormat="1" applyFont="1" applyFill="1" applyBorder="1"/>
    <xf numFmtId="164" fontId="0" fillId="0" borderId="7" xfId="1" applyNumberFormat="1" applyFont="1" applyFill="1" applyBorder="1"/>
    <xf numFmtId="165" fontId="0" fillId="0" borderId="65" xfId="0" applyNumberFormat="1" applyFill="1" applyBorder="1"/>
    <xf numFmtId="0" fontId="0" fillId="0" borderId="6" xfId="0" applyFill="1" applyBorder="1"/>
    <xf numFmtId="0" fontId="0" fillId="0" borderId="27" xfId="0" applyFill="1" applyBorder="1"/>
    <xf numFmtId="164" fontId="2" fillId="0" borderId="0" xfId="0" applyNumberFormat="1" applyFont="1" applyFill="1" applyBorder="1" applyAlignment="1">
      <alignment horizontal="center"/>
    </xf>
    <xf numFmtId="165" fontId="0" fillId="0" borderId="0" xfId="1" applyNumberFormat="1" applyFont="1" applyFill="1" applyBorder="1"/>
    <xf numFmtId="173" fontId="0" fillId="0" borderId="0" xfId="0" applyNumberFormat="1" applyFill="1" applyBorder="1"/>
    <xf numFmtId="174" fontId="0" fillId="0" borderId="0" xfId="0" applyNumberFormat="1" applyFill="1" applyBorder="1"/>
    <xf numFmtId="175" fontId="0" fillId="0" borderId="0" xfId="0" applyNumberFormat="1" applyFill="1" applyBorder="1"/>
    <xf numFmtId="178" fontId="0" fillId="0" borderId="0" xfId="0" applyNumberFormat="1" applyFill="1"/>
    <xf numFmtId="0" fontId="2" fillId="0" borderId="0" xfId="0" applyFont="1" applyFill="1"/>
    <xf numFmtId="165" fontId="0" fillId="0" borderId="1" xfId="0" applyNumberFormat="1" applyFill="1" applyBorder="1"/>
    <xf numFmtId="0" fontId="0" fillId="0" borderId="26" xfId="0" applyBorder="1"/>
    <xf numFmtId="0" fontId="0" fillId="0" borderId="7" xfId="0" applyBorder="1" applyAlignment="1">
      <alignment horizontal="center"/>
    </xf>
    <xf numFmtId="0" fontId="0" fillId="0" borderId="27" xfId="0" applyBorder="1"/>
    <xf numFmtId="165" fontId="0" fillId="0" borderId="6" xfId="0" applyNumberFormat="1" applyBorder="1"/>
    <xf numFmtId="165" fontId="0" fillId="0" borderId="6" xfId="0" applyNumberFormat="1" applyFill="1" applyBorder="1"/>
    <xf numFmtId="165" fontId="11" fillId="0" borderId="0" xfId="2" applyNumberFormat="1" applyFont="1" applyFill="1" applyBorder="1" applyAlignment="1">
      <alignment horizontal="right"/>
    </xf>
    <xf numFmtId="165" fontId="0" fillId="0" borderId="27" xfId="0" applyNumberFormat="1" applyFill="1" applyBorder="1"/>
    <xf numFmtId="165" fontId="0" fillId="0" borderId="32" xfId="0" applyNumberFormat="1" applyFill="1" applyBorder="1"/>
    <xf numFmtId="174" fontId="0" fillId="0" borderId="27" xfId="0" applyNumberFormat="1" applyFill="1" applyBorder="1"/>
    <xf numFmtId="165" fontId="0" fillId="0" borderId="28" xfId="0" applyNumberFormat="1" applyBorder="1"/>
    <xf numFmtId="0" fontId="0" fillId="0" borderId="28" xfId="0" applyFill="1" applyBorder="1"/>
    <xf numFmtId="173" fontId="0" fillId="0" borderId="28" xfId="0" applyNumberFormat="1" applyFill="1" applyBorder="1"/>
    <xf numFmtId="165" fontId="19" fillId="0" borderId="0" xfId="2" applyNumberFormat="1" applyFont="1" applyFill="1" applyAlignment="1">
      <alignment horizontal="left"/>
    </xf>
    <xf numFmtId="0" fontId="23" fillId="0" borderId="0" xfId="0" applyFont="1"/>
    <xf numFmtId="0" fontId="22" fillId="4" borderId="0" xfId="0" applyFont="1" applyFill="1"/>
    <xf numFmtId="0" fontId="0" fillId="4" borderId="0" xfId="0" applyFill="1"/>
    <xf numFmtId="0" fontId="12" fillId="4" borderId="0" xfId="0" applyFont="1" applyFill="1"/>
    <xf numFmtId="0" fontId="0" fillId="4" borderId="0" xfId="0" applyFill="1" applyBorder="1"/>
    <xf numFmtId="0" fontId="0" fillId="4" borderId="0" xfId="0" applyFont="1" applyFill="1"/>
    <xf numFmtId="181" fontId="0" fillId="4" borderId="0" xfId="0" applyNumberFormat="1" applyFill="1" applyBorder="1"/>
    <xf numFmtId="0" fontId="15" fillId="4" borderId="0" xfId="4" applyNumberFormat="1" applyFont="1" applyFill="1" applyAlignment="1"/>
    <xf numFmtId="3" fontId="15" fillId="4" borderId="0" xfId="4" applyNumberFormat="1" applyFont="1" applyFill="1" applyAlignment="1"/>
    <xf numFmtId="4" fontId="15" fillId="4" borderId="0" xfId="4" applyNumberFormat="1" applyFont="1" applyFill="1" applyAlignment="1"/>
    <xf numFmtId="0" fontId="0" fillId="4" borderId="0" xfId="0" applyFill="1" applyAlignment="1">
      <alignment horizontal="center"/>
    </xf>
    <xf numFmtId="164" fontId="0" fillId="4" borderId="0" xfId="1" applyNumberFormat="1" applyFont="1" applyFill="1"/>
    <xf numFmtId="164" fontId="0" fillId="4" borderId="0" xfId="0" applyNumberFormat="1" applyFill="1" applyBorder="1"/>
    <xf numFmtId="164" fontId="0" fillId="4" borderId="0" xfId="0" applyNumberFormat="1" applyFill="1"/>
    <xf numFmtId="0" fontId="0" fillId="4" borderId="0" xfId="0" applyFill="1" applyBorder="1" applyAlignment="1">
      <alignment horizontal="center"/>
    </xf>
    <xf numFmtId="43" fontId="0" fillId="4" borderId="0" xfId="0" applyNumberFormat="1" applyFill="1"/>
    <xf numFmtId="164" fontId="0" fillId="4" borderId="0" xfId="1" applyNumberFormat="1" applyFont="1" applyFill="1" applyBorder="1"/>
    <xf numFmtId="164" fontId="0" fillId="4" borderId="9" xfId="1" applyNumberFormat="1" applyFont="1" applyFill="1" applyBorder="1"/>
    <xf numFmtId="43" fontId="0" fillId="4" borderId="0" xfId="1" applyFont="1" applyFill="1" applyBorder="1"/>
    <xf numFmtId="43" fontId="0" fillId="4" borderId="0" xfId="0" applyNumberFormat="1" applyFill="1" applyBorder="1"/>
    <xf numFmtId="0" fontId="0" fillId="4" borderId="21" xfId="0" applyFont="1" applyFill="1" applyBorder="1"/>
    <xf numFmtId="0" fontId="0" fillId="4" borderId="22" xfId="0" applyFont="1" applyFill="1" applyBorder="1"/>
    <xf numFmtId="164" fontId="0" fillId="4" borderId="22" xfId="1" applyNumberFormat="1" applyFont="1" applyFill="1" applyBorder="1"/>
    <xf numFmtId="164" fontId="0" fillId="4" borderId="23" xfId="1" applyNumberFormat="1" applyFont="1" applyFill="1" applyBorder="1"/>
    <xf numFmtId="181" fontId="0" fillId="4" borderId="0" xfId="0" applyNumberFormat="1" applyFill="1"/>
    <xf numFmtId="43" fontId="0" fillId="4" borderId="0" xfId="1" applyFont="1" applyFill="1"/>
    <xf numFmtId="164" fontId="0" fillId="4" borderId="8" xfId="1" applyNumberFormat="1" applyFont="1" applyFill="1" applyBorder="1" applyAlignment="1">
      <alignment horizontal="center"/>
    </xf>
    <xf numFmtId="164" fontId="0" fillId="4" borderId="8" xfId="1" applyNumberFormat="1" applyFont="1" applyFill="1" applyBorder="1"/>
    <xf numFmtId="0" fontId="0" fillId="4" borderId="0" xfId="0" applyFont="1" applyFill="1" applyBorder="1"/>
    <xf numFmtId="0" fontId="0" fillId="4" borderId="0" xfId="0" quotePrefix="1" applyFill="1"/>
    <xf numFmtId="183" fontId="0" fillId="4" borderId="0" xfId="0" applyNumberFormat="1" applyFill="1"/>
    <xf numFmtId="0" fontId="0" fillId="4" borderId="0" xfId="0" quotePrefix="1" applyFont="1" applyFill="1" applyBorder="1"/>
    <xf numFmtId="0" fontId="0" fillId="4" borderId="8" xfId="0" applyFill="1" applyBorder="1" applyAlignment="1">
      <alignment horizontal="center"/>
    </xf>
    <xf numFmtId="179" fontId="0" fillId="4" borderId="0" xfId="1" applyNumberFormat="1" applyFont="1" applyFill="1"/>
    <xf numFmtId="179" fontId="0" fillId="4" borderId="9" xfId="1" applyNumberFormat="1" applyFont="1" applyFill="1" applyBorder="1"/>
    <xf numFmtId="179" fontId="0" fillId="4" borderId="0" xfId="1" applyNumberFormat="1" applyFont="1" applyFill="1" applyBorder="1"/>
    <xf numFmtId="182" fontId="0" fillId="4" borderId="0" xfId="0" applyNumberFormat="1" applyFill="1"/>
    <xf numFmtId="164" fontId="0" fillId="4" borderId="9" xfId="0" applyNumberFormat="1" applyFill="1" applyBorder="1"/>
    <xf numFmtId="0" fontId="0" fillId="4" borderId="17" xfId="0" quotePrefix="1" applyFill="1" applyBorder="1"/>
    <xf numFmtId="0" fontId="0" fillId="4" borderId="17" xfId="0" applyFill="1" applyBorder="1"/>
    <xf numFmtId="164" fontId="0" fillId="4" borderId="17" xfId="1" applyNumberFormat="1" applyFont="1" applyFill="1" applyBorder="1"/>
    <xf numFmtId="182" fontId="0" fillId="4" borderId="17" xfId="0" applyNumberFormat="1" applyFill="1" applyBorder="1"/>
    <xf numFmtId="0" fontId="12" fillId="4" borderId="0" xfId="0" applyFont="1" applyFill="1" applyBorder="1"/>
    <xf numFmtId="0" fontId="0" fillId="4" borderId="0" xfId="0" quotePrefix="1" applyFill="1" applyBorder="1"/>
    <xf numFmtId="180" fontId="0" fillId="4" borderId="0" xfId="0" applyNumberFormat="1" applyFill="1" applyBorder="1"/>
    <xf numFmtId="0" fontId="0" fillId="4" borderId="8" xfId="0" applyFill="1" applyBorder="1" applyAlignment="1">
      <alignment horizontal="center" wrapText="1"/>
    </xf>
    <xf numFmtId="0" fontId="18" fillId="4" borderId="0" xfId="0" applyFont="1" applyFill="1" applyBorder="1"/>
    <xf numFmtId="164" fontId="0" fillId="4" borderId="1" xfId="0" applyNumberFormat="1" applyFill="1" applyBorder="1"/>
    <xf numFmtId="16" fontId="14" fillId="4" borderId="0" xfId="0" quotePrefix="1" applyNumberFormat="1" applyFont="1" applyFill="1" applyBorder="1"/>
    <xf numFmtId="38" fontId="14" fillId="4" borderId="0" xfId="0" applyNumberFormat="1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38" fontId="18" fillId="4" borderId="0" xfId="0" applyNumberFormat="1" applyFont="1" applyFill="1" applyBorder="1"/>
    <xf numFmtId="178" fontId="18" fillId="4" borderId="0" xfId="0" applyNumberFormat="1" applyFont="1" applyFill="1" applyBorder="1"/>
    <xf numFmtId="183" fontId="0" fillId="4" borderId="0" xfId="1" applyNumberFormat="1" applyFont="1" applyFill="1"/>
    <xf numFmtId="40" fontId="18" fillId="4" borderId="0" xfId="0" applyNumberFormat="1" applyFont="1" applyFill="1" applyBorder="1"/>
    <xf numFmtId="164" fontId="18" fillId="4" borderId="0" xfId="1" applyNumberFormat="1" applyFont="1" applyFill="1" applyBorder="1"/>
    <xf numFmtId="164" fontId="18" fillId="4" borderId="0" xfId="0" applyNumberFormat="1" applyFont="1" applyFill="1" applyBorder="1"/>
    <xf numFmtId="184" fontId="0" fillId="4" borderId="67" xfId="3" applyNumberFormat="1" applyFont="1" applyFill="1" applyBorder="1"/>
    <xf numFmtId="164" fontId="0" fillId="4" borderId="0" xfId="1" quotePrefix="1" applyNumberFormat="1" applyFont="1" applyFill="1" applyBorder="1"/>
    <xf numFmtId="0" fontId="0" fillId="4" borderId="2" xfId="0" applyFill="1" applyBorder="1"/>
    <xf numFmtId="164" fontId="0" fillId="4" borderId="2" xfId="0" applyNumberFormat="1" applyFill="1" applyBorder="1"/>
    <xf numFmtId="164" fontId="0" fillId="4" borderId="24" xfId="0" applyNumberFormat="1" applyFill="1" applyBorder="1"/>
    <xf numFmtId="179" fontId="0" fillId="4" borderId="0" xfId="0" applyNumberFormat="1" applyFill="1" applyBorder="1"/>
    <xf numFmtId="182" fontId="0" fillId="4" borderId="0" xfId="0" applyNumberFormat="1" applyFill="1" applyBorder="1"/>
    <xf numFmtId="165" fontId="0" fillId="4" borderId="0" xfId="2" applyNumberFormat="1" applyFont="1" applyFill="1" applyBorder="1"/>
    <xf numFmtId="165" fontId="0" fillId="4" borderId="0" xfId="2" quotePrefix="1" applyNumberFormat="1" applyFont="1" applyFill="1" applyBorder="1"/>
    <xf numFmtId="164" fontId="0" fillId="4" borderId="0" xfId="0" applyNumberFormat="1" applyFill="1" applyBorder="1" applyAlignment="1">
      <alignment horizontal="left"/>
    </xf>
    <xf numFmtId="166" fontId="0" fillId="4" borderId="0" xfId="1" applyNumberFormat="1" applyFont="1" applyFill="1" applyBorder="1"/>
    <xf numFmtId="10" fontId="0" fillId="4" borderId="0" xfId="3" applyNumberFormat="1" applyFont="1" applyFill="1"/>
    <xf numFmtId="186" fontId="0" fillId="4" borderId="0" xfId="3" applyNumberFormat="1" applyFont="1" applyFill="1"/>
    <xf numFmtId="166" fontId="0" fillId="4" borderId="0" xfId="0" applyNumberFormat="1" applyFill="1"/>
    <xf numFmtId="186" fontId="0" fillId="4" borderId="0" xfId="0" applyNumberFormat="1" applyFill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164" fontId="0" fillId="4" borderId="14" xfId="0" applyNumberFormat="1" applyFill="1" applyBorder="1"/>
    <xf numFmtId="0" fontId="0" fillId="4" borderId="16" xfId="0" applyFill="1" applyBorder="1"/>
    <xf numFmtId="0" fontId="0" fillId="4" borderId="18" xfId="0" applyFill="1" applyBorder="1"/>
    <xf numFmtId="178" fontId="0" fillId="4" borderId="0" xfId="0" applyNumberFormat="1" applyFill="1"/>
    <xf numFmtId="189" fontId="0" fillId="4" borderId="0" xfId="0" applyNumberFormat="1" applyFill="1"/>
    <xf numFmtId="38" fontId="0" fillId="4" borderId="0" xfId="0" applyNumberFormat="1" applyFill="1"/>
    <xf numFmtId="0" fontId="23" fillId="4" borderId="0" xfId="0" applyFont="1" applyFill="1"/>
    <xf numFmtId="164" fontId="0" fillId="5" borderId="40" xfId="0" applyNumberFormat="1" applyFill="1" applyBorder="1"/>
    <xf numFmtId="164" fontId="0" fillId="5" borderId="51" xfId="0" applyNumberFormat="1" applyFill="1" applyBorder="1"/>
    <xf numFmtId="164" fontId="0" fillId="5" borderId="52" xfId="0" applyNumberFormat="1" applyFill="1" applyBorder="1" applyAlignment="1">
      <alignment wrapText="1"/>
    </xf>
    <xf numFmtId="167" fontId="0" fillId="0" borderId="38" xfId="0" applyNumberFormat="1" applyFill="1" applyBorder="1"/>
    <xf numFmtId="0" fontId="2" fillId="6" borderId="3" xfId="0" applyFont="1" applyFill="1" applyBorder="1" applyAlignment="1">
      <alignment horizontal="center" wrapText="1"/>
    </xf>
    <xf numFmtId="0" fontId="0" fillId="0" borderId="0" xfId="0" quotePrefix="1"/>
    <xf numFmtId="168" fontId="0" fillId="0" borderId="0" xfId="3" applyNumberFormat="1" applyFont="1" applyFill="1"/>
    <xf numFmtId="167" fontId="0" fillId="0" borderId="17" xfId="2" applyNumberFormat="1" applyFont="1" applyBorder="1"/>
    <xf numFmtId="0" fontId="0" fillId="0" borderId="7" xfId="0" applyFill="1" applyBorder="1"/>
    <xf numFmtId="186" fontId="0" fillId="0" borderId="0" xfId="3" applyNumberFormat="1" applyFont="1"/>
    <xf numFmtId="164" fontId="0" fillId="4" borderId="0" xfId="0" applyNumberFormat="1" applyFill="1" applyAlignment="1">
      <alignment horizontal="center"/>
    </xf>
    <xf numFmtId="0" fontId="0" fillId="0" borderId="17" xfId="0" applyFill="1" applyBorder="1"/>
    <xf numFmtId="0" fontId="3" fillId="0" borderId="0" xfId="0" applyFont="1" applyFill="1"/>
    <xf numFmtId="182" fontId="0" fillId="0" borderId="0" xfId="0" applyNumberFormat="1" applyFill="1"/>
    <xf numFmtId="164" fontId="0" fillId="0" borderId="9" xfId="0" applyNumberFormat="1" applyFill="1" applyBorder="1"/>
    <xf numFmtId="0" fontId="0" fillId="0" borderId="25" xfId="0" applyFill="1" applyBorder="1" applyAlignment="1">
      <alignment horizontal="center"/>
    </xf>
    <xf numFmtId="165" fontId="0" fillId="7" borderId="0" xfId="2" applyNumberFormat="1" applyFont="1" applyFill="1"/>
    <xf numFmtId="0" fontId="0" fillId="0" borderId="3" xfId="0" applyFont="1" applyFill="1" applyBorder="1"/>
    <xf numFmtId="164" fontId="0" fillId="0" borderId="19" xfId="0" applyNumberFormat="1" applyFill="1" applyBorder="1"/>
    <xf numFmtId="167" fontId="0" fillId="0" borderId="19" xfId="0" applyNumberFormat="1" applyFill="1" applyBorder="1"/>
    <xf numFmtId="168" fontId="0" fillId="7" borderId="0" xfId="3" applyNumberFormat="1" applyFont="1" applyFill="1"/>
    <xf numFmtId="167" fontId="0" fillId="0" borderId="68" xfId="0" applyNumberFormat="1" applyBorder="1"/>
    <xf numFmtId="176" fontId="0" fillId="0" borderId="0" xfId="2" applyNumberFormat="1" applyFont="1" applyFill="1" applyBorder="1"/>
    <xf numFmtId="164" fontId="0" fillId="0" borderId="43" xfId="0" applyNumberFormat="1" applyFill="1" applyBorder="1"/>
    <xf numFmtId="164" fontId="0" fillId="0" borderId="49" xfId="0" applyNumberFormat="1" applyFill="1" applyBorder="1"/>
    <xf numFmtId="10" fontId="2" fillId="0" borderId="0" xfId="3" applyNumberFormat="1" applyFont="1" applyFill="1" applyBorder="1" applyAlignment="1">
      <alignment horizontal="center"/>
    </xf>
    <xf numFmtId="164" fontId="0" fillId="0" borderId="37" xfId="0" applyNumberFormat="1" applyFill="1" applyBorder="1"/>
    <xf numFmtId="43" fontId="0" fillId="0" borderId="38" xfId="0" applyNumberFormat="1" applyFill="1" applyBorder="1"/>
    <xf numFmtId="9" fontId="0" fillId="0" borderId="0" xfId="3" applyFont="1" applyFill="1" applyBorder="1"/>
    <xf numFmtId="164" fontId="0" fillId="0" borderId="0" xfId="0" applyNumberFormat="1" applyFont="1" applyFill="1" applyBorder="1"/>
    <xf numFmtId="165" fontId="0" fillId="0" borderId="0" xfId="2" applyNumberFormat="1" applyFont="1" applyFill="1" applyBorder="1" applyAlignment="1">
      <alignment horizontal="center"/>
    </xf>
    <xf numFmtId="172" fontId="0" fillId="2" borderId="0" xfId="2" applyNumberFormat="1" applyFont="1" applyFill="1"/>
    <xf numFmtId="0" fontId="2" fillId="0" borderId="35" xfId="0" applyFont="1" applyFill="1" applyBorder="1" applyAlignment="1">
      <alignment horizontal="center" wrapText="1"/>
    </xf>
    <xf numFmtId="167" fontId="0" fillId="0" borderId="3" xfId="0" applyNumberFormat="1" applyFill="1" applyBorder="1"/>
    <xf numFmtId="0" fontId="0" fillId="0" borderId="0" xfId="0" applyFill="1" applyAlignment="1">
      <alignment wrapText="1"/>
    </xf>
    <xf numFmtId="164" fontId="0" fillId="0" borderId="61" xfId="0" applyNumberFormat="1" applyFill="1" applyBorder="1" applyAlignment="1">
      <alignment wrapText="1"/>
    </xf>
    <xf numFmtId="167" fontId="0" fillId="0" borderId="62" xfId="2" applyNumberFormat="1" applyFont="1" applyFill="1" applyBorder="1" applyAlignment="1">
      <alignment wrapText="1"/>
    </xf>
    <xf numFmtId="180" fontId="0" fillId="0" borderId="0" xfId="0" applyNumberFormat="1" applyFill="1"/>
    <xf numFmtId="183" fontId="0" fillId="4" borderId="0" xfId="1" applyNumberFormat="1" applyFont="1" applyFill="1" applyBorder="1"/>
    <xf numFmtId="0" fontId="18" fillId="4" borderId="0" xfId="0" applyFont="1" applyFill="1" applyBorder="1" applyAlignment="1">
      <alignment horizontal="center"/>
    </xf>
    <xf numFmtId="16" fontId="14" fillId="0" borderId="0" xfId="0" quotePrefix="1" applyNumberFormat="1" applyFont="1" applyFill="1" applyBorder="1"/>
    <xf numFmtId="164" fontId="18" fillId="0" borderId="0" xfId="0" applyNumberFormat="1" applyFont="1" applyFill="1" applyBorder="1"/>
    <xf numFmtId="178" fontId="18" fillId="0" borderId="0" xfId="0" applyNumberFormat="1" applyFont="1" applyFill="1" applyBorder="1"/>
    <xf numFmtId="185" fontId="0" fillId="0" borderId="0" xfId="2" applyNumberFormat="1" applyFont="1" applyFill="1" applyBorder="1"/>
    <xf numFmtId="164" fontId="18" fillId="0" borderId="0" xfId="1" applyNumberFormat="1" applyFont="1" applyFill="1" applyBorder="1"/>
    <xf numFmtId="164" fontId="0" fillId="0" borderId="56" xfId="1" applyNumberFormat="1" applyFont="1" applyFill="1" applyBorder="1" applyAlignment="1">
      <alignment wrapText="1"/>
    </xf>
    <xf numFmtId="167" fontId="0" fillId="7" borderId="5" xfId="2" applyNumberFormat="1" applyFont="1" applyFill="1" applyBorder="1"/>
    <xf numFmtId="184" fontId="0" fillId="4" borderId="0" xfId="3" applyNumberFormat="1" applyFont="1" applyFill="1"/>
    <xf numFmtId="167" fontId="0" fillId="0" borderId="43" xfId="0" applyNumberFormat="1" applyFill="1" applyBorder="1"/>
    <xf numFmtId="164" fontId="11" fillId="0" borderId="0" xfId="1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10" fillId="0" borderId="0" xfId="0" applyFont="1" applyAlignment="1">
      <alignment wrapText="1"/>
    </xf>
    <xf numFmtId="164" fontId="23" fillId="0" borderId="0" xfId="1" applyNumberFormat="1" applyFont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left" wrapText="1"/>
    </xf>
    <xf numFmtId="165" fontId="19" fillId="0" borderId="4" xfId="2" applyNumberFormat="1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0" fillId="0" borderId="32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27" xfId="0" applyFont="1" applyBorder="1" applyAlignment="1">
      <alignment horizontal="left" wrapText="1"/>
    </xf>
    <xf numFmtId="0" fontId="0" fillId="4" borderId="66" xfId="0" applyFill="1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35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17" fillId="3" borderId="32" xfId="0" applyFont="1" applyFill="1" applyBorder="1" applyAlignment="1">
      <alignment horizontal="center" wrapText="1"/>
    </xf>
    <xf numFmtId="0" fontId="17" fillId="3" borderId="28" xfId="0" applyFont="1" applyFill="1" applyBorder="1" applyAlignment="1">
      <alignment horizontal="center" wrapText="1"/>
    </xf>
    <xf numFmtId="0" fontId="17" fillId="3" borderId="32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190" fontId="0" fillId="0" borderId="0" xfId="0" applyNumberFormat="1" applyAlignment="1">
      <alignment horizontal="right" vertical="center"/>
    </xf>
    <xf numFmtId="0" fontId="0" fillId="0" borderId="3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8" xfId="0" applyBorder="1" applyAlignment="1">
      <alignment horizontal="left"/>
    </xf>
    <xf numFmtId="0" fontId="17" fillId="3" borderId="4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44" fontId="0" fillId="0" borderId="4" xfId="0" applyNumberFormat="1" applyBorder="1" applyAlignment="1">
      <alignment horizontal="center" wrapText="1"/>
    </xf>
    <xf numFmtId="44" fontId="0" fillId="0" borderId="5" xfId="0" applyNumberFormat="1" applyBorder="1" applyAlignment="1">
      <alignment horizontal="center" wrapText="1"/>
    </xf>
    <xf numFmtId="44" fontId="0" fillId="0" borderId="26" xfId="0" applyNumberForma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5" fontId="0" fillId="0" borderId="6" xfId="0" applyNumberFormat="1" applyBorder="1" applyAlignment="1">
      <alignment horizontal="center" wrapText="1"/>
    </xf>
    <xf numFmtId="165" fontId="0" fillId="0" borderId="0" xfId="0" applyNumberFormat="1" applyBorder="1" applyAlignment="1">
      <alignment horizontal="center" wrapText="1"/>
    </xf>
    <xf numFmtId="165" fontId="0" fillId="0" borderId="27" xfId="0" applyNumberFormat="1" applyBorder="1" applyAlignment="1">
      <alignment horizontal="center" wrapText="1"/>
    </xf>
    <xf numFmtId="44" fontId="0" fillId="0" borderId="8" xfId="0" applyNumberFormat="1" applyBorder="1" applyAlignment="1">
      <alignment horizontal="left"/>
    </xf>
    <xf numFmtId="44" fontId="0" fillId="0" borderId="29" xfId="0" applyNumberFormat="1" applyBorder="1" applyAlignment="1">
      <alignment horizontal="left"/>
    </xf>
    <xf numFmtId="44" fontId="0" fillId="0" borderId="1" xfId="0" applyNumberFormat="1" applyBorder="1" applyAlignment="1">
      <alignment horizontal="left"/>
    </xf>
    <xf numFmtId="44" fontId="0" fillId="0" borderId="28" xfId="0" applyNumberFormat="1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1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6</xdr:row>
      <xdr:rowOff>190499</xdr:rowOff>
    </xdr:from>
    <xdr:to>
      <xdr:col>8</xdr:col>
      <xdr:colOff>95250</xdr:colOff>
      <xdr:row>8</xdr:row>
      <xdr:rowOff>147204</xdr:rowOff>
    </xdr:to>
    <xdr:sp macro="" textlink="">
      <xdr:nvSpPr>
        <xdr:cNvPr id="2" name="Right Brace 1"/>
        <xdr:cNvSpPr/>
      </xdr:nvSpPr>
      <xdr:spPr>
        <a:xfrm>
          <a:off x="7758545" y="2008908"/>
          <a:ext cx="121228" cy="33770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g%20Acctg%20Guidance\Illustrative-Commodity-Model-20190221%20OEB%20Example%20S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for Settlement &amp; 1st TU"/>
      <sheetName val="RPP Settlement &amp; 1st TU"/>
      <sheetName val="Data for 2nd TU"/>
      <sheetName val="RPP 2nd TU"/>
      <sheetName val="RPP vs non-RPP TU JE"/>
      <sheetName val="Rate Application Related"/>
      <sheetName val="Final RSVA Balances"/>
      <sheetName val="JEs"/>
      <sheetName val="T-Accounts"/>
    </sheetNames>
    <sheetDataSet>
      <sheetData sheetId="0"/>
      <sheetData sheetId="1"/>
      <sheetData sheetId="2">
        <row r="16">
          <cell r="C16">
            <v>5002500</v>
          </cell>
        </row>
        <row r="17">
          <cell r="C17">
            <v>7003500</v>
          </cell>
        </row>
        <row r="18">
          <cell r="C18">
            <v>100050000</v>
          </cell>
        </row>
        <row r="19">
          <cell r="C19">
            <v>50025000</v>
          </cell>
        </row>
        <row r="20">
          <cell r="C20">
            <v>63031500.000000007</v>
          </cell>
        </row>
        <row r="33">
          <cell r="D33">
            <v>7.6999999999999999E-2</v>
          </cell>
        </row>
        <row r="34">
          <cell r="D34">
            <v>8.8999999999999996E-2</v>
          </cell>
        </row>
        <row r="35">
          <cell r="D35">
            <v>6.5000000000000002E-2</v>
          </cell>
        </row>
        <row r="36">
          <cell r="D36">
            <v>9.4E-2</v>
          </cell>
        </row>
        <row r="37">
          <cell r="D37">
            <v>0.13200000000000001</v>
          </cell>
        </row>
        <row r="43">
          <cell r="B43">
            <v>3.1848807346377295E-2</v>
          </cell>
        </row>
        <row r="48">
          <cell r="B48">
            <v>8.8359370314842575E-2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1"/>
  <sheetViews>
    <sheetView showGridLines="0" tabSelected="1" topLeftCell="A10" zoomScaleNormal="100" workbookViewId="0">
      <selection activeCell="G30" sqref="G30"/>
    </sheetView>
  </sheetViews>
  <sheetFormatPr defaultRowHeight="15" x14ac:dyDescent="0.25"/>
  <cols>
    <col min="1" max="1" width="6.28515625" customWidth="1"/>
    <col min="2" max="2" width="69.28515625" customWidth="1"/>
    <col min="3" max="3" width="17.42578125" bestFit="1" customWidth="1"/>
    <col min="4" max="4" width="15" bestFit="1" customWidth="1"/>
    <col min="5" max="5" width="14.85546875" customWidth="1"/>
    <col min="6" max="6" width="6.140625" customWidth="1"/>
    <col min="7" max="7" width="14.42578125" customWidth="1"/>
    <col min="8" max="8" width="14.85546875" customWidth="1"/>
    <col min="9" max="9" width="14.28515625" bestFit="1" customWidth="1"/>
    <col min="10" max="10" width="14.7109375" customWidth="1"/>
    <col min="11" max="11" width="15.140625" bestFit="1" customWidth="1"/>
    <col min="12" max="12" width="14.28515625" bestFit="1" customWidth="1"/>
    <col min="13" max="16" width="14.85546875" customWidth="1"/>
    <col min="17" max="17" width="13.140625" customWidth="1"/>
    <col min="18" max="18" width="13.42578125" customWidth="1"/>
    <col min="19" max="19" width="12.42578125" customWidth="1"/>
    <col min="20" max="20" width="13.28515625" customWidth="1"/>
    <col min="21" max="21" width="12.7109375" customWidth="1"/>
    <col min="22" max="22" width="14.28515625" bestFit="1" customWidth="1"/>
    <col min="23" max="24" width="11.5703125" bestFit="1" customWidth="1"/>
    <col min="25" max="25" width="12.5703125" bestFit="1" customWidth="1"/>
  </cols>
  <sheetData>
    <row r="1" spans="1:22" ht="18.75" x14ac:dyDescent="0.3">
      <c r="B1" s="1" t="s">
        <v>205</v>
      </c>
      <c r="G1" s="1"/>
    </row>
    <row r="3" spans="1:22" x14ac:dyDescent="0.25">
      <c r="B3" s="2" t="s">
        <v>0</v>
      </c>
      <c r="G3" s="112"/>
      <c r="H3" s="3"/>
      <c r="I3" s="3"/>
      <c r="J3" s="3"/>
      <c r="K3" s="3"/>
      <c r="L3" s="3"/>
      <c r="M3" s="3"/>
      <c r="N3" s="3"/>
      <c r="O3" s="3"/>
    </row>
    <row r="4" spans="1:22" ht="30.75" customHeight="1" x14ac:dyDescent="0.25">
      <c r="B4" s="2"/>
      <c r="C4" s="100" t="s">
        <v>1</v>
      </c>
      <c r="D4" s="99" t="s">
        <v>2</v>
      </c>
      <c r="E4" s="99" t="s">
        <v>3</v>
      </c>
      <c r="F4" s="20"/>
      <c r="G4" s="141"/>
      <c r="H4" s="71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2" x14ac:dyDescent="0.25">
      <c r="A5" s="20"/>
      <c r="B5" s="208" t="s">
        <v>181</v>
      </c>
      <c r="D5" s="6">
        <f>E5</f>
        <v>1258641900</v>
      </c>
      <c r="E5" s="107">
        <v>1258641900</v>
      </c>
      <c r="F5" s="20"/>
      <c r="G5" s="362"/>
      <c r="H5" s="71"/>
      <c r="I5" s="71"/>
      <c r="J5" s="72"/>
      <c r="K5" s="72"/>
      <c r="L5" s="72"/>
      <c r="M5" s="72"/>
      <c r="N5" s="5"/>
      <c r="O5" s="72"/>
      <c r="P5" s="5"/>
      <c r="Q5" s="5"/>
      <c r="R5" s="5"/>
      <c r="S5" s="5"/>
      <c r="T5" s="5"/>
      <c r="U5" s="5"/>
      <c r="V5" s="53"/>
    </row>
    <row r="6" spans="1:22" x14ac:dyDescent="0.25">
      <c r="A6" s="20"/>
      <c r="B6" s="208" t="s">
        <v>196</v>
      </c>
      <c r="D6" s="6">
        <f>E6</f>
        <v>45539652.369999997</v>
      </c>
      <c r="E6" s="107">
        <v>45539652.369999997</v>
      </c>
      <c r="F6" s="20"/>
      <c r="G6" s="362"/>
      <c r="H6" s="71"/>
      <c r="I6" s="71"/>
      <c r="J6" s="72"/>
      <c r="K6" s="72"/>
      <c r="L6" s="72"/>
      <c r="M6" s="72"/>
      <c r="N6" s="5"/>
      <c r="O6" s="72"/>
      <c r="P6" s="5"/>
      <c r="Q6" s="5"/>
      <c r="R6" s="5"/>
      <c r="S6" s="5"/>
      <c r="T6" s="5"/>
      <c r="U6" s="5"/>
      <c r="V6" s="53"/>
    </row>
    <row r="7" spans="1:22" x14ac:dyDescent="0.25">
      <c r="A7" s="20"/>
      <c r="B7" s="208" t="s">
        <v>4</v>
      </c>
      <c r="D7" s="5">
        <f>E7</f>
        <v>18046389</v>
      </c>
      <c r="E7" s="107">
        <v>18046389</v>
      </c>
      <c r="F7" s="20"/>
      <c r="H7" s="71"/>
      <c r="I7" s="71"/>
      <c r="J7" s="72"/>
      <c r="K7" s="72"/>
      <c r="L7" s="72"/>
      <c r="M7" s="72"/>
      <c r="N7" s="5"/>
      <c r="O7" s="72"/>
      <c r="P7" s="5"/>
      <c r="Q7" s="5"/>
      <c r="R7" s="5"/>
      <c r="S7" s="5"/>
      <c r="T7" s="5"/>
      <c r="U7" s="5"/>
      <c r="V7" s="53"/>
    </row>
    <row r="8" spans="1:22" x14ac:dyDescent="0.25">
      <c r="A8" s="20"/>
      <c r="B8" s="208" t="s">
        <v>5</v>
      </c>
      <c r="D8" s="106">
        <v>-299001433</v>
      </c>
      <c r="F8" s="20"/>
      <c r="H8" s="71"/>
      <c r="I8" s="7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3"/>
    </row>
    <row r="9" spans="1:22" x14ac:dyDescent="0.25">
      <c r="B9" s="4"/>
      <c r="D9" s="10">
        <f>SUM(D5:D8)</f>
        <v>1023226508.3699999</v>
      </c>
      <c r="E9" s="10">
        <f>SUM(E5:E8)</f>
        <v>1322227941.3699999</v>
      </c>
      <c r="F9" s="20"/>
      <c r="G9" s="208"/>
      <c r="H9" s="72"/>
      <c r="I9" s="72"/>
      <c r="J9" s="72"/>
      <c r="K9" s="72"/>
      <c r="L9" s="358"/>
      <c r="M9" s="358"/>
      <c r="N9" s="358"/>
      <c r="O9" s="358"/>
      <c r="P9" s="228"/>
      <c r="Q9" s="228"/>
      <c r="R9" s="228"/>
      <c r="S9" s="228"/>
      <c r="T9" s="228"/>
      <c r="U9" s="228"/>
      <c r="V9" s="113"/>
    </row>
    <row r="10" spans="1:22" x14ac:dyDescent="0.25">
      <c r="B10" s="4"/>
      <c r="D10" s="6"/>
      <c r="F10" s="20"/>
      <c r="G10" s="4"/>
      <c r="H10" s="72"/>
      <c r="I10" s="72"/>
      <c r="J10" s="72"/>
      <c r="K10" s="72"/>
      <c r="L10" s="358"/>
      <c r="M10" s="358"/>
      <c r="N10" s="358"/>
      <c r="O10" s="358"/>
    </row>
    <row r="11" spans="1:22" x14ac:dyDescent="0.25">
      <c r="B11" t="s">
        <v>6</v>
      </c>
      <c r="C11" s="15">
        <f>+C28</f>
        <v>0.6332061804607475</v>
      </c>
      <c r="D11" s="107">
        <v>647901958.69574082</v>
      </c>
      <c r="E11" s="7">
        <f>+D11</f>
        <v>647901958.69574082</v>
      </c>
      <c r="G11" s="16"/>
      <c r="H11" s="72"/>
      <c r="I11" s="72"/>
      <c r="J11" s="72"/>
      <c r="K11" s="72"/>
      <c r="L11" s="358"/>
      <c r="M11" s="358"/>
      <c r="N11" s="358"/>
      <c r="O11" s="358"/>
      <c r="P11" s="86"/>
      <c r="Q11" s="86"/>
      <c r="R11" s="86"/>
      <c r="S11" s="86"/>
      <c r="T11" s="86"/>
      <c r="U11" s="86"/>
      <c r="V11" s="86"/>
    </row>
    <row r="12" spans="1:22" x14ac:dyDescent="0.25">
      <c r="B12" t="s">
        <v>7</v>
      </c>
      <c r="C12" s="15">
        <f>+C29</f>
        <v>0.3667938195392525</v>
      </c>
      <c r="D12" s="107">
        <v>375324549.67425919</v>
      </c>
      <c r="E12" s="7">
        <f>+D12-D8</f>
        <v>674325982.67425919</v>
      </c>
      <c r="F12" s="20"/>
      <c r="G12" s="16"/>
      <c r="H12" s="72"/>
      <c r="I12" s="72"/>
      <c r="J12" s="72"/>
      <c r="K12" s="72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spans="1:22" ht="15.75" thickBot="1" x14ac:dyDescent="0.3">
      <c r="B13" t="s">
        <v>8</v>
      </c>
      <c r="C13" s="21">
        <f>+C11+C12</f>
        <v>1</v>
      </c>
      <c r="D13" s="22">
        <f>+D11+D12</f>
        <v>1023226508.37</v>
      </c>
      <c r="E13" s="22">
        <f>+E11+E12</f>
        <v>1322227941.3699999</v>
      </c>
      <c r="G13" s="3"/>
      <c r="H13" s="18"/>
      <c r="I13" s="19"/>
      <c r="J13" s="72"/>
      <c r="K13" s="18"/>
      <c r="L13" s="72"/>
      <c r="M13" s="72"/>
      <c r="N13" s="72"/>
      <c r="O13" s="72"/>
    </row>
    <row r="14" spans="1:22" ht="15.75" thickTop="1" x14ac:dyDescent="0.25">
      <c r="G14" s="3"/>
      <c r="H14" s="3"/>
      <c r="I14" s="3"/>
      <c r="J14" s="72"/>
      <c r="K14" s="3"/>
      <c r="L14" s="72"/>
      <c r="M14" s="72"/>
      <c r="N14" s="72"/>
      <c r="O14" s="72"/>
    </row>
    <row r="15" spans="1:22" x14ac:dyDescent="0.25">
      <c r="B15" s="23" t="s">
        <v>9</v>
      </c>
      <c r="G15" s="3"/>
      <c r="H15" s="18"/>
      <c r="I15" s="19"/>
      <c r="J15" s="72"/>
      <c r="K15" s="18"/>
      <c r="L15" s="72"/>
      <c r="M15" s="72"/>
      <c r="N15" s="72"/>
      <c r="O15" s="72"/>
    </row>
    <row r="16" spans="1:22" x14ac:dyDescent="0.25">
      <c r="B16" s="23"/>
      <c r="C16" s="99" t="s">
        <v>11</v>
      </c>
      <c r="D16" s="99" t="s">
        <v>10</v>
      </c>
      <c r="E16" s="100"/>
      <c r="H16" s="7"/>
      <c r="I16" s="25"/>
      <c r="J16" s="14"/>
      <c r="K16" s="7"/>
      <c r="L16" s="72"/>
      <c r="M16" s="72"/>
      <c r="N16" s="72"/>
      <c r="O16" s="72"/>
    </row>
    <row r="17" spans="1:22" x14ac:dyDescent="0.25">
      <c r="B17" t="s">
        <v>12</v>
      </c>
      <c r="C17" s="15">
        <f>C34</f>
        <v>5.9631036338007475E-2</v>
      </c>
      <c r="D17" s="26">
        <f>+C17*$D$11</f>
        <v>38635065.242451936</v>
      </c>
      <c r="E17" s="28"/>
      <c r="H17" s="7"/>
      <c r="I17" s="25"/>
      <c r="J17" s="14"/>
      <c r="K17" s="7"/>
      <c r="L17" s="72"/>
      <c r="M17" s="72"/>
      <c r="N17" s="72"/>
      <c r="O17" s="72"/>
    </row>
    <row r="18" spans="1:22" x14ac:dyDescent="0.25">
      <c r="B18" t="s">
        <v>13</v>
      </c>
      <c r="C18" s="15">
        <f>C35</f>
        <v>4.4826904147623095E-2</v>
      </c>
      <c r="D18" s="26">
        <f>+C18*$D$11</f>
        <v>29043438.999511231</v>
      </c>
      <c r="E18" s="28"/>
      <c r="H18" s="7"/>
      <c r="I18" s="25"/>
      <c r="J18" s="14"/>
      <c r="K18" s="7"/>
      <c r="L18" s="72"/>
      <c r="M18" s="72"/>
      <c r="N18" s="72"/>
      <c r="O18" s="72"/>
    </row>
    <row r="19" spans="1:22" x14ac:dyDescent="0.25">
      <c r="B19" t="s">
        <v>14</v>
      </c>
      <c r="C19" s="15">
        <f>C36</f>
        <v>0.57647577786089743</v>
      </c>
      <c r="D19" s="26">
        <f>+C19*$D$11</f>
        <v>373499785.61672622</v>
      </c>
      <c r="E19" s="28"/>
      <c r="H19" s="7"/>
      <c r="I19" s="25"/>
      <c r="J19" s="14"/>
      <c r="K19" s="7"/>
      <c r="L19" s="72"/>
      <c r="M19" s="72"/>
      <c r="N19" s="72"/>
      <c r="O19" s="72"/>
    </row>
    <row r="20" spans="1:22" x14ac:dyDescent="0.25">
      <c r="B20" t="s">
        <v>15</v>
      </c>
      <c r="C20" s="15">
        <f>C37</f>
        <v>0.1566622250258361</v>
      </c>
      <c r="D20" s="26">
        <f>+C20*$D$11</f>
        <v>101501762.44787212</v>
      </c>
      <c r="E20" s="28"/>
      <c r="H20" s="7"/>
      <c r="I20" s="25"/>
      <c r="J20" s="14"/>
      <c r="K20" s="7"/>
      <c r="L20" s="14"/>
      <c r="M20" s="25"/>
      <c r="N20" s="25"/>
    </row>
    <row r="21" spans="1:22" x14ac:dyDescent="0.25">
      <c r="B21" t="s">
        <v>16</v>
      </c>
      <c r="C21" s="15">
        <f>C38</f>
        <v>0.16240405662763605</v>
      </c>
      <c r="D21" s="26">
        <f>+C21*$D$11</f>
        <v>105221906.38917941</v>
      </c>
      <c r="E21" s="28"/>
      <c r="H21" s="7"/>
      <c r="I21" s="25"/>
      <c r="J21" s="14"/>
      <c r="K21" s="7"/>
      <c r="L21" s="14"/>
      <c r="M21" s="25"/>
      <c r="N21" s="25"/>
    </row>
    <row r="22" spans="1:22" ht="15.75" thickBot="1" x14ac:dyDescent="0.3">
      <c r="C22" s="21">
        <f>SUM(C17:C21)</f>
        <v>1.0000000000000002</v>
      </c>
      <c r="D22" s="22">
        <f>SUM(D17:D21)</f>
        <v>647901958.69574094</v>
      </c>
      <c r="H22" s="7"/>
      <c r="I22" s="25"/>
      <c r="J22" s="14"/>
      <c r="K22" s="7"/>
      <c r="L22" s="14"/>
      <c r="M22" s="25"/>
      <c r="N22" s="25"/>
    </row>
    <row r="23" spans="1:22" ht="15.75" thickTop="1" x14ac:dyDescent="0.25">
      <c r="H23" s="7"/>
      <c r="I23" s="25"/>
      <c r="J23" s="14"/>
      <c r="K23" s="7"/>
      <c r="L23" s="14"/>
      <c r="M23" s="25"/>
      <c r="N23" s="25"/>
    </row>
    <row r="24" spans="1:22" x14ac:dyDescent="0.25">
      <c r="B24" s="23" t="s">
        <v>17</v>
      </c>
    </row>
    <row r="25" spans="1:22" ht="30.75" customHeight="1" x14ac:dyDescent="0.25">
      <c r="B25" s="23"/>
      <c r="C25" s="100" t="s">
        <v>1</v>
      </c>
      <c r="D25" s="99" t="s">
        <v>2</v>
      </c>
      <c r="E25" s="99" t="s">
        <v>3</v>
      </c>
      <c r="G25" s="20"/>
      <c r="H25" s="101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1:22" x14ac:dyDescent="0.25">
      <c r="B26" s="208" t="s">
        <v>18</v>
      </c>
      <c r="D26" s="29">
        <f>+D30</f>
        <v>1019414690.1621802</v>
      </c>
      <c r="E26" s="7">
        <f>+E30</f>
        <v>1318416123.1621802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 x14ac:dyDescent="0.25">
      <c r="B27" s="208"/>
      <c r="F27" s="20"/>
      <c r="G27" s="20"/>
      <c r="H27" s="20"/>
      <c r="I27" s="20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20"/>
    </row>
    <row r="28" spans="1:22" x14ac:dyDescent="0.25">
      <c r="B28" s="20" t="s">
        <v>19</v>
      </c>
      <c r="C28" s="15">
        <f>+D28/D30</f>
        <v>0.6332061804607475</v>
      </c>
      <c r="D28" s="5">
        <f>D39</f>
        <v>645499682.26317048</v>
      </c>
      <c r="E28" s="7">
        <f>+D28</f>
        <v>645499682.26317048</v>
      </c>
      <c r="F28" s="20"/>
      <c r="G28" s="20"/>
      <c r="H28" s="20"/>
      <c r="I28" s="20"/>
      <c r="J28" s="5"/>
      <c r="K28" s="5"/>
      <c r="L28" s="5"/>
      <c r="M28" s="5"/>
      <c r="N28" s="20"/>
      <c r="O28" s="20"/>
      <c r="P28" s="20"/>
      <c r="Q28" s="20"/>
      <c r="R28" s="20"/>
      <c r="S28" s="20"/>
      <c r="T28" s="20"/>
      <c r="U28" s="20"/>
      <c r="V28" s="20"/>
    </row>
    <row r="29" spans="1:22" x14ac:dyDescent="0.25">
      <c r="A29" s="20"/>
      <c r="B29" s="20" t="s">
        <v>20</v>
      </c>
      <c r="C29" s="15">
        <f>+D29/D30</f>
        <v>0.3667938195392525</v>
      </c>
      <c r="D29" s="106">
        <v>373915007.8990097</v>
      </c>
      <c r="E29" s="7">
        <f>+D29-D8</f>
        <v>672916440.8990097</v>
      </c>
      <c r="F29" s="45"/>
      <c r="G29" s="20"/>
      <c r="H29" s="45"/>
      <c r="I29" s="4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45"/>
    </row>
    <row r="30" spans="1:22" ht="15.75" thickBot="1" x14ac:dyDescent="0.3">
      <c r="B30" s="20" t="s">
        <v>21</v>
      </c>
      <c r="C30" s="21">
        <f>+C28+C29</f>
        <v>1</v>
      </c>
      <c r="D30" s="22">
        <f>+D28+D29</f>
        <v>1019414690.1621802</v>
      </c>
      <c r="E30" s="22">
        <f>+E28+E29</f>
        <v>1318416123.1621802</v>
      </c>
      <c r="F30" s="5"/>
      <c r="G30" s="31"/>
    </row>
    <row r="31" spans="1:22" ht="15.75" thickTop="1" x14ac:dyDescent="0.25">
      <c r="F31" s="20"/>
      <c r="G31" s="14"/>
    </row>
    <row r="32" spans="1:22" ht="15.75" x14ac:dyDescent="0.25">
      <c r="B32" s="23" t="s">
        <v>22</v>
      </c>
      <c r="D32" s="7">
        <f>D30-D13</f>
        <v>-3811818.2078198195</v>
      </c>
      <c r="E32" s="7">
        <f>D32*0.09</f>
        <v>-343063.63870378374</v>
      </c>
    </row>
    <row r="33" spans="1:26" ht="31.15" customHeight="1" x14ac:dyDescent="0.25">
      <c r="B33" s="23"/>
      <c r="C33" s="99" t="s">
        <v>11</v>
      </c>
      <c r="D33" s="99" t="s">
        <v>10</v>
      </c>
      <c r="E33" s="100" t="s">
        <v>23</v>
      </c>
      <c r="F33" s="101"/>
      <c r="G33" s="32"/>
      <c r="H33" s="32"/>
      <c r="I33" s="32" t="s">
        <v>116</v>
      </c>
      <c r="J33" s="112"/>
      <c r="K33" s="112"/>
      <c r="L33" s="112"/>
      <c r="M33" s="112"/>
    </row>
    <row r="34" spans="1:26" ht="15" customHeight="1" x14ac:dyDescent="0.25">
      <c r="A34" s="20"/>
      <c r="B34" s="20" t="s">
        <v>12</v>
      </c>
      <c r="C34" s="15">
        <f>D34/D$39</f>
        <v>5.9631036338007475E-2</v>
      </c>
      <c r="D34" s="209">
        <v>38491815.009207398</v>
      </c>
      <c r="E34" s="28">
        <f>I34/D34</f>
        <v>7.7000000000000082E-2</v>
      </c>
      <c r="F34" s="27"/>
      <c r="G34" s="382"/>
      <c r="H34" s="27"/>
      <c r="I34" s="106">
        <v>2963869.7557089729</v>
      </c>
      <c r="J34" s="20"/>
      <c r="K34" s="20"/>
      <c r="L34" s="20"/>
      <c r="M34" s="20"/>
      <c r="N34" s="7"/>
    </row>
    <row r="35" spans="1:26" x14ac:dyDescent="0.25">
      <c r="A35" s="20"/>
      <c r="B35" s="20" t="s">
        <v>13</v>
      </c>
      <c r="C35" s="15">
        <f>D35/D$39</f>
        <v>4.4826904147623095E-2</v>
      </c>
      <c r="D35" s="209">
        <v>28935752.384132307</v>
      </c>
      <c r="E35" s="28">
        <f>I35/D35</f>
        <v>8.9000000000000024E-2</v>
      </c>
      <c r="F35" s="27"/>
      <c r="G35" s="383"/>
      <c r="H35" s="27"/>
      <c r="I35" s="106">
        <v>2575281.9621877759</v>
      </c>
      <c r="J35" s="20"/>
      <c r="K35" s="20"/>
      <c r="L35" s="20"/>
      <c r="M35" s="20"/>
      <c r="N35" s="7"/>
    </row>
    <row r="36" spans="1:26" x14ac:dyDescent="0.25">
      <c r="A36" s="20"/>
      <c r="B36" s="20" t="s">
        <v>14</v>
      </c>
      <c r="C36" s="15">
        <f>D36/D$39</f>
        <v>0.57647577786089743</v>
      </c>
      <c r="D36" s="209">
        <v>372114931.44162333</v>
      </c>
      <c r="E36" s="28">
        <f>I36/D36</f>
        <v>6.5000000000000002E-2</v>
      </c>
      <c r="F36" s="27"/>
      <c r="G36" s="383"/>
      <c r="H36" s="27"/>
      <c r="I36" s="106">
        <v>24187470.543705516</v>
      </c>
      <c r="J36" s="20"/>
      <c r="K36" s="20"/>
      <c r="L36" s="20"/>
      <c r="M36" s="20"/>
      <c r="N36" s="7"/>
    </row>
    <row r="37" spans="1:26" x14ac:dyDescent="0.25">
      <c r="A37" s="20"/>
      <c r="B37" s="20" t="s">
        <v>15</v>
      </c>
      <c r="C37" s="15">
        <f>D37/D$39</f>
        <v>0.1566622250258361</v>
      </c>
      <c r="D37" s="209">
        <v>101125416.47681852</v>
      </c>
      <c r="E37" s="28">
        <f>I37/D37</f>
        <v>9.4E-2</v>
      </c>
      <c r="F37" s="27"/>
      <c r="G37" s="383"/>
      <c r="H37" s="27"/>
      <c r="I37" s="106">
        <v>9505789.1488209404</v>
      </c>
      <c r="J37" s="20"/>
      <c r="K37" s="20"/>
      <c r="L37" s="20"/>
      <c r="M37" s="20"/>
      <c r="N37" s="7"/>
    </row>
    <row r="38" spans="1:26" x14ac:dyDescent="0.25">
      <c r="A38" s="20"/>
      <c r="B38" s="20" t="s">
        <v>81</v>
      </c>
      <c r="C38" s="15">
        <f>D38/D$39</f>
        <v>0.16240405662763605</v>
      </c>
      <c r="D38" s="209">
        <v>104831766.95138901</v>
      </c>
      <c r="E38" s="28">
        <f>I38/D38</f>
        <v>0.13258273402358953</v>
      </c>
      <c r="F38" s="27"/>
      <c r="G38" s="383"/>
      <c r="H38" s="27"/>
      <c r="I38" s="106">
        <v>13898882.274938934</v>
      </c>
      <c r="J38" s="20"/>
      <c r="K38" s="20"/>
      <c r="L38" s="20"/>
      <c r="M38" s="20"/>
      <c r="N38" s="7"/>
    </row>
    <row r="39" spans="1:26" ht="15.75" thickBot="1" x14ac:dyDescent="0.3">
      <c r="B39" s="20" t="s">
        <v>82</v>
      </c>
      <c r="C39" s="21">
        <f>SUM(C34:C38)</f>
        <v>1.0000000000000002</v>
      </c>
      <c r="D39" s="22">
        <f>SUM(D34:D38)</f>
        <v>645499682.26317048</v>
      </c>
      <c r="F39" s="20"/>
      <c r="G39" s="45"/>
      <c r="H39" s="20"/>
      <c r="I39" s="65">
        <f>SUM(I34:I38)</f>
        <v>53131293.685362138</v>
      </c>
      <c r="J39" s="115"/>
      <c r="K39" s="115"/>
      <c r="L39" s="115"/>
      <c r="M39" s="115"/>
    </row>
    <row r="40" spans="1:26" ht="15.75" thickTop="1" x14ac:dyDescent="0.25"/>
    <row r="41" spans="1:26" x14ac:dyDescent="0.25">
      <c r="B41" s="23" t="s">
        <v>24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x14ac:dyDescent="0.25">
      <c r="B42" s="2"/>
      <c r="C42" s="99" t="s">
        <v>25</v>
      </c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x14ac:dyDescent="0.25">
      <c r="B43" s="2" t="s">
        <v>26</v>
      </c>
      <c r="C43" s="99" t="s">
        <v>27</v>
      </c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20"/>
      <c r="Z43" s="20"/>
    </row>
    <row r="44" spans="1:26" x14ac:dyDescent="0.25">
      <c r="B44" t="s">
        <v>28</v>
      </c>
      <c r="C44" s="24">
        <f>+C86</f>
        <v>1.9876393701681851E-2</v>
      </c>
      <c r="D44" s="210"/>
      <c r="G44" s="30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20"/>
    </row>
    <row r="45" spans="1:26" x14ac:dyDescent="0.25">
      <c r="B45" t="s">
        <v>29</v>
      </c>
      <c r="C45" s="24">
        <f>+C87</f>
        <v>1.8347929201549557E-2</v>
      </c>
      <c r="D45" s="210"/>
      <c r="E45" s="30"/>
      <c r="G45" s="30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20"/>
    </row>
    <row r="46" spans="1:26" x14ac:dyDescent="0.25">
      <c r="A46" s="20"/>
      <c r="B46" s="20" t="s">
        <v>30</v>
      </c>
      <c r="C46" s="364">
        <v>9.5383649893018271E-2</v>
      </c>
      <c r="D46" s="20"/>
      <c r="E46" s="54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0"/>
    </row>
    <row r="47" spans="1:26" x14ac:dyDescent="0.25">
      <c r="B47" s="20" t="s">
        <v>31</v>
      </c>
      <c r="C47" s="211" t="s">
        <v>162</v>
      </c>
      <c r="D47" s="20"/>
      <c r="E47" s="21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x14ac:dyDescent="0.25">
      <c r="B48" s="20" t="s">
        <v>32</v>
      </c>
      <c r="C48" s="364">
        <v>0.10347576006581974</v>
      </c>
      <c r="D48" s="104" t="s">
        <v>194</v>
      </c>
      <c r="E48" s="20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20"/>
    </row>
    <row r="49" spans="1:27" x14ac:dyDescent="0.25">
      <c r="A49" s="20"/>
      <c r="B49" s="20" t="s">
        <v>33</v>
      </c>
      <c r="C49" s="364">
        <v>0.10137034860080678</v>
      </c>
      <c r="D49" s="104" t="s">
        <v>163</v>
      </c>
      <c r="E49" s="20"/>
      <c r="G49" s="249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20"/>
    </row>
    <row r="50" spans="1:27" x14ac:dyDescent="0.25">
      <c r="C50" s="364">
        <v>0.10331343174370142</v>
      </c>
      <c r="D50" s="104" t="s">
        <v>164</v>
      </c>
      <c r="E50" s="20"/>
      <c r="G50" s="384"/>
      <c r="H50" s="385"/>
      <c r="I50" s="385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0"/>
    </row>
    <row r="51" spans="1:27" ht="18.75" x14ac:dyDescent="0.3">
      <c r="B51" s="345" t="s">
        <v>195</v>
      </c>
      <c r="C51" s="364">
        <v>0.10472458528818235</v>
      </c>
      <c r="D51" s="104" t="s">
        <v>165</v>
      </c>
      <c r="E51" s="20"/>
      <c r="G51" s="385"/>
      <c r="H51" s="385"/>
      <c r="I51" s="385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7" x14ac:dyDescent="0.25">
      <c r="B52" s="6"/>
      <c r="C52" s="34"/>
      <c r="D52" s="36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71"/>
      <c r="Z52" s="71"/>
      <c r="AA52" s="71"/>
    </row>
    <row r="53" spans="1:27" x14ac:dyDescent="0.25">
      <c r="B53" s="23" t="s">
        <v>34</v>
      </c>
      <c r="I53" s="391" t="s">
        <v>173</v>
      </c>
      <c r="J53" s="392"/>
      <c r="K53" s="236"/>
      <c r="M53" s="363"/>
      <c r="N53" s="363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72"/>
      <c r="Z53" s="71"/>
      <c r="AA53" s="71"/>
    </row>
    <row r="54" spans="1:27" x14ac:dyDescent="0.25">
      <c r="B54" s="23"/>
      <c r="C54" s="99" t="s">
        <v>35</v>
      </c>
      <c r="D54" s="12" t="s">
        <v>10</v>
      </c>
      <c r="E54" s="37" t="s">
        <v>36</v>
      </c>
      <c r="F54" s="2"/>
      <c r="H54" s="234"/>
      <c r="I54" s="237" t="s">
        <v>174</v>
      </c>
      <c r="J54" s="105" t="s">
        <v>175</v>
      </c>
      <c r="K54" s="238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72"/>
      <c r="Z54" s="71"/>
      <c r="AA54" s="71"/>
    </row>
    <row r="55" spans="1:27" x14ac:dyDescent="0.25">
      <c r="A55" s="20"/>
      <c r="B55" s="20" t="s">
        <v>37</v>
      </c>
      <c r="C55" s="34">
        <f>E55/D55</f>
        <v>0.2543639622308928</v>
      </c>
      <c r="D55" s="7">
        <f>+E7</f>
        <v>18046389</v>
      </c>
      <c r="E55" s="212">
        <v>4590351.01</v>
      </c>
      <c r="F55" s="208"/>
      <c r="G55" s="5" t="s">
        <v>139</v>
      </c>
      <c r="H55" s="234"/>
      <c r="I55" s="239">
        <f>E55</f>
        <v>4590351.01</v>
      </c>
      <c r="J55" s="3"/>
      <c r="K55" s="238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1"/>
      <c r="AA55" s="71"/>
    </row>
    <row r="56" spans="1:27" x14ac:dyDescent="0.25">
      <c r="A56" s="20"/>
      <c r="B56" s="20" t="s">
        <v>38</v>
      </c>
      <c r="C56" s="34">
        <f>E56/D56</f>
        <v>1.9089875228458029E-2</v>
      </c>
      <c r="D56" s="45">
        <f>+E5+E6</f>
        <v>1304181552.3699999</v>
      </c>
      <c r="E56" s="212">
        <v>24896663.109999999</v>
      </c>
      <c r="F56" s="38"/>
      <c r="G56" s="386"/>
      <c r="I56" s="239">
        <f>+E56</f>
        <v>24896663.109999999</v>
      </c>
      <c r="J56" s="3"/>
      <c r="K56" s="238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1"/>
      <c r="AA56" s="71"/>
    </row>
    <row r="57" spans="1:27" x14ac:dyDescent="0.25">
      <c r="A57" s="20"/>
      <c r="B57" s="20" t="s">
        <v>39</v>
      </c>
      <c r="C57" s="34"/>
      <c r="D57" s="7"/>
      <c r="E57" s="212">
        <v>19389371.280000001</v>
      </c>
      <c r="F57" s="38"/>
      <c r="G57" s="384"/>
      <c r="H57" s="20"/>
      <c r="I57" s="87"/>
      <c r="J57" s="73">
        <f>E57</f>
        <v>19389371.280000001</v>
      </c>
      <c r="K57" s="238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1"/>
      <c r="AA57" s="71"/>
    </row>
    <row r="58" spans="1:27" ht="17.25" x14ac:dyDescent="0.25">
      <c r="B58" s="20" t="s">
        <v>40</v>
      </c>
      <c r="C58" s="40">
        <f>C50</f>
        <v>0.10331343174370142</v>
      </c>
      <c r="D58" s="7">
        <f>+D11</f>
        <v>647901958.69574082</v>
      </c>
      <c r="E58" s="38">
        <f>+D58*C58</f>
        <v>66936974.786322877</v>
      </c>
      <c r="F58" s="38"/>
      <c r="G58" s="384"/>
      <c r="H58" s="20"/>
      <c r="I58" s="240">
        <f>+E58</f>
        <v>66936974.786322877</v>
      </c>
      <c r="J58" s="71"/>
      <c r="K58" s="238"/>
      <c r="M58" s="72"/>
      <c r="N58" s="72"/>
      <c r="O58" s="72"/>
      <c r="P58" s="72"/>
      <c r="Q58" s="72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 ht="17.25" x14ac:dyDescent="0.25">
      <c r="B59" s="20" t="s">
        <v>41</v>
      </c>
      <c r="C59" s="40">
        <f>C51</f>
        <v>0.10472458528818235</v>
      </c>
      <c r="D59" s="7">
        <f>+D12</f>
        <v>375324549.67425919</v>
      </c>
      <c r="E59" s="38">
        <f>+D59*C59</f>
        <v>39305707.81311059</v>
      </c>
      <c r="F59" s="38"/>
      <c r="G59" s="384"/>
      <c r="H59" s="20"/>
      <c r="I59" s="226"/>
      <c r="J59" s="73">
        <f>E59</f>
        <v>39305707.81311059</v>
      </c>
      <c r="K59" s="238"/>
      <c r="M59" s="72"/>
      <c r="N59" s="72"/>
      <c r="O59" s="72"/>
      <c r="P59" s="72"/>
      <c r="Q59" s="72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 ht="17.25" x14ac:dyDescent="0.25">
      <c r="B60" t="s">
        <v>42</v>
      </c>
      <c r="C60" s="24"/>
      <c r="D60" s="7"/>
      <c r="E60" s="38">
        <f>'Veridian 2019 RPP Settlement'!K24</f>
        <v>-26482439.339386147</v>
      </c>
      <c r="F60" s="248" t="s">
        <v>212</v>
      </c>
      <c r="I60" s="240">
        <f>E60</f>
        <v>-26482439.339386147</v>
      </c>
      <c r="J60" s="241"/>
      <c r="K60" s="242"/>
      <c r="L60" s="104"/>
      <c r="M60" s="72"/>
      <c r="N60" s="72"/>
      <c r="O60" s="72"/>
      <c r="P60" s="72"/>
      <c r="Q60" s="72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 x14ac:dyDescent="0.25">
      <c r="A61" s="20"/>
      <c r="B61" s="20" t="s">
        <v>43</v>
      </c>
      <c r="C61" s="24">
        <f>E61/D61</f>
        <v>-0.2347602237766237</v>
      </c>
      <c r="D61" s="7">
        <f>+E7</f>
        <v>18046389</v>
      </c>
      <c r="E61" s="212">
        <v>-4236574.32</v>
      </c>
      <c r="F61" s="38"/>
      <c r="G61" s="25"/>
      <c r="H61" s="20"/>
      <c r="I61" s="240">
        <f>+E61</f>
        <v>-4236574.32</v>
      </c>
      <c r="J61" s="71"/>
      <c r="K61" s="238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1"/>
      <c r="AA61" s="71"/>
    </row>
    <row r="62" spans="1:27" ht="15.75" thickBot="1" x14ac:dyDescent="0.3">
      <c r="B62" t="s">
        <v>44</v>
      </c>
      <c r="C62" s="24"/>
      <c r="D62" s="7"/>
      <c r="E62" s="41">
        <f>SUM(E55:E61)</f>
        <v>124400054.3400473</v>
      </c>
      <c r="F62" s="42"/>
      <c r="G62" s="42"/>
      <c r="H62" s="43"/>
      <c r="I62" s="243">
        <f>SUM(I55:I61)</f>
        <v>65704975.246936716</v>
      </c>
      <c r="J62" s="235">
        <f>SUM(J55:J61)</f>
        <v>58695079.093110591</v>
      </c>
      <c r="K62" s="245">
        <f>SUM(I62:J62)</f>
        <v>124400054.3400473</v>
      </c>
      <c r="M62" s="72"/>
      <c r="N62" s="72"/>
      <c r="O62" s="72"/>
      <c r="P62" s="72"/>
      <c r="Q62" s="72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 ht="15.75" thickTop="1" x14ac:dyDescent="0.25">
      <c r="H63" s="20"/>
      <c r="I63" s="20"/>
      <c r="J63" s="20"/>
      <c r="M63" s="72"/>
      <c r="N63" s="72"/>
      <c r="O63" s="72"/>
      <c r="P63" s="72"/>
      <c r="Q63" s="72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 ht="18.75" x14ac:dyDescent="0.3">
      <c r="B64" s="1" t="s">
        <v>45</v>
      </c>
      <c r="E64" s="44"/>
      <c r="H64" s="20"/>
      <c r="I64" s="20"/>
      <c r="J64" s="20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72"/>
      <c r="Z64" s="71"/>
      <c r="AA64" s="71"/>
    </row>
    <row r="65" spans="2:27" ht="18.75" x14ac:dyDescent="0.3">
      <c r="B65" s="1"/>
      <c r="E65" s="44">
        <f>E55+E61</f>
        <v>353776.68999999948</v>
      </c>
      <c r="G65" s="20"/>
      <c r="H65" s="20"/>
      <c r="I65" s="20"/>
      <c r="J65" s="20"/>
      <c r="M65" s="229"/>
      <c r="N65" s="229"/>
      <c r="O65" s="229"/>
      <c r="P65" s="229"/>
      <c r="Q65" s="73"/>
      <c r="R65" s="73"/>
      <c r="S65" s="73"/>
      <c r="T65" s="73"/>
      <c r="U65" s="73"/>
      <c r="V65" s="73"/>
      <c r="W65" s="73"/>
      <c r="X65" s="73"/>
      <c r="Y65" s="72"/>
      <c r="Z65" s="71"/>
      <c r="AA65" s="71"/>
    </row>
    <row r="66" spans="2:27" x14ac:dyDescent="0.25">
      <c r="B66" s="23" t="s">
        <v>46</v>
      </c>
      <c r="C66" s="101"/>
      <c r="D66" s="101"/>
      <c r="E66" s="101"/>
      <c r="G66" s="101"/>
      <c r="H66" s="20"/>
      <c r="I66" s="20"/>
      <c r="J66" s="20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1"/>
      <c r="AA66" s="71"/>
    </row>
    <row r="67" spans="2:27" x14ac:dyDescent="0.25">
      <c r="B67" s="23"/>
      <c r="C67" s="100" t="s">
        <v>23</v>
      </c>
      <c r="D67" s="99" t="s">
        <v>10</v>
      </c>
      <c r="E67" s="99" t="s">
        <v>36</v>
      </c>
      <c r="F67" s="20"/>
      <c r="G67" s="46"/>
      <c r="H67" s="20"/>
      <c r="I67" s="20"/>
      <c r="J67" s="20"/>
      <c r="M67" s="71"/>
      <c r="N67" s="71"/>
      <c r="O67" s="71"/>
      <c r="P67" s="230"/>
      <c r="Q67" s="231"/>
      <c r="R67" s="71"/>
      <c r="S67" s="230"/>
      <c r="T67" s="71"/>
      <c r="U67" s="71"/>
      <c r="V67" s="71"/>
      <c r="W67" s="71"/>
      <c r="X67" s="71"/>
      <c r="Y67" s="71"/>
      <c r="Z67" s="71"/>
      <c r="AA67" s="71"/>
    </row>
    <row r="68" spans="2:27" x14ac:dyDescent="0.25">
      <c r="B68" s="20" t="s">
        <v>12</v>
      </c>
      <c r="C68" s="34">
        <f>E34</f>
        <v>7.7000000000000082E-2</v>
      </c>
      <c r="D68" s="6">
        <f>+D34</f>
        <v>38491815.009207398</v>
      </c>
      <c r="E68" s="49">
        <f>+D68*C68</f>
        <v>2963869.7557089729</v>
      </c>
      <c r="F68" s="20"/>
      <c r="G68" s="38"/>
      <c r="H68" s="20"/>
      <c r="I68" s="20"/>
      <c r="J68" s="20"/>
      <c r="M68" s="71"/>
      <c r="N68" s="71"/>
      <c r="O68" s="71"/>
      <c r="P68" s="232"/>
      <c r="Q68" s="232"/>
      <c r="R68" s="232"/>
      <c r="S68" s="232"/>
      <c r="T68" s="71"/>
      <c r="U68" s="71"/>
      <c r="V68" s="71"/>
      <c r="W68" s="71"/>
      <c r="X68" s="71"/>
      <c r="Y68" s="71"/>
      <c r="Z68" s="71"/>
      <c r="AA68" s="71"/>
    </row>
    <row r="69" spans="2:27" x14ac:dyDescent="0.25">
      <c r="B69" s="20" t="s">
        <v>13</v>
      </c>
      <c r="C69" s="34">
        <f>E35</f>
        <v>8.9000000000000024E-2</v>
      </c>
      <c r="D69" s="6">
        <f>+D35</f>
        <v>28935752.384132307</v>
      </c>
      <c r="E69" s="49">
        <f t="shared" ref="E69:E72" si="0">+D69*C69</f>
        <v>2575281.9621877759</v>
      </c>
      <c r="F69" s="20"/>
      <c r="G69" s="38"/>
      <c r="H69" s="20"/>
      <c r="I69" s="20"/>
      <c r="J69" s="20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71"/>
      <c r="AA69" s="71"/>
    </row>
    <row r="70" spans="2:27" x14ac:dyDescent="0.25">
      <c r="B70" s="20" t="s">
        <v>14</v>
      </c>
      <c r="C70" s="34">
        <f>E36</f>
        <v>6.5000000000000002E-2</v>
      </c>
      <c r="D70" s="6">
        <f>+D36</f>
        <v>372114931.44162333</v>
      </c>
      <c r="E70" s="49">
        <f t="shared" si="0"/>
        <v>24187470.543705516</v>
      </c>
      <c r="F70" s="20"/>
      <c r="G70" s="38"/>
      <c r="H70" s="20"/>
      <c r="I70" s="20"/>
      <c r="J70" s="20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71"/>
      <c r="AA70" s="71"/>
    </row>
    <row r="71" spans="2:27" x14ac:dyDescent="0.25">
      <c r="B71" s="20" t="s">
        <v>15</v>
      </c>
      <c r="C71" s="34">
        <f>E37</f>
        <v>9.4E-2</v>
      </c>
      <c r="D71" s="6">
        <f>+D37</f>
        <v>101125416.47681852</v>
      </c>
      <c r="E71" s="49">
        <f t="shared" si="0"/>
        <v>9505789.1488209404</v>
      </c>
      <c r="F71" s="20"/>
      <c r="G71" s="38"/>
      <c r="H71" s="20"/>
      <c r="I71" s="20"/>
      <c r="J71" s="20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71"/>
      <c r="AA71" s="71"/>
    </row>
    <row r="72" spans="2:27" x14ac:dyDescent="0.25">
      <c r="B72" s="20" t="s">
        <v>16</v>
      </c>
      <c r="C72" s="34">
        <f>E38</f>
        <v>0.13258273402358953</v>
      </c>
      <c r="D72" s="6">
        <f>+D38</f>
        <v>104831766.95138901</v>
      </c>
      <c r="E72" s="49">
        <f t="shared" si="0"/>
        <v>13898882.274938932</v>
      </c>
      <c r="F72" s="20"/>
      <c r="G72" s="38"/>
      <c r="H72" s="20"/>
      <c r="I72" s="391" t="s">
        <v>173</v>
      </c>
      <c r="J72" s="393"/>
      <c r="P72" s="49"/>
      <c r="Q72" s="50"/>
      <c r="R72" s="50"/>
      <c r="S72" s="50"/>
      <c r="T72" s="20"/>
      <c r="U72" s="20"/>
      <c r="V72" s="20"/>
    </row>
    <row r="73" spans="2:27" ht="15.75" thickBot="1" x14ac:dyDescent="0.3">
      <c r="B73" s="20" t="s">
        <v>47</v>
      </c>
      <c r="C73" s="34">
        <f>E73/D73</f>
        <v>8.2310332824765797E-2</v>
      </c>
      <c r="D73" s="51">
        <f>SUM(D68:D72)</f>
        <v>645499682.26317048</v>
      </c>
      <c r="E73" s="41">
        <f>SUM(E68:E72)</f>
        <v>53131293.685362138</v>
      </c>
      <c r="F73" s="20"/>
      <c r="G73" s="72"/>
      <c r="H73" s="20"/>
      <c r="I73" s="240">
        <f>E73</f>
        <v>53131293.685362138</v>
      </c>
      <c r="J73" s="227"/>
      <c r="P73" s="19"/>
      <c r="Q73" s="52"/>
      <c r="R73" s="52"/>
      <c r="S73" s="52"/>
      <c r="T73" s="20"/>
      <c r="U73" s="20"/>
      <c r="V73" s="20"/>
    </row>
    <row r="74" spans="2:27" ht="15.75" thickTop="1" x14ac:dyDescent="0.25">
      <c r="E74" s="20"/>
      <c r="G74" s="30"/>
      <c r="H74" s="20"/>
      <c r="I74" s="240">
        <f>E77</f>
        <v>12346623.216173736</v>
      </c>
      <c r="J74" s="227"/>
      <c r="P74" s="44"/>
      <c r="Q74" s="39"/>
      <c r="R74" s="39"/>
      <c r="S74" s="54"/>
      <c r="T74" s="20"/>
      <c r="U74" s="20"/>
      <c r="V74" s="20"/>
    </row>
    <row r="75" spans="2:27" x14ac:dyDescent="0.25">
      <c r="B75" s="23" t="s">
        <v>48</v>
      </c>
      <c r="E75" s="20"/>
      <c r="G75" s="35"/>
      <c r="H75" s="20"/>
      <c r="I75" s="243">
        <f>SUM(I73:I74)</f>
        <v>65477916.901535876</v>
      </c>
      <c r="J75" s="246" t="s">
        <v>80</v>
      </c>
      <c r="P75" s="19"/>
      <c r="Q75" s="52"/>
      <c r="R75" s="52"/>
      <c r="S75" s="52"/>
      <c r="T75" s="20"/>
      <c r="U75" s="20"/>
      <c r="V75" s="20"/>
    </row>
    <row r="76" spans="2:27" x14ac:dyDescent="0.25">
      <c r="B76" s="23"/>
      <c r="C76" s="99" t="s">
        <v>35</v>
      </c>
      <c r="D76" s="12" t="s">
        <v>10</v>
      </c>
      <c r="E76" s="55" t="s">
        <v>36</v>
      </c>
      <c r="G76" s="96"/>
      <c r="H76" s="20"/>
      <c r="I76" s="226"/>
      <c r="J76" s="227"/>
      <c r="P76" s="19"/>
      <c r="Q76" s="52"/>
      <c r="R76" s="52"/>
      <c r="S76" s="52"/>
      <c r="T76" s="20"/>
      <c r="U76" s="20"/>
      <c r="V76" s="20"/>
    </row>
    <row r="77" spans="2:27" x14ac:dyDescent="0.25">
      <c r="B77" s="20" t="s">
        <v>49</v>
      </c>
      <c r="C77" s="56">
        <f>+C45</f>
        <v>1.8347929201549557E-2</v>
      </c>
      <c r="D77" s="57">
        <f>+E29</f>
        <v>672916440.8990097</v>
      </c>
      <c r="E77" s="58">
        <f>E87</f>
        <v>12346623.216173736</v>
      </c>
      <c r="F77" s="20"/>
      <c r="G77" s="73"/>
      <c r="H77" s="39"/>
      <c r="I77" s="226"/>
      <c r="J77" s="227"/>
      <c r="K77" s="20"/>
      <c r="L77" s="20"/>
      <c r="M77" s="20"/>
      <c r="P77" s="19"/>
      <c r="Q77" s="52"/>
      <c r="R77" s="52"/>
      <c r="S77" s="52"/>
      <c r="T77" s="20"/>
      <c r="U77" s="20"/>
      <c r="V77" s="20"/>
    </row>
    <row r="78" spans="2:27" x14ac:dyDescent="0.25">
      <c r="B78" s="20" t="s">
        <v>50</v>
      </c>
      <c r="C78" s="56"/>
      <c r="D78" s="57"/>
      <c r="E78" s="58">
        <f>+E57</f>
        <v>19389371.280000001</v>
      </c>
      <c r="F78" s="20"/>
      <c r="G78" s="52"/>
      <c r="H78" s="39"/>
      <c r="I78" s="226"/>
      <c r="J78" s="244"/>
      <c r="P78" s="19"/>
      <c r="Q78" s="52"/>
      <c r="R78" s="52"/>
      <c r="S78" s="52"/>
      <c r="T78" s="20"/>
      <c r="U78" s="20"/>
      <c r="V78" s="20"/>
    </row>
    <row r="79" spans="2:27" x14ac:dyDescent="0.25">
      <c r="B79" s="20" t="s">
        <v>199</v>
      </c>
      <c r="C79" s="56">
        <f>C48</f>
        <v>0.10347576006581974</v>
      </c>
      <c r="D79" s="212">
        <v>17588393.41</v>
      </c>
      <c r="E79" s="58">
        <f>C79*D79</f>
        <v>1819972.3764364051</v>
      </c>
      <c r="F79" s="20"/>
      <c r="G79" s="52"/>
      <c r="H79" s="39"/>
      <c r="I79" s="226"/>
      <c r="J79" s="244"/>
      <c r="P79" s="19"/>
      <c r="Q79" s="52"/>
      <c r="R79" s="52"/>
      <c r="S79" s="52"/>
      <c r="T79" s="20"/>
      <c r="U79" s="20"/>
      <c r="V79" s="20"/>
    </row>
    <row r="80" spans="2:27" x14ac:dyDescent="0.25">
      <c r="B80" s="20" t="s">
        <v>51</v>
      </c>
      <c r="C80" s="108">
        <f>+C46</f>
        <v>9.5383649893018271E-2</v>
      </c>
      <c r="D80" s="72">
        <f>+D29-D79</f>
        <v>356326614.48900968</v>
      </c>
      <c r="E80" s="52">
        <f>+C80*D80</f>
        <v>33987733.04398419</v>
      </c>
      <c r="F80" s="20"/>
      <c r="G80" s="73"/>
      <c r="H80" s="39"/>
      <c r="I80" s="243">
        <f>E78+E80+E79</f>
        <v>55197076.700420596</v>
      </c>
      <c r="J80" s="247" t="s">
        <v>79</v>
      </c>
      <c r="P80" s="19"/>
      <c r="Q80" s="52"/>
      <c r="R80" s="52"/>
      <c r="S80" s="52"/>
      <c r="T80" s="20"/>
      <c r="U80" s="20"/>
      <c r="V80" s="20"/>
    </row>
    <row r="81" spans="1:25" ht="15.75" thickBot="1" x14ac:dyDescent="0.3">
      <c r="D81" s="53"/>
      <c r="E81" s="59">
        <f>SUM(E77:E80)</f>
        <v>67543699.916594326</v>
      </c>
      <c r="F81" s="52"/>
      <c r="G81" s="52"/>
      <c r="H81" s="60"/>
      <c r="I81" s="20"/>
      <c r="J81" s="20"/>
      <c r="Q81" s="20"/>
      <c r="R81" s="20"/>
      <c r="S81" s="20"/>
      <c r="T81" s="20"/>
      <c r="U81" s="20"/>
      <c r="V81" s="20"/>
    </row>
    <row r="82" spans="1:25" ht="15.75" thickTop="1" x14ac:dyDescent="0.25">
      <c r="D82" s="53"/>
      <c r="E82" s="19"/>
      <c r="F82" s="52"/>
      <c r="G82" s="19"/>
      <c r="H82" s="60"/>
      <c r="I82" s="20"/>
      <c r="J82" s="20"/>
      <c r="Q82" s="20"/>
      <c r="R82" s="20"/>
      <c r="S82" s="20"/>
      <c r="T82" s="20"/>
      <c r="U82" s="20"/>
      <c r="V82" s="20"/>
    </row>
    <row r="83" spans="1:25" x14ac:dyDescent="0.25">
      <c r="B83" s="23" t="s">
        <v>83</v>
      </c>
      <c r="C83" s="20"/>
      <c r="D83" s="20"/>
      <c r="E83" s="39"/>
      <c r="F83" s="52"/>
      <c r="H83" s="60"/>
      <c r="I83" s="389" t="s">
        <v>169</v>
      </c>
      <c r="J83" s="390"/>
      <c r="L83" s="71"/>
      <c r="M83" s="355"/>
    </row>
    <row r="84" spans="1:25" x14ac:dyDescent="0.25">
      <c r="D84" s="207" t="s">
        <v>168</v>
      </c>
      <c r="E84" s="44"/>
      <c r="F84" s="52"/>
      <c r="H84" s="53"/>
      <c r="I84" s="218" t="s">
        <v>160</v>
      </c>
      <c r="J84" s="219"/>
      <c r="K84" s="112"/>
      <c r="L84" s="71"/>
      <c r="M84" s="355"/>
      <c r="N84" s="112"/>
      <c r="O84" s="112"/>
      <c r="P84" s="112"/>
      <c r="Q84" s="112"/>
      <c r="R84" s="112"/>
      <c r="S84" s="112"/>
      <c r="T84" s="112"/>
      <c r="U84" s="112"/>
      <c r="V84" s="20"/>
      <c r="W84" s="20"/>
      <c r="X84" s="20"/>
      <c r="Y84" s="20"/>
    </row>
    <row r="85" spans="1:25" x14ac:dyDescent="0.25">
      <c r="B85" s="23"/>
      <c r="C85" s="99" t="s">
        <v>35</v>
      </c>
      <c r="D85" s="12" t="s">
        <v>10</v>
      </c>
      <c r="E85" s="37" t="s">
        <v>36</v>
      </c>
      <c r="F85" s="52"/>
      <c r="G85" s="394"/>
      <c r="H85" s="395"/>
      <c r="I85" s="220" t="s">
        <v>10</v>
      </c>
      <c r="J85" s="221" t="s">
        <v>36</v>
      </c>
      <c r="K85" s="5"/>
      <c r="L85" s="71"/>
      <c r="M85" s="355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x14ac:dyDescent="0.25">
      <c r="A86" s="20"/>
      <c r="B86" s="20" t="s">
        <v>52</v>
      </c>
      <c r="C86" s="24">
        <f>((+E55+E56+E61)-(E87/(E29/E12)))/E11</f>
        <v>1.9876393701681851E-2</v>
      </c>
      <c r="D86" s="6">
        <f>+E28</f>
        <v>645499682.26317048</v>
      </c>
      <c r="E86" s="213">
        <v>12830205.818973314</v>
      </c>
      <c r="F86" s="361"/>
      <c r="G86" s="394"/>
      <c r="H86" s="395"/>
      <c r="I86" s="222">
        <f>E11</f>
        <v>647901958.69574082</v>
      </c>
      <c r="J86" s="223">
        <f>I86*C86</f>
        <v>12877954.411127357</v>
      </c>
      <c r="K86" s="5"/>
      <c r="L86" s="71"/>
      <c r="M86" s="355"/>
      <c r="N86" s="5"/>
      <c r="O86" s="5"/>
      <c r="P86" s="5"/>
      <c r="Q86" s="5"/>
      <c r="R86" s="5"/>
      <c r="S86" s="5"/>
      <c r="T86" s="5"/>
      <c r="U86" s="5"/>
      <c r="V86" s="45"/>
      <c r="W86" s="20"/>
      <c r="X86" s="20"/>
      <c r="Y86" s="20"/>
    </row>
    <row r="87" spans="1:25" x14ac:dyDescent="0.25">
      <c r="B87" t="s">
        <v>53</v>
      </c>
      <c r="C87" s="24">
        <f>((+E55+E56+E61)-(E86/(E28/E11)))/E12</f>
        <v>1.8347929201549557E-2</v>
      </c>
      <c r="D87" s="6">
        <f>+E29</f>
        <v>672916440.8990097</v>
      </c>
      <c r="E87" s="38">
        <f>C87*D87</f>
        <v>12346623.216173736</v>
      </c>
      <c r="F87" s="361"/>
      <c r="H87" s="62"/>
      <c r="I87" s="222">
        <f>E12</f>
        <v>674325982.67425919</v>
      </c>
      <c r="J87" s="223">
        <f>I87*C87</f>
        <v>12372485.38887264</v>
      </c>
      <c r="K87" s="48"/>
      <c r="L87" s="71"/>
      <c r="M87" s="355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ht="15.75" thickBot="1" x14ac:dyDescent="0.3">
      <c r="C88" s="64">
        <f>+E88/D88</f>
        <v>1.9096269070770468E-2</v>
      </c>
      <c r="D88" s="65">
        <f>SUM(D86:D87)</f>
        <v>1318416123.1621802</v>
      </c>
      <c r="E88" s="66">
        <f>+E86+E87</f>
        <v>25176829.035147049</v>
      </c>
      <c r="F88" s="361"/>
      <c r="H88" s="67"/>
      <c r="I88" s="224"/>
      <c r="J88" s="225">
        <f>SUM(J86:J87)</f>
        <v>25250439.799999997</v>
      </c>
      <c r="L88" s="71"/>
      <c r="M88" s="52"/>
    </row>
    <row r="89" spans="1:25" ht="15.75" thickTop="1" x14ac:dyDescent="0.25">
      <c r="C89" s="35"/>
      <c r="D89" s="68"/>
      <c r="E89" s="53"/>
      <c r="F89" s="52"/>
      <c r="G89" s="19"/>
      <c r="I89" s="53"/>
    </row>
    <row r="90" spans="1:25" ht="97.5" customHeight="1" x14ac:dyDescent="0.25">
      <c r="B90" s="387" t="s">
        <v>211</v>
      </c>
      <c r="C90" s="387"/>
      <c r="D90" s="387"/>
      <c r="E90" s="387"/>
      <c r="F90" s="19"/>
      <c r="G90" s="69"/>
      <c r="H90" s="70"/>
    </row>
    <row r="91" spans="1:25" x14ac:dyDescent="0.25">
      <c r="B91" s="388"/>
      <c r="C91" s="388"/>
      <c r="D91" s="388"/>
      <c r="E91" s="388"/>
    </row>
  </sheetData>
  <mergeCells count="9">
    <mergeCell ref="G34:G38"/>
    <mergeCell ref="G50:I51"/>
    <mergeCell ref="G56:G59"/>
    <mergeCell ref="B90:E90"/>
    <mergeCell ref="B91:E91"/>
    <mergeCell ref="I83:J83"/>
    <mergeCell ref="I53:J53"/>
    <mergeCell ref="I72:J72"/>
    <mergeCell ref="G85:H86"/>
  </mergeCells>
  <pageMargins left="0.7" right="0.7" top="0.25" bottom="0.25" header="0.3" footer="0.3"/>
  <pageSetup paperSize="17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3"/>
  <sheetViews>
    <sheetView showGridLines="0" zoomScaleNormal="100" workbookViewId="0">
      <selection activeCell="K50" sqref="K50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85546875" bestFit="1" customWidth="1"/>
    <col min="8" max="8" width="14.28515625" bestFit="1" customWidth="1"/>
    <col min="9" max="10" width="13.28515625" customWidth="1"/>
    <col min="11" max="11" width="15.140625" customWidth="1"/>
    <col min="12" max="13" width="19.28515625" hidden="1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74" t="s">
        <v>213</v>
      </c>
    </row>
    <row r="3" spans="1:32" ht="18.75" hidden="1" x14ac:dyDescent="0.3">
      <c r="A3" s="1" t="s">
        <v>54</v>
      </c>
      <c r="M3" s="8"/>
      <c r="N3" s="3"/>
      <c r="O3" s="3"/>
      <c r="P3" s="3"/>
      <c r="Q3" s="3"/>
      <c r="R3" s="3"/>
      <c r="S3" s="3"/>
      <c r="T3" s="3"/>
      <c r="U3" s="3"/>
      <c r="V3" s="8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2"/>
      <c r="M4" s="75"/>
      <c r="N4" s="3"/>
      <c r="O4" s="3"/>
      <c r="P4" s="3"/>
      <c r="Q4" s="3"/>
      <c r="R4" s="3"/>
      <c r="S4" s="3"/>
      <c r="T4" s="3"/>
      <c r="U4" s="3"/>
      <c r="V4" s="75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idden="1" x14ac:dyDescent="0.25">
      <c r="A5" s="2" t="s">
        <v>55</v>
      </c>
      <c r="M5" s="75"/>
      <c r="N5" s="3"/>
      <c r="O5" s="3"/>
      <c r="P5" s="3"/>
      <c r="Q5" s="3"/>
      <c r="R5" s="3"/>
      <c r="S5" s="3"/>
      <c r="T5" s="3"/>
      <c r="U5" s="3"/>
      <c r="V5" s="75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hidden="1" x14ac:dyDescent="0.25">
      <c r="A6" s="76" t="s">
        <v>56</v>
      </c>
      <c r="B6" s="77" t="s">
        <v>57</v>
      </c>
      <c r="C6" s="78" t="s">
        <v>58</v>
      </c>
      <c r="D6" s="77" t="s">
        <v>59</v>
      </c>
      <c r="E6" s="78" t="s">
        <v>60</v>
      </c>
      <c r="F6" s="77" t="s">
        <v>61</v>
      </c>
      <c r="G6" s="77" t="s">
        <v>10</v>
      </c>
      <c r="H6" s="78" t="s">
        <v>62</v>
      </c>
      <c r="I6" s="78" t="s">
        <v>63</v>
      </c>
      <c r="J6" s="78" t="s">
        <v>64</v>
      </c>
      <c r="K6" s="78" t="s">
        <v>65</v>
      </c>
      <c r="M6" s="75"/>
      <c r="N6" s="11"/>
      <c r="O6" s="11"/>
      <c r="P6" s="11"/>
      <c r="Q6" s="79"/>
      <c r="R6" s="75"/>
      <c r="S6" s="11"/>
      <c r="T6" s="13"/>
      <c r="U6" s="3"/>
      <c r="V6" s="75"/>
      <c r="W6" s="11"/>
      <c r="X6" s="11"/>
      <c r="Y6" s="11"/>
      <c r="Z6" s="79"/>
      <c r="AA6" s="75"/>
      <c r="AB6" s="11"/>
      <c r="AC6" s="13"/>
      <c r="AD6" s="3"/>
      <c r="AE6" s="3"/>
      <c r="AF6" s="3"/>
    </row>
    <row r="7" spans="1:32" hidden="1" x14ac:dyDescent="0.25">
      <c r="A7" s="80" t="s">
        <v>12</v>
      </c>
      <c r="B7" s="81">
        <f>+'[1]Data for 2nd TU'!D33</f>
        <v>7.6999999999999999E-2</v>
      </c>
      <c r="C7" s="81">
        <f>+'[1]Data for 2nd TU'!$B$43</f>
        <v>3.1848807346377295E-2</v>
      </c>
      <c r="D7" s="81">
        <f>+'[1]Data for 2nd TU'!$B$48</f>
        <v>8.8359370314842575E-2</v>
      </c>
      <c r="E7" s="81">
        <f>+C7+D7</f>
        <v>0.12020817766121987</v>
      </c>
      <c r="F7" s="82">
        <f>+B7-E7</f>
        <v>-4.3208177661219871E-2</v>
      </c>
      <c r="G7" s="31">
        <f>'[1]Data for 2nd TU'!C16</f>
        <v>5002500</v>
      </c>
      <c r="H7" s="25">
        <f>+G7*B7</f>
        <v>385192.5</v>
      </c>
      <c r="I7" s="25">
        <f>+G7*C7</f>
        <v>159323.65875025242</v>
      </c>
      <c r="J7" s="25">
        <f>+G7*D7</f>
        <v>442017.75</v>
      </c>
      <c r="K7" s="25">
        <f>+H7-I7-J7</f>
        <v>-216148.90875025242</v>
      </c>
      <c r="M7" s="3"/>
      <c r="N7" s="83"/>
      <c r="O7" s="84"/>
      <c r="P7" s="84"/>
      <c r="Q7" s="84"/>
      <c r="R7" s="85"/>
      <c r="S7" s="86"/>
      <c r="T7" s="19"/>
      <c r="U7" s="3"/>
      <c r="V7" s="3"/>
      <c r="W7" s="84"/>
      <c r="X7" s="84"/>
      <c r="Y7" s="84"/>
      <c r="Z7" s="84"/>
      <c r="AA7" s="85"/>
      <c r="AB7" s="86"/>
      <c r="AC7" s="19"/>
      <c r="AD7" s="9"/>
      <c r="AE7" s="3"/>
      <c r="AF7" s="3"/>
    </row>
    <row r="8" spans="1:32" hidden="1" x14ac:dyDescent="0.25">
      <c r="A8" s="87" t="s">
        <v>13</v>
      </c>
      <c r="B8" s="84">
        <f>+'[1]Data for 2nd TU'!D34</f>
        <v>8.8999999999999996E-2</v>
      </c>
      <c r="C8" s="84">
        <f>+'[1]Data for 2nd TU'!$B$43</f>
        <v>3.1848807346377295E-2</v>
      </c>
      <c r="D8" s="84">
        <f>+'[1]Data for 2nd TU'!$B$48</f>
        <v>8.8359370314842575E-2</v>
      </c>
      <c r="E8" s="84">
        <f t="shared" ref="E8:E11" si="0">+C8+D8</f>
        <v>0.12020817766121987</v>
      </c>
      <c r="F8" s="85">
        <f t="shared" ref="F8:F11" si="1">+B8-E8</f>
        <v>-3.1208177661219874E-2</v>
      </c>
      <c r="G8" s="31">
        <f>'[1]Data for 2nd TU'!C17</f>
        <v>7003500</v>
      </c>
      <c r="H8" s="25">
        <f t="shared" ref="H8:H11" si="2">+G8*B8</f>
        <v>623311.5</v>
      </c>
      <c r="I8" s="25">
        <f t="shared" ref="I8:I11" si="3">+G8*C8</f>
        <v>223053.12225035339</v>
      </c>
      <c r="J8" s="25">
        <f t="shared" ref="J8:J11" si="4">+G8*D8</f>
        <v>618824.85</v>
      </c>
      <c r="K8" s="25">
        <f t="shared" ref="K8:K11" si="5">+H8-I8-J8</f>
        <v>-218566.47225035337</v>
      </c>
      <c r="M8" s="3"/>
      <c r="N8" s="83"/>
      <c r="O8" s="84"/>
      <c r="P8" s="84"/>
      <c r="Q8" s="84"/>
      <c r="R8" s="85"/>
      <c r="S8" s="86"/>
      <c r="T8" s="19"/>
      <c r="U8" s="3"/>
      <c r="V8" s="3"/>
      <c r="W8" s="84"/>
      <c r="X8" s="84"/>
      <c r="Y8" s="84"/>
      <c r="Z8" s="84"/>
      <c r="AA8" s="85"/>
      <c r="AB8" s="86"/>
      <c r="AC8" s="19"/>
      <c r="AD8" s="9"/>
      <c r="AE8" s="3"/>
      <c r="AF8" s="3"/>
    </row>
    <row r="9" spans="1:32" hidden="1" x14ac:dyDescent="0.25">
      <c r="A9" s="87" t="s">
        <v>14</v>
      </c>
      <c r="B9" s="84">
        <f>+'[1]Data for 2nd TU'!D35</f>
        <v>6.5000000000000002E-2</v>
      </c>
      <c r="C9" s="84">
        <f>+'[1]Data for 2nd TU'!$B$43</f>
        <v>3.1848807346377295E-2</v>
      </c>
      <c r="D9" s="84">
        <f>+'[1]Data for 2nd TU'!$B$48</f>
        <v>8.8359370314842575E-2</v>
      </c>
      <c r="E9" s="84">
        <f t="shared" si="0"/>
        <v>0.12020817766121987</v>
      </c>
      <c r="F9" s="85">
        <f t="shared" si="1"/>
        <v>-5.5208177661219868E-2</v>
      </c>
      <c r="G9" s="31">
        <f>'[1]Data for 2nd TU'!C18</f>
        <v>100050000</v>
      </c>
      <c r="H9" s="25">
        <f t="shared" si="2"/>
        <v>6503250</v>
      </c>
      <c r="I9" s="25">
        <f t="shared" si="3"/>
        <v>3186473.1750050485</v>
      </c>
      <c r="J9" s="25">
        <f t="shared" si="4"/>
        <v>8840355</v>
      </c>
      <c r="K9" s="25">
        <f t="shared" si="5"/>
        <v>-5523578.1750050485</v>
      </c>
      <c r="M9" s="3"/>
      <c r="N9" s="83"/>
      <c r="O9" s="84"/>
      <c r="P9" s="84"/>
      <c r="Q9" s="84"/>
      <c r="R9" s="85"/>
      <c r="S9" s="86"/>
      <c r="T9" s="19"/>
      <c r="U9" s="3"/>
      <c r="V9" s="3"/>
      <c r="W9" s="84"/>
      <c r="X9" s="84"/>
      <c r="Y9" s="84"/>
      <c r="Z9" s="84"/>
      <c r="AA9" s="85"/>
      <c r="AB9" s="86"/>
      <c r="AC9" s="19"/>
      <c r="AD9" s="9"/>
      <c r="AE9" s="3"/>
      <c r="AF9" s="3"/>
    </row>
    <row r="10" spans="1:32" hidden="1" x14ac:dyDescent="0.25">
      <c r="A10" s="87" t="s">
        <v>15</v>
      </c>
      <c r="B10" s="84">
        <f>+'[1]Data for 2nd TU'!D36</f>
        <v>9.4E-2</v>
      </c>
      <c r="C10" s="84">
        <f>+'[1]Data for 2nd TU'!$B$43</f>
        <v>3.1848807346377295E-2</v>
      </c>
      <c r="D10" s="84">
        <f>+'[1]Data for 2nd TU'!$B$48</f>
        <v>8.8359370314842575E-2</v>
      </c>
      <c r="E10" s="84">
        <f t="shared" si="0"/>
        <v>0.12020817766121987</v>
      </c>
      <c r="F10" s="85">
        <f t="shared" si="1"/>
        <v>-2.620817766121987E-2</v>
      </c>
      <c r="G10" s="31">
        <f>'[1]Data for 2nd TU'!C19</f>
        <v>50025000</v>
      </c>
      <c r="H10" s="25">
        <f t="shared" si="2"/>
        <v>4702350</v>
      </c>
      <c r="I10" s="25">
        <f t="shared" si="3"/>
        <v>1593236.5875025243</v>
      </c>
      <c r="J10" s="25">
        <f t="shared" si="4"/>
        <v>4420177.5</v>
      </c>
      <c r="K10" s="25">
        <f t="shared" si="5"/>
        <v>-1311064.0875025243</v>
      </c>
      <c r="M10" s="3"/>
      <c r="N10" s="83"/>
      <c r="O10" s="84"/>
      <c r="P10" s="84"/>
      <c r="Q10" s="84"/>
      <c r="R10" s="85"/>
      <c r="S10" s="86"/>
      <c r="T10" s="19"/>
      <c r="U10" s="3"/>
      <c r="V10" s="3"/>
      <c r="W10" s="84"/>
      <c r="X10" s="84"/>
      <c r="Y10" s="84"/>
      <c r="Z10" s="84"/>
      <c r="AA10" s="85"/>
      <c r="AB10" s="86"/>
      <c r="AC10" s="19"/>
      <c r="AD10" s="9"/>
      <c r="AE10" s="3"/>
      <c r="AF10" s="3"/>
    </row>
    <row r="11" spans="1:32" hidden="1" x14ac:dyDescent="0.25">
      <c r="A11" s="88" t="s">
        <v>16</v>
      </c>
      <c r="B11" s="89">
        <f>+'[1]Data for 2nd TU'!D37</f>
        <v>0.13200000000000001</v>
      </c>
      <c r="C11" s="89">
        <f>+'[1]Data for 2nd TU'!$B$43</f>
        <v>3.1848807346377295E-2</v>
      </c>
      <c r="D11" s="89">
        <f>+'[1]Data for 2nd TU'!$B$48</f>
        <v>8.8359370314842575E-2</v>
      </c>
      <c r="E11" s="89">
        <f t="shared" si="0"/>
        <v>0.12020817766121987</v>
      </c>
      <c r="F11" s="90">
        <f t="shared" si="1"/>
        <v>1.1791822338780136E-2</v>
      </c>
      <c r="G11" s="31">
        <f>'[1]Data for 2nd TU'!C20</f>
        <v>63031500.000000007</v>
      </c>
      <c r="H11" s="25">
        <f t="shared" si="2"/>
        <v>8320158.0000000009</v>
      </c>
      <c r="I11" s="25">
        <f t="shared" si="3"/>
        <v>2007478.1002531806</v>
      </c>
      <c r="J11" s="25">
        <f t="shared" si="4"/>
        <v>5569423.6500000004</v>
      </c>
      <c r="K11" s="25">
        <f t="shared" si="5"/>
        <v>743256.24974681996</v>
      </c>
      <c r="M11" s="3"/>
      <c r="N11" s="83"/>
      <c r="O11" s="84"/>
      <c r="P11" s="84"/>
      <c r="Q11" s="84"/>
      <c r="R11" s="85"/>
      <c r="S11" s="86"/>
      <c r="T11" s="19"/>
      <c r="U11" s="3"/>
      <c r="V11" s="3"/>
      <c r="W11" s="84"/>
      <c r="X11" s="84"/>
      <c r="Y11" s="84"/>
      <c r="Z11" s="84"/>
      <c r="AA11" s="85"/>
      <c r="AB11" s="86"/>
      <c r="AC11" s="19"/>
      <c r="AD11" s="9"/>
      <c r="AE11" s="3"/>
      <c r="AF11" s="3"/>
    </row>
    <row r="12" spans="1:32" ht="15.75" hidden="1" thickBot="1" x14ac:dyDescent="0.3">
      <c r="B12" s="91">
        <f>+H12/G12</f>
        <v>9.1217777777777773E-2</v>
      </c>
      <c r="G12" s="22">
        <f>SUM(G7:G11)</f>
        <v>225112500</v>
      </c>
      <c r="H12" s="59">
        <f t="shared" ref="H12:J12" si="6">SUM(H7:H11)</f>
        <v>20534262</v>
      </c>
      <c r="I12" s="59">
        <f t="shared" si="6"/>
        <v>7169564.6437613592</v>
      </c>
      <c r="J12" s="59">
        <f t="shared" si="6"/>
        <v>19890798.75</v>
      </c>
      <c r="K12" s="41">
        <f>SUM(K7:K11)</f>
        <v>-6526101.3937613582</v>
      </c>
      <c r="M12" s="3"/>
      <c r="N12" s="3"/>
      <c r="O12" s="3"/>
      <c r="P12" s="3"/>
      <c r="Q12" s="19"/>
      <c r="R12" s="19"/>
      <c r="S12" s="18"/>
      <c r="T12" s="19"/>
      <c r="U12" s="3"/>
      <c r="V12" s="3"/>
      <c r="W12" s="3"/>
      <c r="X12" s="3"/>
      <c r="Y12" s="3"/>
      <c r="Z12" s="19"/>
      <c r="AA12" s="19"/>
      <c r="AB12" s="18"/>
      <c r="AC12" s="19"/>
      <c r="AD12" s="9"/>
      <c r="AE12" s="3"/>
      <c r="AF12" s="3"/>
    </row>
    <row r="13" spans="1:32" x14ac:dyDescent="0.25">
      <c r="I13" s="44"/>
      <c r="J13" s="4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1" t="s">
        <v>100</v>
      </c>
      <c r="M14" s="75"/>
      <c r="N14" s="3"/>
      <c r="O14" s="3"/>
      <c r="P14" s="3"/>
      <c r="Q14" s="3"/>
      <c r="R14" s="3"/>
      <c r="S14" s="3"/>
      <c r="T14" s="3"/>
      <c r="U14" s="3"/>
      <c r="V14" s="75"/>
      <c r="W14" s="3"/>
      <c r="X14" s="3"/>
      <c r="Y14" s="3"/>
      <c r="Z14" s="3"/>
      <c r="AA14" s="92"/>
      <c r="AB14" s="3"/>
      <c r="AC14" s="3"/>
      <c r="AD14" s="3"/>
      <c r="AE14" s="3"/>
      <c r="AF14" s="3"/>
    </row>
    <row r="15" spans="1:32" x14ac:dyDescent="0.25">
      <c r="A15" s="2"/>
      <c r="C15" s="101"/>
      <c r="G15" s="32" t="s">
        <v>88</v>
      </c>
      <c r="M15" s="75"/>
      <c r="N15" s="93"/>
      <c r="O15" s="93"/>
      <c r="P15" s="93"/>
      <c r="Q15" s="93"/>
      <c r="R15" s="93"/>
      <c r="S15" s="32"/>
      <c r="T15" s="32"/>
      <c r="V15" s="75"/>
      <c r="W15" s="93"/>
      <c r="X15" s="93"/>
      <c r="Y15" s="93"/>
      <c r="AA15" s="63"/>
    </row>
    <row r="16" spans="1:32" x14ac:dyDescent="0.25">
      <c r="A16" s="2" t="s">
        <v>66</v>
      </c>
      <c r="E16" s="101"/>
      <c r="H16" s="101"/>
      <c r="I16" s="101"/>
      <c r="J16" s="101"/>
      <c r="K16" s="101"/>
      <c r="M16" s="3"/>
      <c r="N16" s="17"/>
      <c r="O16" s="18"/>
      <c r="P16" s="19"/>
      <c r="Q16" s="19"/>
      <c r="R16" s="19"/>
      <c r="S16" s="25"/>
      <c r="T16" s="25"/>
      <c r="V16" s="3"/>
      <c r="W16" s="17"/>
      <c r="X16" s="18"/>
      <c r="Y16" s="19"/>
      <c r="AA16" s="63"/>
    </row>
    <row r="17" spans="1:27" ht="45" x14ac:dyDescent="0.25">
      <c r="A17" s="76" t="s">
        <v>56</v>
      </c>
      <c r="B17" s="77" t="s">
        <v>57</v>
      </c>
      <c r="C17" s="78" t="s">
        <v>67</v>
      </c>
      <c r="D17" s="77" t="s">
        <v>59</v>
      </c>
      <c r="E17" s="78" t="s">
        <v>60</v>
      </c>
      <c r="F17" s="77" t="s">
        <v>61</v>
      </c>
      <c r="G17" s="77" t="s">
        <v>10</v>
      </c>
      <c r="H17" s="78" t="s">
        <v>68</v>
      </c>
      <c r="I17" s="78" t="s">
        <v>69</v>
      </c>
      <c r="J17" s="78" t="s">
        <v>64</v>
      </c>
      <c r="K17" s="78" t="s">
        <v>84</v>
      </c>
      <c r="L17" s="337" t="s">
        <v>182</v>
      </c>
      <c r="M17" s="337" t="s">
        <v>183</v>
      </c>
      <c r="N17" s="17"/>
      <c r="O17" s="18"/>
      <c r="P17" s="19"/>
      <c r="Q17" s="19"/>
      <c r="R17" s="19"/>
      <c r="S17" s="25"/>
      <c r="T17" s="25"/>
      <c r="V17" s="3"/>
      <c r="W17" s="17"/>
      <c r="X17" s="18"/>
      <c r="Y17" s="19"/>
      <c r="AA17" s="63"/>
    </row>
    <row r="18" spans="1:27" x14ac:dyDescent="0.25">
      <c r="A18" s="80" t="s">
        <v>12</v>
      </c>
      <c r="B18" s="109">
        <f>'Veridian - 2019'!C68</f>
        <v>7.7000000000000082E-2</v>
      </c>
      <c r="C18" s="81">
        <f>'Veridian - 2019'!C44</f>
        <v>1.9876393701681851E-2</v>
      </c>
      <c r="D18" s="109">
        <f>'Veridian - 2019'!C50</f>
        <v>0.10331343174370142</v>
      </c>
      <c r="E18" s="109">
        <f>+C18+D18</f>
        <v>0.12318982544538326</v>
      </c>
      <c r="F18" s="214">
        <f>+B18-E18</f>
        <v>-4.6189825445383179E-2</v>
      </c>
      <c r="G18" s="215">
        <f>'Veridian - 2019'!D17</f>
        <v>38635065.242451936</v>
      </c>
      <c r="H18" s="25">
        <f>+G18*B18</f>
        <v>2974900.0236688023</v>
      </c>
      <c r="I18" s="38">
        <f>+C18*G18</f>
        <v>767925.76744913904</v>
      </c>
      <c r="J18" s="25">
        <f>+G18*D18</f>
        <v>3991521.1758395093</v>
      </c>
      <c r="K18" s="25">
        <f>+H18-I18-J18</f>
        <v>-1784546.9196198462</v>
      </c>
      <c r="L18" s="212">
        <v>-267314.48070330702</v>
      </c>
      <c r="M18" s="38">
        <f>K18-L18</f>
        <v>-1517232.4389165391</v>
      </c>
      <c r="N18" s="9"/>
      <c r="O18" s="9"/>
      <c r="P18" s="19"/>
      <c r="Q18" s="19"/>
      <c r="R18" s="19"/>
      <c r="S18" s="19"/>
      <c r="T18" s="19"/>
      <c r="V18" s="3"/>
      <c r="W18" s="3"/>
      <c r="X18" s="3"/>
      <c r="Y18" s="19"/>
      <c r="AA18" s="63"/>
    </row>
    <row r="19" spans="1:27" x14ac:dyDescent="0.25">
      <c r="A19" s="87" t="s">
        <v>13</v>
      </c>
      <c r="B19" s="110">
        <f>'Veridian - 2019'!C69</f>
        <v>8.9000000000000024E-2</v>
      </c>
      <c r="C19" s="84">
        <f>C18</f>
        <v>1.9876393701681851E-2</v>
      </c>
      <c r="D19" s="110">
        <f>D18</f>
        <v>0.10331343174370142</v>
      </c>
      <c r="E19" s="110">
        <f t="shared" ref="E19:E22" si="7">+C19+D19</f>
        <v>0.12318982544538326</v>
      </c>
      <c r="F19" s="216">
        <f t="shared" ref="F19:F22" si="8">+B19-E19</f>
        <v>-3.4189825445383237E-2</v>
      </c>
      <c r="G19" s="215">
        <f>'Veridian - 2019'!D18</f>
        <v>29043438.999511231</v>
      </c>
      <c r="H19" s="25">
        <f t="shared" ref="H19:H22" si="9">+G19*B19</f>
        <v>2584866.0709565002</v>
      </c>
      <c r="I19" s="25">
        <f>+C19*G19</f>
        <v>577278.82800506603</v>
      </c>
      <c r="J19" s="25">
        <f t="shared" ref="J19:J22" si="10">+G19*D19</f>
        <v>3000577.3526783595</v>
      </c>
      <c r="K19" s="25">
        <f t="shared" ref="K19:K23" si="11">+H19-I19-J19</f>
        <v>-992990.10972692538</v>
      </c>
      <c r="L19" s="212">
        <v>-114002.95226103799</v>
      </c>
      <c r="M19" s="38">
        <f t="shared" ref="M19:M22" si="12">K19-L19</f>
        <v>-878987.15746588737</v>
      </c>
      <c r="N19" s="3"/>
      <c r="O19" s="9"/>
      <c r="P19" s="3"/>
      <c r="Q19" s="3"/>
      <c r="R19" s="3"/>
      <c r="V19" s="3"/>
      <c r="W19" s="3"/>
      <c r="X19" s="3"/>
      <c r="Y19" s="3"/>
      <c r="AA19" s="63"/>
    </row>
    <row r="20" spans="1:27" x14ac:dyDescent="0.25">
      <c r="A20" s="87" t="s">
        <v>14</v>
      </c>
      <c r="B20" s="110">
        <f>'Veridian - 2019'!C70</f>
        <v>6.5000000000000002E-2</v>
      </c>
      <c r="C20" s="84">
        <f>C19</f>
        <v>1.9876393701681851E-2</v>
      </c>
      <c r="D20" s="110">
        <f>D18</f>
        <v>0.10331343174370142</v>
      </c>
      <c r="E20" s="110">
        <f t="shared" si="7"/>
        <v>0.12318982544538326</v>
      </c>
      <c r="F20" s="216">
        <f t="shared" si="8"/>
        <v>-5.8189825445383259E-2</v>
      </c>
      <c r="G20" s="215">
        <f>'Veridian - 2019'!D19</f>
        <v>373499785.61672622</v>
      </c>
      <c r="H20" s="25">
        <f t="shared" si="9"/>
        <v>24277486.065087207</v>
      </c>
      <c r="I20" s="25">
        <f>+C20*G20</f>
        <v>7423828.7864118181</v>
      </c>
      <c r="J20" s="25">
        <f t="shared" si="10"/>
        <v>38587544.607600756</v>
      </c>
      <c r="K20" s="25">
        <f t="shared" si="11"/>
        <v>-21733887.328925367</v>
      </c>
      <c r="L20" s="212">
        <v>-3009496.3525817399</v>
      </c>
      <c r="M20" s="38">
        <f t="shared" si="12"/>
        <v>-18724390.976343628</v>
      </c>
      <c r="N20" s="3"/>
      <c r="O20" s="3"/>
      <c r="P20" s="3"/>
      <c r="Q20" s="3"/>
      <c r="R20" s="3"/>
      <c r="V20" s="75"/>
      <c r="W20" s="3"/>
      <c r="X20" s="3"/>
      <c r="Y20" s="3"/>
    </row>
    <row r="21" spans="1:27" x14ac:dyDescent="0.25">
      <c r="A21" s="3" t="s">
        <v>15</v>
      </c>
      <c r="B21" s="110">
        <f>'Veridian - 2019'!C71</f>
        <v>9.4E-2</v>
      </c>
      <c r="C21" s="84">
        <f>C20</f>
        <v>1.9876393701681851E-2</v>
      </c>
      <c r="D21" s="110">
        <f>D18</f>
        <v>0.10331343174370142</v>
      </c>
      <c r="E21" s="110">
        <f t="shared" si="7"/>
        <v>0.12318982544538326</v>
      </c>
      <c r="F21" s="216">
        <f t="shared" si="8"/>
        <v>-2.9189825445383261E-2</v>
      </c>
      <c r="G21" s="215">
        <f>'Veridian - 2019'!D20</f>
        <v>101501762.44787212</v>
      </c>
      <c r="H21" s="25">
        <f t="shared" si="9"/>
        <v>9541165.6700999793</v>
      </c>
      <c r="I21" s="25">
        <f>+C21*G21</f>
        <v>2017488.9918284928</v>
      </c>
      <c r="J21" s="25">
        <f t="shared" si="10"/>
        <v>10486495.406523632</v>
      </c>
      <c r="K21" s="25">
        <f t="shared" si="11"/>
        <v>-2962818.7282521455</v>
      </c>
      <c r="L21" s="212">
        <v>-341176.48372687399</v>
      </c>
      <c r="M21" s="38">
        <f t="shared" si="12"/>
        <v>-2621642.2445252715</v>
      </c>
      <c r="N21" s="3"/>
      <c r="O21" s="3"/>
      <c r="P21" s="9"/>
      <c r="Q21" s="9"/>
      <c r="R21" s="9"/>
      <c r="S21" s="44"/>
      <c r="T21" s="44"/>
      <c r="V21" s="3"/>
      <c r="W21" s="3"/>
      <c r="X21" s="3"/>
      <c r="Y21" s="9"/>
    </row>
    <row r="22" spans="1:27" x14ac:dyDescent="0.25">
      <c r="A22" s="3" t="s">
        <v>16</v>
      </c>
      <c r="B22" s="110">
        <f>'Veridian - 2019'!C72</f>
        <v>0.13258273402358953</v>
      </c>
      <c r="C22" s="84">
        <f>C21</f>
        <v>1.9876393701681851E-2</v>
      </c>
      <c r="D22" s="110">
        <f>D18</f>
        <v>0.10331343174370142</v>
      </c>
      <c r="E22" s="110">
        <f t="shared" si="7"/>
        <v>0.12318982544538326</v>
      </c>
      <c r="F22" s="216">
        <f t="shared" si="8"/>
        <v>9.392908578206266E-3</v>
      </c>
      <c r="G22" s="215">
        <f>'Veridian - 2019'!D21</f>
        <v>105221906.38917941</v>
      </c>
      <c r="H22" s="25">
        <f t="shared" si="9"/>
        <v>13950608.028251609</v>
      </c>
      <c r="I22" s="25">
        <f>+C22*G22</f>
        <v>2091432.0374328429</v>
      </c>
      <c r="J22" s="25">
        <f t="shared" si="10"/>
        <v>10870836.243680626</v>
      </c>
      <c r="K22" s="25">
        <f t="shared" si="11"/>
        <v>988339.74713813886</v>
      </c>
      <c r="L22" s="212">
        <v>255426.658822728</v>
      </c>
      <c r="M22" s="38">
        <f t="shared" si="12"/>
        <v>732913.08831541089</v>
      </c>
      <c r="N22" s="3"/>
      <c r="O22" s="3"/>
      <c r="P22" s="9"/>
      <c r="Q22" s="9"/>
      <c r="R22" s="9"/>
      <c r="S22" s="44"/>
      <c r="T22" s="44"/>
      <c r="V22" s="3"/>
      <c r="W22" s="3"/>
      <c r="X22" s="3"/>
      <c r="Y22" s="9"/>
    </row>
    <row r="23" spans="1:27" x14ac:dyDescent="0.25">
      <c r="A23" s="341" t="s">
        <v>193</v>
      </c>
      <c r="B23" s="111"/>
      <c r="C23" s="89"/>
      <c r="D23" s="111"/>
      <c r="E23" s="111"/>
      <c r="F23" s="217"/>
      <c r="G23" s="215"/>
      <c r="H23" s="25"/>
      <c r="I23" s="349">
        <v>-3464</v>
      </c>
      <c r="J23" s="25"/>
      <c r="K23" s="25">
        <f t="shared" si="11"/>
        <v>3464</v>
      </c>
      <c r="L23" s="212"/>
      <c r="M23" s="38"/>
      <c r="N23" s="3"/>
      <c r="O23" s="3"/>
      <c r="P23" s="9"/>
      <c r="Q23" s="9"/>
      <c r="R23" s="9"/>
      <c r="S23" s="44"/>
      <c r="T23" s="44"/>
      <c r="V23" s="3"/>
      <c r="W23" s="3"/>
      <c r="X23" s="3"/>
      <c r="Y23" s="9"/>
    </row>
    <row r="24" spans="1:27" ht="15.75" thickBot="1" x14ac:dyDescent="0.3">
      <c r="B24" s="340">
        <f>+H24/G24</f>
        <v>8.2310332824765797E-2</v>
      </c>
      <c r="G24" s="59">
        <f>SUM(G18:G23)</f>
        <v>647901958.69574094</v>
      </c>
      <c r="H24" s="59">
        <f>SUM(H18:H23)</f>
        <v>53329025.8580641</v>
      </c>
      <c r="I24" s="59">
        <f>SUM(I18:I23)</f>
        <v>12874490.411127359</v>
      </c>
      <c r="J24" s="59">
        <f>SUM(J18:J23)</f>
        <v>66936974.786322877</v>
      </c>
      <c r="K24" s="59">
        <f>SUM(K18:K23)</f>
        <v>-26482439.339386147</v>
      </c>
      <c r="L24" s="41">
        <f>SUM(L18:L22)</f>
        <v>-3476563.610450231</v>
      </c>
      <c r="M24" s="41">
        <f>SUM(M18:M22)</f>
        <v>-23009339.728935916</v>
      </c>
      <c r="N24" s="3"/>
      <c r="O24" s="9"/>
      <c r="P24" s="19"/>
      <c r="Q24" s="19"/>
      <c r="R24" s="19"/>
      <c r="S24" s="19"/>
      <c r="T24" s="19"/>
      <c r="V24" s="3"/>
      <c r="W24" s="3"/>
      <c r="X24" s="3"/>
      <c r="Y24" s="19"/>
    </row>
    <row r="25" spans="1:27" x14ac:dyDescent="0.25">
      <c r="A25" s="3"/>
      <c r="B25" s="3"/>
      <c r="C25" s="3"/>
      <c r="D25" s="3"/>
      <c r="E25" s="3"/>
      <c r="H25" s="20"/>
      <c r="I25" s="20" t="s">
        <v>139</v>
      </c>
      <c r="M25" s="18"/>
      <c r="N25" s="3"/>
      <c r="O25" s="3"/>
      <c r="P25" s="3"/>
      <c r="Q25" s="3"/>
      <c r="R25" s="3"/>
      <c r="V25" s="3"/>
      <c r="W25" s="3"/>
      <c r="X25" s="3"/>
      <c r="Y25" s="3"/>
    </row>
    <row r="26" spans="1:27" ht="18.75" hidden="1" x14ac:dyDescent="0.3">
      <c r="A26" s="1" t="s">
        <v>70</v>
      </c>
      <c r="M26" s="94"/>
      <c r="N26" s="3"/>
      <c r="O26" s="3"/>
      <c r="P26" s="3"/>
      <c r="Q26" s="3"/>
      <c r="R26" s="3"/>
      <c r="V26" s="3"/>
      <c r="W26" s="3"/>
      <c r="X26" s="3"/>
      <c r="Y26" s="3"/>
    </row>
    <row r="27" spans="1:27" ht="18.75" hidden="1" x14ac:dyDescent="0.3">
      <c r="A27" s="1"/>
      <c r="M27" s="94"/>
      <c r="N27" s="3"/>
      <c r="O27" s="3"/>
      <c r="P27" s="3"/>
      <c r="Q27" s="3"/>
      <c r="R27" s="3"/>
      <c r="V27" s="3"/>
      <c r="W27" s="3"/>
      <c r="X27" s="3"/>
      <c r="Y27" s="3"/>
    </row>
    <row r="28" spans="1:27" hidden="1" x14ac:dyDescent="0.25">
      <c r="A28" s="2" t="s">
        <v>71</v>
      </c>
      <c r="M28" s="94"/>
      <c r="N28" s="3"/>
      <c r="O28" s="3"/>
      <c r="P28" s="3"/>
      <c r="Q28" s="3"/>
      <c r="R28" s="3"/>
      <c r="V28" s="3"/>
      <c r="W28" s="3"/>
      <c r="X28" s="3"/>
      <c r="Y28" s="3"/>
    </row>
    <row r="29" spans="1:27" ht="45" hidden="1" x14ac:dyDescent="0.25">
      <c r="A29" s="95" t="s">
        <v>72</v>
      </c>
      <c r="B29" s="77" t="s">
        <v>57</v>
      </c>
      <c r="C29" s="78" t="s">
        <v>73</v>
      </c>
      <c r="D29" s="78" t="s">
        <v>74</v>
      </c>
      <c r="E29" s="78" t="s">
        <v>60</v>
      </c>
      <c r="F29" s="77" t="s">
        <v>61</v>
      </c>
      <c r="G29" s="77" t="s">
        <v>10</v>
      </c>
      <c r="H29" s="78" t="s">
        <v>75</v>
      </c>
      <c r="I29" s="78" t="s">
        <v>76</v>
      </c>
      <c r="J29" s="78" t="s">
        <v>77</v>
      </c>
      <c r="K29" s="78" t="s">
        <v>78</v>
      </c>
      <c r="M29" s="47"/>
      <c r="N29" s="96"/>
    </row>
    <row r="30" spans="1:27" hidden="1" x14ac:dyDescent="0.25">
      <c r="A30" s="80" t="s">
        <v>12</v>
      </c>
      <c r="B30" s="97">
        <f t="shared" ref="B30:G34" si="13">+B7-B18</f>
        <v>0</v>
      </c>
      <c r="C30" s="81">
        <f t="shared" si="13"/>
        <v>1.1972413644695444E-2</v>
      </c>
      <c r="D30" s="81">
        <f t="shared" si="13"/>
        <v>-1.4954061428858842E-2</v>
      </c>
      <c r="E30" s="81">
        <f t="shared" si="13"/>
        <v>-2.9816477841633909E-3</v>
      </c>
      <c r="F30" s="82">
        <f t="shared" si="13"/>
        <v>2.9816477841633077E-3</v>
      </c>
      <c r="G30" s="31">
        <f t="shared" si="13"/>
        <v>-33632565.242451936</v>
      </c>
      <c r="H30" s="25">
        <f t="shared" ref="H30:J34" si="14">+H18-H7</f>
        <v>2589707.5236688023</v>
      </c>
      <c r="I30" s="25">
        <f t="shared" si="14"/>
        <v>608602.10869888659</v>
      </c>
      <c r="J30" s="25">
        <f t="shared" si="14"/>
        <v>3549503.4258395093</v>
      </c>
      <c r="K30" s="25">
        <f>+H30-I30-J30</f>
        <v>-1568398.0108695936</v>
      </c>
      <c r="M30" s="44"/>
      <c r="N30" s="61"/>
    </row>
    <row r="31" spans="1:27" hidden="1" x14ac:dyDescent="0.25">
      <c r="A31" s="87" t="s">
        <v>13</v>
      </c>
      <c r="B31" s="83">
        <f t="shared" si="13"/>
        <v>0</v>
      </c>
      <c r="C31" s="84">
        <f t="shared" si="13"/>
        <v>1.1972413644695444E-2</v>
      </c>
      <c r="D31" s="84">
        <f t="shared" si="13"/>
        <v>-1.4954061428858842E-2</v>
      </c>
      <c r="E31" s="84">
        <f t="shared" si="13"/>
        <v>-2.9816477841633909E-3</v>
      </c>
      <c r="F31" s="85">
        <f t="shared" si="13"/>
        <v>2.9816477841633632E-3</v>
      </c>
      <c r="G31" s="31">
        <f t="shared" si="13"/>
        <v>-22039938.999511231</v>
      </c>
      <c r="H31" s="25">
        <f t="shared" si="14"/>
        <v>1961554.5709565002</v>
      </c>
      <c r="I31" s="25">
        <f t="shared" si="14"/>
        <v>354225.70575471263</v>
      </c>
      <c r="J31" s="25">
        <f t="shared" si="14"/>
        <v>2381752.5026783594</v>
      </c>
      <c r="K31" s="25">
        <f t="shared" ref="K31:K34" si="15">+H31-I31-J31</f>
        <v>-774423.63747657184</v>
      </c>
      <c r="M31" s="44"/>
      <c r="N31" s="61"/>
    </row>
    <row r="32" spans="1:27" hidden="1" x14ac:dyDescent="0.25">
      <c r="A32" s="87" t="s">
        <v>14</v>
      </c>
      <c r="B32" s="83">
        <f t="shared" si="13"/>
        <v>0</v>
      </c>
      <c r="C32" s="84">
        <f t="shared" si="13"/>
        <v>1.1972413644695444E-2</v>
      </c>
      <c r="D32" s="84">
        <f t="shared" si="13"/>
        <v>-1.4954061428858842E-2</v>
      </c>
      <c r="E32" s="84">
        <f t="shared" si="13"/>
        <v>-2.9816477841633909E-3</v>
      </c>
      <c r="F32" s="85">
        <f t="shared" si="13"/>
        <v>2.9816477841633909E-3</v>
      </c>
      <c r="G32" s="31">
        <f t="shared" si="13"/>
        <v>-273449785.61672622</v>
      </c>
      <c r="H32" s="25">
        <f t="shared" si="14"/>
        <v>17774236.065087207</v>
      </c>
      <c r="I32" s="25">
        <f t="shared" si="14"/>
        <v>4237355.6114067696</v>
      </c>
      <c r="J32" s="25">
        <f t="shared" si="14"/>
        <v>29747189.607600756</v>
      </c>
      <c r="K32" s="25">
        <f t="shared" si="15"/>
        <v>-16210309.153920319</v>
      </c>
      <c r="M32" s="44"/>
      <c r="N32" s="61"/>
    </row>
    <row r="33" spans="1:14" hidden="1" x14ac:dyDescent="0.25">
      <c r="A33" s="87" t="s">
        <v>15</v>
      </c>
      <c r="B33" s="83">
        <f t="shared" si="13"/>
        <v>0</v>
      </c>
      <c r="C33" s="84">
        <f t="shared" si="13"/>
        <v>1.1972413644695444E-2</v>
      </c>
      <c r="D33" s="84">
        <f t="shared" si="13"/>
        <v>-1.4954061428858842E-2</v>
      </c>
      <c r="E33" s="84">
        <f t="shared" si="13"/>
        <v>-2.9816477841633909E-3</v>
      </c>
      <c r="F33" s="85">
        <f t="shared" si="13"/>
        <v>2.9816477841633909E-3</v>
      </c>
      <c r="G33" s="31">
        <f t="shared" si="13"/>
        <v>-51476762.447872117</v>
      </c>
      <c r="H33" s="25">
        <f t="shared" si="14"/>
        <v>4838815.6700999793</v>
      </c>
      <c r="I33" s="25">
        <f t="shared" si="14"/>
        <v>424252.40432596859</v>
      </c>
      <c r="J33" s="25">
        <f t="shared" si="14"/>
        <v>6066317.9065236319</v>
      </c>
      <c r="K33" s="25">
        <f t="shared" si="15"/>
        <v>-1651754.6407496212</v>
      </c>
      <c r="M33" s="44"/>
      <c r="N33" s="61"/>
    </row>
    <row r="34" spans="1:14" hidden="1" x14ac:dyDescent="0.25">
      <c r="A34" s="88" t="s">
        <v>16</v>
      </c>
      <c r="B34" s="98">
        <f t="shared" si="13"/>
        <v>-5.8273402358952064E-4</v>
      </c>
      <c r="C34" s="89">
        <f t="shared" si="13"/>
        <v>1.1972413644695444E-2</v>
      </c>
      <c r="D34" s="89">
        <f t="shared" si="13"/>
        <v>-1.4954061428858842E-2</v>
      </c>
      <c r="E34" s="89">
        <f t="shared" si="13"/>
        <v>-2.9816477841633909E-3</v>
      </c>
      <c r="F34" s="90">
        <f t="shared" si="13"/>
        <v>2.3989137605738703E-3</v>
      </c>
      <c r="G34" s="31">
        <f t="shared" si="13"/>
        <v>-42190406.389179401</v>
      </c>
      <c r="H34" s="25">
        <f t="shared" si="14"/>
        <v>5630450.0282516079</v>
      </c>
      <c r="I34" s="25">
        <f t="shared" si="14"/>
        <v>83953.937179662287</v>
      </c>
      <c r="J34" s="25">
        <f t="shared" si="14"/>
        <v>5301412.5936806258</v>
      </c>
      <c r="K34" s="25">
        <f t="shared" si="15"/>
        <v>245083.49739131983</v>
      </c>
      <c r="M34" s="44"/>
      <c r="N34" s="61"/>
    </row>
    <row r="35" spans="1:14" ht="15.75" hidden="1" thickBot="1" x14ac:dyDescent="0.3">
      <c r="G35" s="22">
        <f>SUM(G30:G34)</f>
        <v>-422789458.69574088</v>
      </c>
      <c r="H35" s="59">
        <f t="shared" ref="H35:J35" si="16">SUM(H30:H34)</f>
        <v>32794763.858064096</v>
      </c>
      <c r="I35" s="59">
        <f t="shared" si="16"/>
        <v>5708389.7673659995</v>
      </c>
      <c r="J35" s="59">
        <f t="shared" si="16"/>
        <v>47046176.036322884</v>
      </c>
      <c r="K35" s="59">
        <f>SUM(K30:K34)</f>
        <v>-19959801.945624787</v>
      </c>
    </row>
    <row r="36" spans="1:14" x14ac:dyDescent="0.25">
      <c r="K36" s="24"/>
      <c r="M36" s="338" t="s">
        <v>184</v>
      </c>
    </row>
    <row r="37" spans="1:14" x14ac:dyDescent="0.25">
      <c r="J37" s="6"/>
      <c r="K37" s="44"/>
      <c r="M37" s="338" t="s">
        <v>185</v>
      </c>
    </row>
    <row r="38" spans="1:14" ht="14.45" x14ac:dyDescent="0.3">
      <c r="J38" s="35"/>
      <c r="K38" s="44"/>
    </row>
    <row r="39" spans="1:14" x14ac:dyDescent="0.25">
      <c r="A39" s="20"/>
      <c r="J39" s="14"/>
    </row>
    <row r="40" spans="1:14" ht="18.75" x14ac:dyDescent="0.3">
      <c r="A40" s="1" t="s">
        <v>100</v>
      </c>
      <c r="M40" s="75"/>
    </row>
    <row r="41" spans="1:14" x14ac:dyDescent="0.25">
      <c r="A41" s="2"/>
      <c r="C41" s="101"/>
      <c r="G41" s="32" t="s">
        <v>179</v>
      </c>
      <c r="M41" s="75"/>
    </row>
    <row r="42" spans="1:14" x14ac:dyDescent="0.25">
      <c r="A42" s="234" t="s">
        <v>187</v>
      </c>
      <c r="B42" s="20"/>
      <c r="C42" s="20"/>
      <c r="D42" s="20"/>
      <c r="E42" s="101"/>
      <c r="F42" s="20"/>
      <c r="H42" s="101"/>
      <c r="I42" s="101"/>
      <c r="J42" s="101"/>
      <c r="K42" s="101"/>
      <c r="M42" s="3"/>
    </row>
    <row r="43" spans="1:14" ht="45" x14ac:dyDescent="0.25">
      <c r="A43" s="76" t="s">
        <v>56</v>
      </c>
      <c r="B43" s="77" t="s">
        <v>57</v>
      </c>
      <c r="C43" s="78" t="s">
        <v>67</v>
      </c>
      <c r="D43" s="77" t="s">
        <v>59</v>
      </c>
      <c r="E43" s="78" t="s">
        <v>60</v>
      </c>
      <c r="F43" s="77" t="s">
        <v>61</v>
      </c>
      <c r="G43" s="77" t="s">
        <v>10</v>
      </c>
      <c r="H43" s="78" t="s">
        <v>68</v>
      </c>
      <c r="I43" s="78" t="s">
        <v>69</v>
      </c>
      <c r="J43" s="78" t="s">
        <v>64</v>
      </c>
      <c r="K43" s="78" t="s">
        <v>84</v>
      </c>
      <c r="L43" s="337" t="s">
        <v>182</v>
      </c>
      <c r="M43" s="337" t="s">
        <v>183</v>
      </c>
    </row>
    <row r="44" spans="1:14" x14ac:dyDescent="0.25">
      <c r="A44" s="80" t="s">
        <v>12</v>
      </c>
      <c r="B44" s="109">
        <f>'Veridian - 2019'!C68</f>
        <v>7.7000000000000082E-2</v>
      </c>
      <c r="C44" s="81">
        <f>'Veridian - 2019'!C44</f>
        <v>1.9876393701681851E-2</v>
      </c>
      <c r="D44" s="379">
        <v>0.10330224763766808</v>
      </c>
      <c r="E44" s="109">
        <f>+C44+D44</f>
        <v>0.12317864133934994</v>
      </c>
      <c r="F44" s="214">
        <f>+B44-E44</f>
        <v>-4.617864133934986E-2</v>
      </c>
      <c r="G44" s="353">
        <v>38222178.778638095</v>
      </c>
      <c r="H44" s="25">
        <f>+G44*B44</f>
        <v>2943107.7659551366</v>
      </c>
      <c r="I44" s="25">
        <f>+G44*C44</f>
        <v>759719.07354027987</v>
      </c>
      <c r="J44" s="25">
        <f>+G44*D44</f>
        <v>3948436.9774420941</v>
      </c>
      <c r="K44" s="25">
        <f>+H44-I44-J44</f>
        <v>-1765048.2850272376</v>
      </c>
      <c r="L44" s="212">
        <v>-267314.48070330702</v>
      </c>
      <c r="M44" s="38">
        <f>K44-L44</f>
        <v>-1497733.8043239305</v>
      </c>
    </row>
    <row r="45" spans="1:14" x14ac:dyDescent="0.25">
      <c r="A45" s="87" t="s">
        <v>13</v>
      </c>
      <c r="B45" s="110">
        <f>'Veridian - 2019'!C69</f>
        <v>8.9000000000000024E-2</v>
      </c>
      <c r="C45" s="84">
        <f>C44</f>
        <v>1.9876393701681851E-2</v>
      </c>
      <c r="D45" s="110">
        <f>D44</f>
        <v>0.10330224763766808</v>
      </c>
      <c r="E45" s="110">
        <f t="shared" ref="E45:E48" si="17">+C45+D45</f>
        <v>0.12317864133934994</v>
      </c>
      <c r="F45" s="216">
        <f t="shared" ref="F45:F48" si="18">+B45-E45</f>
        <v>-3.4178641339349919E-2</v>
      </c>
      <c r="G45" s="353">
        <v>29205388.614701655</v>
      </c>
      <c r="H45" s="25">
        <f t="shared" ref="H45:H48" si="19">+G45*B45</f>
        <v>2599279.5867084479</v>
      </c>
      <c r="I45" s="25">
        <f t="shared" ref="I45:I48" si="20">+G45*C45</f>
        <v>580497.80231642677</v>
      </c>
      <c r="J45" s="25">
        <f t="shared" ref="J45:J48" si="21">+G45*D45</f>
        <v>3016982.2870302424</v>
      </c>
      <c r="K45" s="25">
        <f t="shared" ref="K45:K49" si="22">+H45-I45-J45</f>
        <v>-998200.50263822125</v>
      </c>
      <c r="L45" s="212">
        <v>-114002.95226103799</v>
      </c>
      <c r="M45" s="38">
        <f t="shared" ref="M45:M49" si="23">K45-L45</f>
        <v>-884197.55037718324</v>
      </c>
    </row>
    <row r="46" spans="1:14" x14ac:dyDescent="0.25">
      <c r="A46" s="87" t="s">
        <v>14</v>
      </c>
      <c r="B46" s="110">
        <f>'Veridian - 2019'!C70</f>
        <v>6.5000000000000002E-2</v>
      </c>
      <c r="C46" s="84">
        <f>C45</f>
        <v>1.9876393701681851E-2</v>
      </c>
      <c r="D46" s="110">
        <f>D44</f>
        <v>0.10330224763766808</v>
      </c>
      <c r="E46" s="110">
        <f t="shared" si="17"/>
        <v>0.12317864133934994</v>
      </c>
      <c r="F46" s="216">
        <f t="shared" si="18"/>
        <v>-5.817864133934994E-2</v>
      </c>
      <c r="G46" s="353">
        <v>372114931.44162333</v>
      </c>
      <c r="H46" s="25">
        <f t="shared" si="19"/>
        <v>24187470.543705516</v>
      </c>
      <c r="I46" s="25">
        <f t="shared" si="20"/>
        <v>7396302.8796080556</v>
      </c>
      <c r="J46" s="25">
        <f t="shared" si="21"/>
        <v>38440308.797456458</v>
      </c>
      <c r="K46" s="25">
        <f t="shared" si="22"/>
        <v>-21649141.133359</v>
      </c>
      <c r="L46" s="212">
        <v>-3009496.3525817399</v>
      </c>
      <c r="M46" s="38">
        <f t="shared" si="23"/>
        <v>-18639644.780777261</v>
      </c>
    </row>
    <row r="47" spans="1:14" x14ac:dyDescent="0.25">
      <c r="A47" s="87" t="s">
        <v>15</v>
      </c>
      <c r="B47" s="110">
        <f>'Veridian - 2019'!C71</f>
        <v>9.4E-2</v>
      </c>
      <c r="C47" s="84">
        <f>C46</f>
        <v>1.9876393701681851E-2</v>
      </c>
      <c r="D47" s="110">
        <f>D44</f>
        <v>0.10330224763766808</v>
      </c>
      <c r="E47" s="110">
        <f t="shared" si="17"/>
        <v>0.12317864133934994</v>
      </c>
      <c r="F47" s="216">
        <f t="shared" si="18"/>
        <v>-2.9178641339349942E-2</v>
      </c>
      <c r="G47" s="353">
        <v>101125416.47681852</v>
      </c>
      <c r="H47" s="25">
        <f t="shared" si="19"/>
        <v>9505789.1488209404</v>
      </c>
      <c r="I47" s="25">
        <f t="shared" si="20"/>
        <v>2010008.5911397897</v>
      </c>
      <c r="J47" s="25">
        <f t="shared" si="21"/>
        <v>10446482.815350628</v>
      </c>
      <c r="K47" s="25">
        <f t="shared" si="22"/>
        <v>-2950702.2576694768</v>
      </c>
      <c r="L47" s="212">
        <v>-341176.48372687399</v>
      </c>
      <c r="M47" s="38">
        <f t="shared" si="23"/>
        <v>-2609525.7739426028</v>
      </c>
    </row>
    <row r="48" spans="1:14" x14ac:dyDescent="0.25">
      <c r="A48" s="87" t="s">
        <v>16</v>
      </c>
      <c r="B48" s="110">
        <f>'Veridian - 2019'!C72</f>
        <v>0.13258273402358953</v>
      </c>
      <c r="C48" s="84">
        <f>C47</f>
        <v>1.9876393701681851E-2</v>
      </c>
      <c r="D48" s="110">
        <f>D44</f>
        <v>0.10330224763766808</v>
      </c>
      <c r="E48" s="110">
        <f t="shared" si="17"/>
        <v>0.12317864133934994</v>
      </c>
      <c r="F48" s="216">
        <f t="shared" si="18"/>
        <v>9.4040926842395844E-3</v>
      </c>
      <c r="G48" s="353">
        <v>104831766.95138901</v>
      </c>
      <c r="H48" s="25">
        <f t="shared" si="19"/>
        <v>13898882.274938932</v>
      </c>
      <c r="I48" s="25">
        <f t="shared" si="20"/>
        <v>2083677.4723687682</v>
      </c>
      <c r="J48" s="25">
        <f t="shared" si="21"/>
        <v>10829357.149906697</v>
      </c>
      <c r="K48" s="25">
        <f t="shared" si="22"/>
        <v>985847.65266346745</v>
      </c>
      <c r="L48" s="212">
        <v>255426.658822728</v>
      </c>
      <c r="M48" s="38">
        <f t="shared" si="23"/>
        <v>730420.99384073948</v>
      </c>
    </row>
    <row r="49" spans="1:16" x14ac:dyDescent="0.25">
      <c r="A49" s="341" t="s">
        <v>186</v>
      </c>
      <c r="B49" s="111"/>
      <c r="C49" s="89"/>
      <c r="D49" s="111"/>
      <c r="E49" s="111"/>
      <c r="F49" s="217"/>
      <c r="G49" s="339"/>
      <c r="H49" s="25"/>
      <c r="I49" s="349">
        <v>-628.39999999990687</v>
      </c>
      <c r="J49" s="25"/>
      <c r="K49" s="25">
        <f t="shared" si="22"/>
        <v>628.39999999990687</v>
      </c>
      <c r="L49" s="212"/>
      <c r="M49" s="38">
        <f t="shared" si="23"/>
        <v>628.39999999990687</v>
      </c>
      <c r="N49" s="342">
        <f>K49/K50</f>
        <v>-2.3824132595225267E-5</v>
      </c>
      <c r="O49" s="20" t="s">
        <v>139</v>
      </c>
      <c r="P49" s="20"/>
    </row>
    <row r="50" spans="1:16" ht="15.75" thickBot="1" x14ac:dyDescent="0.3">
      <c r="B50" s="340">
        <f>+H50/G50</f>
        <v>8.231534542950554E-2</v>
      </c>
      <c r="G50" s="22">
        <f>SUM(G44:G48)</f>
        <v>645499682.26317072</v>
      </c>
      <c r="H50" s="59">
        <f>SUM(H44:H49)</f>
        <v>53134529.32012897</v>
      </c>
      <c r="I50" s="41">
        <f>SUM(I44:I49)</f>
        <v>12829577.418973319</v>
      </c>
      <c r="J50" s="59">
        <f>SUM(J44:J49)</f>
        <v>66681568.027186118</v>
      </c>
      <c r="K50" s="59">
        <f>SUM(K44:K49)</f>
        <v>-26376616.126030467</v>
      </c>
      <c r="L50" s="41">
        <f>SUM(L44:L48)</f>
        <v>-3476563.610450231</v>
      </c>
      <c r="M50" s="59">
        <f>SUM(M44:M49)</f>
        <v>-22900052.515580237</v>
      </c>
      <c r="O50" s="20" t="s">
        <v>139</v>
      </c>
      <c r="P50" s="20"/>
    </row>
    <row r="51" spans="1:16" x14ac:dyDescent="0.25">
      <c r="A51" s="3"/>
      <c r="B51" s="3"/>
      <c r="C51" s="3"/>
      <c r="D51" s="3"/>
      <c r="E51" s="3"/>
      <c r="G51" s="20" t="s">
        <v>139</v>
      </c>
      <c r="H51" s="20"/>
      <c r="I51" s="20" t="s">
        <v>139</v>
      </c>
      <c r="J51" s="20"/>
      <c r="K51" s="20"/>
      <c r="M51" s="18"/>
    </row>
    <row r="52" spans="1:16" x14ac:dyDescent="0.25">
      <c r="G52" s="20" t="s">
        <v>139</v>
      </c>
      <c r="H52" s="20"/>
      <c r="I52" s="20"/>
      <c r="J52" s="20"/>
      <c r="K52" s="39" t="s">
        <v>139</v>
      </c>
    </row>
    <row r="53" spans="1:16" x14ac:dyDescent="0.25">
      <c r="G53" s="20"/>
      <c r="H53" s="20"/>
      <c r="I53" s="20"/>
      <c r="J53" s="20" t="s">
        <v>61</v>
      </c>
      <c r="K53" s="39">
        <f>K24-K50</f>
        <v>-105823.21335567906</v>
      </c>
    </row>
  </sheetData>
  <pageMargins left="0.2" right="0.2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39"/>
  <sheetViews>
    <sheetView showGridLines="0" topLeftCell="A64" workbookViewId="0">
      <selection activeCell="I46" sqref="I46"/>
    </sheetView>
  </sheetViews>
  <sheetFormatPr defaultColWidth="9.140625" defaultRowHeight="15" x14ac:dyDescent="0.25"/>
  <cols>
    <col min="1" max="1" width="9.140625" style="251"/>
    <col min="2" max="2" width="3.7109375" style="251" customWidth="1"/>
    <col min="3" max="3" width="49.5703125" style="251" bestFit="1" customWidth="1"/>
    <col min="4" max="4" width="5.42578125" style="251" bestFit="1" customWidth="1"/>
    <col min="5" max="5" width="14.28515625" style="251" bestFit="1" customWidth="1"/>
    <col min="6" max="6" width="14" style="251" customWidth="1"/>
    <col min="7" max="7" width="12" style="251" bestFit="1" customWidth="1"/>
    <col min="8" max="8" width="8.28515625" style="251" bestFit="1" customWidth="1"/>
    <col min="9" max="9" width="14.28515625" style="251" customWidth="1"/>
    <col min="10" max="10" width="1.5703125" style="251" customWidth="1"/>
    <col min="11" max="11" width="1.7109375" style="251" customWidth="1"/>
    <col min="12" max="12" width="4.85546875" style="251" customWidth="1"/>
    <col min="13" max="13" width="12.85546875" style="251" customWidth="1"/>
    <col min="14" max="14" width="12.5703125" style="251" customWidth="1"/>
    <col min="15" max="15" width="12.7109375" style="251" customWidth="1"/>
    <col min="16" max="16" width="14.140625" style="251" bestFit="1" customWidth="1"/>
    <col min="17" max="17" width="14.42578125" style="251" bestFit="1" customWidth="1"/>
    <col min="18" max="20" width="14.28515625" style="251" bestFit="1" customWidth="1"/>
    <col min="21" max="21" width="15.28515625" style="251" bestFit="1" customWidth="1"/>
    <col min="22" max="22" width="14" style="251" bestFit="1" customWidth="1"/>
    <col min="23" max="23" width="15" style="251" bestFit="1" customWidth="1"/>
    <col min="24" max="24" width="13.28515625" style="251" bestFit="1" customWidth="1"/>
    <col min="25" max="25" width="12.28515625" style="251" bestFit="1" customWidth="1"/>
    <col min="26" max="26" width="13.140625" style="251" customWidth="1"/>
    <col min="27" max="27" width="11.42578125" style="251" customWidth="1"/>
    <col min="28" max="28" width="13.42578125" style="251" customWidth="1"/>
    <col min="29" max="29" width="12.5703125" style="251" bestFit="1" customWidth="1"/>
    <col min="30" max="30" width="20.140625" style="251" customWidth="1"/>
    <col min="31" max="31" width="15.28515625" style="251" bestFit="1" customWidth="1"/>
    <col min="32" max="33" width="14.28515625" style="251" bestFit="1" customWidth="1"/>
    <col min="34" max="35" width="14.140625" style="251" customWidth="1"/>
    <col min="36" max="37" width="14.28515625" style="251" bestFit="1" customWidth="1"/>
    <col min="38" max="38" width="14.140625" style="251" customWidth="1"/>
    <col min="39" max="40" width="14.28515625" style="251" bestFit="1" customWidth="1"/>
    <col min="41" max="41" width="14.42578125" style="251" bestFit="1" customWidth="1"/>
    <col min="42" max="42" width="14.28515625" style="251" customWidth="1"/>
    <col min="43" max="43" width="14.28515625" style="251" bestFit="1" customWidth="1"/>
    <col min="44" max="44" width="15.28515625" style="251" bestFit="1" customWidth="1"/>
    <col min="45" max="45" width="14.28515625" style="251" bestFit="1" customWidth="1"/>
    <col min="46" max="46" width="9.140625" style="251"/>
    <col min="47" max="47" width="15.28515625" style="251" bestFit="1" customWidth="1"/>
    <col min="48" max="16384" width="9.140625" style="251"/>
  </cols>
  <sheetData>
    <row r="1" spans="2:45" ht="21" x14ac:dyDescent="0.35">
      <c r="B1" s="250" t="s">
        <v>180</v>
      </c>
      <c r="L1" s="252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</row>
    <row r="2" spans="2:45" ht="16.5" x14ac:dyDescent="0.3">
      <c r="B2" s="256"/>
      <c r="C2" s="256"/>
      <c r="D2" s="256"/>
      <c r="E2" s="257"/>
      <c r="F2" s="258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</row>
    <row r="3" spans="2:45" ht="16.5" x14ac:dyDescent="0.3">
      <c r="B3" s="256"/>
      <c r="C3" s="256"/>
      <c r="D3" s="260"/>
      <c r="E3" s="260"/>
      <c r="F3" s="260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53"/>
      <c r="X3" s="253"/>
      <c r="Y3" s="253"/>
      <c r="Z3" s="253"/>
      <c r="AA3" s="253"/>
      <c r="AB3" s="253"/>
      <c r="AE3" s="262"/>
      <c r="AF3" s="262"/>
      <c r="AG3" s="262"/>
      <c r="AH3" s="262"/>
      <c r="AI3" s="262"/>
      <c r="AP3" s="262"/>
      <c r="AQ3" s="262"/>
      <c r="AR3" s="262"/>
      <c r="AS3" s="262"/>
    </row>
    <row r="4" spans="2:45" ht="15.75" thickBot="1" x14ac:dyDescent="0.3">
      <c r="B4" s="254"/>
      <c r="C4" s="254"/>
      <c r="D4" s="260"/>
      <c r="E4" s="260"/>
      <c r="F4" s="260"/>
      <c r="M4" s="255"/>
      <c r="N4" s="267"/>
      <c r="O4" s="267"/>
      <c r="P4" s="267"/>
      <c r="Q4" s="267"/>
      <c r="R4" s="267"/>
      <c r="S4" s="267"/>
      <c r="T4" s="267"/>
      <c r="U4" s="267"/>
      <c r="V4" s="268"/>
      <c r="W4" s="268"/>
      <c r="X4" s="253"/>
      <c r="Y4" s="253"/>
      <c r="Z4" s="253"/>
      <c r="AA4" s="253"/>
      <c r="AB4" s="253"/>
    </row>
    <row r="5" spans="2:45" ht="15.75" thickBot="1" x14ac:dyDescent="0.3">
      <c r="B5" s="269" t="s">
        <v>86</v>
      </c>
      <c r="C5" s="270"/>
      <c r="D5" s="271"/>
      <c r="E5" s="272">
        <f>'Veridian 2019 RPP Settlement'!K50</f>
        <v>-26376616.126030467</v>
      </c>
      <c r="F5" s="260"/>
      <c r="M5" s="273"/>
      <c r="N5" s="274"/>
      <c r="O5" s="274"/>
      <c r="P5" s="274"/>
      <c r="Q5" s="274"/>
      <c r="R5" s="274"/>
      <c r="S5" s="274"/>
      <c r="T5" s="274"/>
      <c r="U5" s="274"/>
      <c r="V5" s="264"/>
      <c r="W5" s="264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</row>
    <row r="6" spans="2:45" x14ac:dyDescent="0.25">
      <c r="B6" s="254"/>
      <c r="C6" s="254"/>
      <c r="D6" s="254"/>
      <c r="E6" s="265"/>
      <c r="F6" s="265"/>
      <c r="G6" s="260"/>
      <c r="H6" s="260"/>
      <c r="M6" s="273"/>
      <c r="N6" s="274"/>
      <c r="O6" s="274"/>
      <c r="P6" s="274"/>
      <c r="Q6" s="274"/>
      <c r="R6" s="274"/>
      <c r="S6" s="274"/>
      <c r="T6" s="274"/>
      <c r="U6" s="274"/>
      <c r="V6" s="264"/>
      <c r="W6" s="264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</row>
    <row r="7" spans="2:45" x14ac:dyDescent="0.25">
      <c r="B7" s="252" t="s">
        <v>87</v>
      </c>
      <c r="C7" s="254"/>
      <c r="D7" s="254"/>
      <c r="E7" s="275" t="s">
        <v>179</v>
      </c>
      <c r="F7" s="276" t="s">
        <v>88</v>
      </c>
      <c r="G7" s="275" t="s">
        <v>91</v>
      </c>
      <c r="H7" s="260"/>
      <c r="M7" s="273"/>
      <c r="N7" s="274"/>
      <c r="O7" s="274"/>
      <c r="P7" s="274"/>
      <c r="Q7" s="274"/>
      <c r="R7" s="274"/>
      <c r="S7" s="274"/>
      <c r="T7" s="274"/>
      <c r="U7" s="274"/>
      <c r="V7" s="264"/>
      <c r="W7" s="264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</row>
    <row r="8" spans="2:45" x14ac:dyDescent="0.25">
      <c r="B8" s="277" t="s">
        <v>109</v>
      </c>
      <c r="C8" s="254" t="s">
        <v>89</v>
      </c>
      <c r="D8" s="254"/>
      <c r="E8" s="5">
        <f>'Veridian 2019 RPP Settlement'!H50</f>
        <v>53134529.32012897</v>
      </c>
      <c r="F8" s="260">
        <f>'Veridian 2019 RPP Settlement'!H24</f>
        <v>53329025.8580641</v>
      </c>
      <c r="G8" s="260">
        <f>E8-F8</f>
        <v>-194496.5379351303</v>
      </c>
      <c r="H8" s="380">
        <f>G8/F8</f>
        <v>-3.64710464527864E-3</v>
      </c>
      <c r="I8" s="278" t="s">
        <v>101</v>
      </c>
      <c r="M8" s="273"/>
      <c r="N8" s="260"/>
      <c r="O8" s="274"/>
      <c r="P8" s="274"/>
      <c r="Q8" s="274"/>
      <c r="R8" s="274"/>
      <c r="S8" s="274"/>
      <c r="T8" s="274"/>
      <c r="U8" s="274"/>
      <c r="V8" s="264"/>
      <c r="W8" s="264"/>
      <c r="AI8" s="264"/>
    </row>
    <row r="9" spans="2:45" x14ac:dyDescent="0.25">
      <c r="B9" s="277" t="s">
        <v>110</v>
      </c>
      <c r="C9" s="254" t="s">
        <v>93</v>
      </c>
      <c r="D9" s="254"/>
      <c r="E9" s="5">
        <f>'Veridian 2019 RPP Settlement'!I50</f>
        <v>12829577.418973319</v>
      </c>
      <c r="F9" s="260">
        <f>'Veridian 2019 RPP Settlement'!I24</f>
        <v>12874490.411127359</v>
      </c>
      <c r="G9" s="260">
        <f>E9-F9</f>
        <v>-44912.992154039443</v>
      </c>
      <c r="H9" s="380">
        <f>G9/F9</f>
        <v>-3.48852581498848E-3</v>
      </c>
      <c r="I9" s="278" t="s">
        <v>104</v>
      </c>
      <c r="M9" s="273"/>
      <c r="N9" s="260"/>
      <c r="O9" s="274"/>
      <c r="P9" s="274"/>
      <c r="Q9" s="274"/>
      <c r="R9" s="274"/>
      <c r="S9" s="274"/>
      <c r="T9" s="274"/>
      <c r="U9" s="274"/>
      <c r="V9" s="264"/>
      <c r="W9" s="264"/>
      <c r="AE9" s="279"/>
      <c r="AF9" s="279"/>
      <c r="AG9" s="279"/>
      <c r="AH9" s="279"/>
      <c r="AI9" s="262"/>
      <c r="AJ9" s="279"/>
      <c r="AK9" s="279"/>
      <c r="AL9" s="279"/>
      <c r="AM9" s="279"/>
      <c r="AN9" s="279"/>
      <c r="AO9" s="279"/>
      <c r="AQ9" s="279"/>
      <c r="AR9" s="279"/>
    </row>
    <row r="10" spans="2:45" x14ac:dyDescent="0.25">
      <c r="B10" s="280" t="s">
        <v>111</v>
      </c>
      <c r="C10" s="254" t="s">
        <v>90</v>
      </c>
      <c r="D10" s="254"/>
      <c r="E10" s="5">
        <f>'Veridian 2019 RPP Settlement'!J50</f>
        <v>66681568.027186118</v>
      </c>
      <c r="F10" s="260">
        <f>'Veridian 2019 RPP Settlement'!J24</f>
        <v>66936974.786322877</v>
      </c>
      <c r="G10" s="260">
        <f>E10-F10</f>
        <v>-255406.75913675874</v>
      </c>
      <c r="H10" s="380">
        <f>G10/F10</f>
        <v>-3.8156304486731238E-3</v>
      </c>
      <c r="I10" s="278" t="s">
        <v>107</v>
      </c>
      <c r="M10" s="273"/>
      <c r="N10" s="274"/>
      <c r="O10" s="274"/>
      <c r="P10" s="274"/>
      <c r="Q10" s="274"/>
      <c r="R10" s="274"/>
      <c r="S10" s="274"/>
      <c r="T10" s="274"/>
      <c r="U10" s="274"/>
      <c r="V10" s="264"/>
      <c r="W10" s="264"/>
    </row>
    <row r="11" spans="2:45" x14ac:dyDescent="0.25">
      <c r="B11" s="280"/>
      <c r="C11" s="254"/>
      <c r="D11" s="254"/>
      <c r="E11" s="5"/>
      <c r="F11" s="260"/>
      <c r="G11" s="260">
        <f>E11-F11</f>
        <v>0</v>
      </c>
      <c r="H11" s="380"/>
      <c r="I11" s="278"/>
      <c r="M11" s="273"/>
      <c r="N11" s="274"/>
      <c r="O11" s="274"/>
      <c r="P11" s="274"/>
      <c r="Q11" s="274"/>
      <c r="R11" s="274"/>
      <c r="S11" s="274"/>
      <c r="T11" s="274"/>
      <c r="U11" s="274"/>
      <c r="V11" s="264"/>
      <c r="W11" s="264"/>
    </row>
    <row r="12" spans="2:45" x14ac:dyDescent="0.25">
      <c r="B12" s="280"/>
      <c r="C12" s="254" t="str">
        <f>C35</f>
        <v xml:space="preserve">  Adjustment for OEB Accounting Guidance (Act Tier + UFE)</v>
      </c>
      <c r="D12" s="254"/>
      <c r="E12" s="5">
        <f>-'Veridian 2019 RPP Settlement'!K53</f>
        <v>105823.21335567906</v>
      </c>
      <c r="F12" s="260"/>
      <c r="G12" s="260">
        <f>E12-F12</f>
        <v>105823.21335567906</v>
      </c>
      <c r="H12" s="380"/>
      <c r="I12" s="278"/>
      <c r="M12" s="273"/>
      <c r="N12" s="274"/>
      <c r="O12" s="274"/>
      <c r="P12" s="274"/>
      <c r="Q12" s="274"/>
      <c r="R12" s="274"/>
      <c r="S12" s="274"/>
      <c r="T12" s="274"/>
      <c r="U12" s="274"/>
      <c r="V12" s="264"/>
      <c r="W12" s="264"/>
    </row>
    <row r="13" spans="2:45" ht="15.75" thickBot="1" x14ac:dyDescent="0.3">
      <c r="B13" s="254"/>
      <c r="C13" s="254" t="s">
        <v>170</v>
      </c>
      <c r="D13" s="254"/>
      <c r="E13" s="266">
        <f>E8-E9-E10-E11-E12</f>
        <v>-26482439.339386147</v>
      </c>
      <c r="F13" s="266">
        <f>F8-F9-F10-F11-F12</f>
        <v>-26482439.339386135</v>
      </c>
      <c r="G13" s="266">
        <f>G8-G9-G10-G11-G12</f>
        <v>-1.1175870895385742E-8</v>
      </c>
      <c r="H13" s="317">
        <f>G13/F13</f>
        <v>4.2201062946510272E-16</v>
      </c>
      <c r="M13" s="273"/>
      <c r="N13" s="274"/>
      <c r="O13" s="274"/>
      <c r="P13" s="274"/>
      <c r="Q13" s="274"/>
      <c r="R13" s="274"/>
      <c r="S13" s="274"/>
      <c r="T13" s="274"/>
      <c r="U13" s="274"/>
      <c r="V13" s="264"/>
      <c r="W13" s="264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</row>
    <row r="14" spans="2:45" x14ac:dyDescent="0.25">
      <c r="B14" s="254"/>
      <c r="C14" s="254"/>
      <c r="D14" s="254"/>
      <c r="F14" s="262"/>
      <c r="G14" s="262"/>
      <c r="M14" s="273"/>
      <c r="N14" s="274"/>
      <c r="O14" s="274"/>
      <c r="P14" s="274"/>
      <c r="Q14" s="274"/>
      <c r="R14" s="274"/>
      <c r="S14" s="274"/>
      <c r="T14" s="274"/>
      <c r="U14" s="274"/>
      <c r="V14" s="264"/>
      <c r="W14" s="264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</row>
    <row r="15" spans="2:45" x14ac:dyDescent="0.25">
      <c r="B15" s="254"/>
      <c r="C15" s="254"/>
      <c r="D15" s="254"/>
      <c r="F15" s="262"/>
      <c r="G15" s="262"/>
      <c r="M15" s="273"/>
      <c r="N15" s="274"/>
      <c r="O15" s="274"/>
      <c r="P15" s="274"/>
      <c r="Q15" s="274"/>
      <c r="R15" s="274"/>
      <c r="S15" s="274"/>
      <c r="T15" s="274"/>
      <c r="U15" s="274"/>
      <c r="V15" s="264"/>
      <c r="W15" s="264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262"/>
      <c r="AS15" s="262"/>
    </row>
    <row r="16" spans="2:45" x14ac:dyDescent="0.25">
      <c r="B16" s="254"/>
      <c r="C16" s="254" t="s">
        <v>197</v>
      </c>
      <c r="D16" s="254"/>
      <c r="E16" s="259" t="s">
        <v>188</v>
      </c>
      <c r="F16" s="343" t="s">
        <v>189</v>
      </c>
      <c r="G16" s="262"/>
      <c r="M16" s="273"/>
      <c r="N16" s="274"/>
      <c r="O16" s="274"/>
      <c r="P16" s="274"/>
      <c r="Q16" s="274"/>
      <c r="R16" s="274"/>
      <c r="S16" s="274"/>
      <c r="T16" s="274"/>
      <c r="U16" s="274"/>
      <c r="V16" s="264"/>
      <c r="W16" s="264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</row>
    <row r="17" spans="2:45" x14ac:dyDescent="0.25">
      <c r="B17" s="254" t="s">
        <v>190</v>
      </c>
      <c r="E17" s="281" t="s">
        <v>105</v>
      </c>
      <c r="F17" s="281" t="s">
        <v>105</v>
      </c>
      <c r="G17" s="281" t="s">
        <v>61</v>
      </c>
      <c r="H17" s="281" t="s">
        <v>102</v>
      </c>
      <c r="I17" s="281" t="s">
        <v>103</v>
      </c>
      <c r="M17" s="273"/>
      <c r="N17" s="274"/>
      <c r="O17" s="274"/>
      <c r="P17" s="274"/>
      <c r="Q17" s="274"/>
      <c r="R17" s="274"/>
      <c r="S17" s="274"/>
      <c r="T17" s="274"/>
      <c r="U17" s="274"/>
      <c r="V17" s="264"/>
      <c r="W17" s="264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  <c r="AR17" s="262"/>
      <c r="AS17" s="262"/>
    </row>
    <row r="18" spans="2:45" x14ac:dyDescent="0.25">
      <c r="B18" s="254"/>
      <c r="C18" s="251" t="s">
        <v>12</v>
      </c>
      <c r="E18" s="260">
        <f>'Veridian 2019 RPP Settlement'!G44</f>
        <v>38222178.778638095</v>
      </c>
      <c r="F18" s="260">
        <f>'Veridian - 2019'!D68</f>
        <v>38491815.009207398</v>
      </c>
      <c r="G18" s="260">
        <f>E18-F18</f>
        <v>-269636.23056930304</v>
      </c>
      <c r="H18" s="282">
        <f>'Veridian 2019 RPP Settlement'!B18</f>
        <v>7.7000000000000082E-2</v>
      </c>
      <c r="I18" s="260">
        <f>G18*H18</f>
        <v>-20761.989753836355</v>
      </c>
      <c r="M18" s="273"/>
      <c r="N18" s="274"/>
      <c r="O18" s="274"/>
      <c r="P18" s="274"/>
      <c r="Q18" s="274"/>
      <c r="R18" s="274"/>
      <c r="S18" s="274"/>
      <c r="T18" s="274"/>
      <c r="U18" s="274"/>
      <c r="V18" s="264"/>
      <c r="W18" s="264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</row>
    <row r="19" spans="2:45" x14ac:dyDescent="0.25">
      <c r="B19" s="254"/>
      <c r="C19" s="251" t="s">
        <v>13</v>
      </c>
      <c r="E19" s="260">
        <f>'Veridian 2019 RPP Settlement'!G45</f>
        <v>29205388.614701655</v>
      </c>
      <c r="F19" s="260">
        <f>'Veridian - 2019'!D69</f>
        <v>28935752.384132307</v>
      </c>
      <c r="G19" s="260">
        <f t="shared" ref="G19:G22" si="0">E19-F19</f>
        <v>269636.23056934774</v>
      </c>
      <c r="H19" s="282">
        <f>'Veridian 2019 RPP Settlement'!B19</f>
        <v>8.9000000000000024E-2</v>
      </c>
      <c r="I19" s="260">
        <f t="shared" ref="I19:I22" si="1">G19*H19</f>
        <v>23997.624520671954</v>
      </c>
      <c r="M19" s="273"/>
      <c r="N19" s="274"/>
      <c r="O19" s="274"/>
      <c r="P19" s="274"/>
      <c r="Q19" s="274"/>
      <c r="R19" s="274"/>
      <c r="S19" s="274"/>
      <c r="T19" s="274"/>
      <c r="U19" s="274"/>
      <c r="V19" s="264"/>
      <c r="W19" s="264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</row>
    <row r="20" spans="2:45" x14ac:dyDescent="0.25">
      <c r="B20" s="254"/>
      <c r="C20" s="251" t="s">
        <v>14</v>
      </c>
      <c r="E20" s="260">
        <f>'Veridian 2019 RPP Settlement'!G46</f>
        <v>372114931.44162333</v>
      </c>
      <c r="F20" s="260">
        <f>'Veridian - 2019'!D70</f>
        <v>372114931.44162333</v>
      </c>
      <c r="G20" s="260">
        <f t="shared" si="0"/>
        <v>0</v>
      </c>
      <c r="H20" s="282">
        <f>'Veridian 2019 RPP Settlement'!B20</f>
        <v>6.5000000000000002E-2</v>
      </c>
      <c r="I20" s="260">
        <f t="shared" si="1"/>
        <v>0</v>
      </c>
      <c r="M20" s="273"/>
      <c r="N20" s="274"/>
      <c r="O20" s="274"/>
      <c r="P20" s="274"/>
      <c r="Q20" s="274"/>
      <c r="R20" s="274"/>
      <c r="S20" s="274"/>
      <c r="T20" s="274"/>
      <c r="U20" s="274"/>
      <c r="V20" s="264"/>
      <c r="W20" s="264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  <c r="AR20" s="262"/>
      <c r="AS20" s="262"/>
    </row>
    <row r="21" spans="2:45" x14ac:dyDescent="0.25">
      <c r="B21" s="254"/>
      <c r="C21" s="251" t="s">
        <v>15</v>
      </c>
      <c r="E21" s="260">
        <f>'Veridian 2019 RPP Settlement'!G47</f>
        <v>101125416.47681852</v>
      </c>
      <c r="F21" s="260">
        <f>'Veridian - 2019'!D71</f>
        <v>101125416.47681852</v>
      </c>
      <c r="G21" s="260">
        <f t="shared" si="0"/>
        <v>0</v>
      </c>
      <c r="H21" s="282">
        <f>'Veridian 2019 RPP Settlement'!B21</f>
        <v>9.4E-2</v>
      </c>
      <c r="I21" s="260">
        <f t="shared" si="1"/>
        <v>0</v>
      </c>
      <c r="M21" s="273"/>
      <c r="N21" s="274"/>
      <c r="O21" s="274"/>
      <c r="P21" s="274"/>
      <c r="Q21" s="274"/>
      <c r="R21" s="274"/>
      <c r="S21" s="274"/>
      <c r="T21" s="274"/>
      <c r="U21" s="274"/>
      <c r="V21" s="264"/>
      <c r="W21" s="264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262"/>
    </row>
    <row r="22" spans="2:45" x14ac:dyDescent="0.25">
      <c r="B22" s="254"/>
      <c r="C22" s="251" t="s">
        <v>16</v>
      </c>
      <c r="E22" s="260">
        <f>'Veridian 2019 RPP Settlement'!G48</f>
        <v>104831766.95138901</v>
      </c>
      <c r="F22" s="260">
        <f>'Veridian - 2019'!D72</f>
        <v>104831766.95138901</v>
      </c>
      <c r="G22" s="260">
        <f t="shared" si="0"/>
        <v>0</v>
      </c>
      <c r="H22" s="282">
        <f>'Veridian 2019 RPP Settlement'!B22</f>
        <v>0.13258273402358953</v>
      </c>
      <c r="I22" s="260">
        <f t="shared" si="1"/>
        <v>0</v>
      </c>
      <c r="M22" s="273"/>
      <c r="N22" s="274"/>
      <c r="O22" s="274"/>
      <c r="P22" s="274"/>
      <c r="Q22" s="274"/>
      <c r="R22" s="274"/>
      <c r="S22" s="274"/>
      <c r="T22" s="274"/>
      <c r="U22" s="274"/>
      <c r="V22" s="264"/>
      <c r="W22" s="264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262"/>
    </row>
    <row r="23" spans="2:45" ht="15.75" thickBot="1" x14ac:dyDescent="0.3">
      <c r="B23" s="254"/>
      <c r="E23" s="266">
        <f>SUM(E18:E22)</f>
        <v>645499682.26317072</v>
      </c>
      <c r="F23" s="266">
        <f>SUM(F18:F22)</f>
        <v>645499682.26317048</v>
      </c>
      <c r="G23" s="266">
        <f>SUM(G18:G22)</f>
        <v>4.4703483581542969E-8</v>
      </c>
      <c r="H23" s="283"/>
      <c r="I23" s="266">
        <f>SUM(I18:I22)</f>
        <v>3235.6347668355993</v>
      </c>
      <c r="M23" s="273"/>
      <c r="N23" s="274"/>
      <c r="O23" s="274"/>
      <c r="P23" s="274"/>
      <c r="Q23" s="274"/>
      <c r="R23" s="274"/>
      <c r="S23" s="274"/>
      <c r="T23" s="274"/>
      <c r="U23" s="274"/>
      <c r="V23" s="264"/>
      <c r="W23" s="264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  <c r="AR23" s="262"/>
      <c r="AS23" s="262"/>
    </row>
    <row r="24" spans="2:45" x14ac:dyDescent="0.25">
      <c r="B24" s="254"/>
      <c r="E24" s="265"/>
      <c r="F24" s="265"/>
      <c r="G24" s="265"/>
      <c r="H24" s="284"/>
      <c r="I24" s="265"/>
      <c r="M24" s="273"/>
      <c r="N24" s="274"/>
      <c r="O24" s="274"/>
      <c r="P24" s="274"/>
      <c r="Q24" s="274"/>
      <c r="R24" s="274"/>
      <c r="S24" s="274"/>
      <c r="T24" s="274"/>
      <c r="U24" s="274"/>
      <c r="V24" s="264"/>
      <c r="W24" s="264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</row>
    <row r="25" spans="2:45" x14ac:dyDescent="0.25">
      <c r="B25" s="254"/>
      <c r="E25" s="265"/>
      <c r="F25" s="265"/>
      <c r="G25" s="265"/>
      <c r="H25" s="284"/>
      <c r="I25" s="265"/>
      <c r="M25" s="273"/>
      <c r="N25" s="274"/>
      <c r="O25" s="274"/>
      <c r="P25" s="274"/>
      <c r="Q25" s="274"/>
      <c r="R25" s="274"/>
      <c r="S25" s="274"/>
      <c r="T25" s="274"/>
      <c r="U25" s="274"/>
      <c r="V25" s="264"/>
      <c r="W25" s="264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  <c r="AR25" s="262"/>
      <c r="AS25" s="262"/>
    </row>
    <row r="26" spans="2:45" x14ac:dyDescent="0.25">
      <c r="C26" s="254" t="s">
        <v>198</v>
      </c>
      <c r="E26" s="343" t="s">
        <v>189</v>
      </c>
      <c r="M26" s="273"/>
      <c r="N26" s="274"/>
      <c r="O26" s="274"/>
      <c r="P26" s="274"/>
      <c r="Q26" s="274"/>
      <c r="R26" s="274"/>
      <c r="S26" s="274"/>
      <c r="T26" s="274"/>
      <c r="U26" s="274"/>
      <c r="V26" s="264"/>
      <c r="W26" s="264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  <c r="AR26" s="262"/>
      <c r="AS26" s="262"/>
    </row>
    <row r="27" spans="2:45" x14ac:dyDescent="0.25">
      <c r="B27" s="278" t="s">
        <v>191</v>
      </c>
      <c r="E27" s="281" t="s">
        <v>105</v>
      </c>
      <c r="F27" s="281" t="s">
        <v>106</v>
      </c>
      <c r="G27" s="281" t="s">
        <v>166</v>
      </c>
      <c r="H27" s="281" t="s">
        <v>102</v>
      </c>
      <c r="I27" s="281" t="s">
        <v>103</v>
      </c>
      <c r="M27" s="273"/>
      <c r="N27" s="274"/>
      <c r="O27" s="274"/>
      <c r="P27" s="274"/>
      <c r="Q27" s="274"/>
      <c r="R27" s="274"/>
      <c r="S27" s="274"/>
      <c r="T27" s="274"/>
      <c r="U27" s="274"/>
      <c r="V27" s="264"/>
      <c r="W27" s="264"/>
      <c r="AE27" s="262"/>
      <c r="AF27" s="262"/>
      <c r="AG27" s="262"/>
      <c r="AH27" s="262"/>
    </row>
    <row r="28" spans="2:45" x14ac:dyDescent="0.25">
      <c r="C28" s="251" t="s">
        <v>12</v>
      </c>
      <c r="E28" s="260">
        <f>F18</f>
        <v>38491815.009207398</v>
      </c>
      <c r="F28" s="260">
        <f>'Veridian - 2019'!D17</f>
        <v>38635065.242451936</v>
      </c>
      <c r="G28" s="260">
        <f>E28-F28</f>
        <v>-143250.23324453831</v>
      </c>
      <c r="H28" s="282">
        <f>'Veridian - 2019'!E34</f>
        <v>7.7000000000000082E-2</v>
      </c>
      <c r="I28" s="260">
        <f>G28*H28</f>
        <v>-11030.267959829462</v>
      </c>
      <c r="N28" s="260"/>
      <c r="O28" s="260"/>
      <c r="P28" s="260"/>
      <c r="Q28" s="282"/>
      <c r="R28" s="260"/>
      <c r="S28" s="274"/>
      <c r="T28" s="274"/>
      <c r="U28" s="274"/>
      <c r="V28" s="264"/>
      <c r="W28" s="264"/>
      <c r="AI28" s="262"/>
      <c r="AP28" s="262"/>
      <c r="AQ28" s="262"/>
      <c r="AR28" s="262"/>
    </row>
    <row r="29" spans="2:45" x14ac:dyDescent="0.25">
      <c r="C29" s="251" t="s">
        <v>13</v>
      </c>
      <c r="E29" s="260">
        <f t="shared" ref="E29:E32" si="2">F19</f>
        <v>28935752.384132307</v>
      </c>
      <c r="F29" s="260">
        <f>'Veridian - 2019'!D18</f>
        <v>29043438.999511231</v>
      </c>
      <c r="G29" s="260">
        <f t="shared" ref="G29:G39" si="3">E29-F29</f>
        <v>-107686.61537892371</v>
      </c>
      <c r="H29" s="282">
        <f>'Veridian - 2019'!E35</f>
        <v>8.9000000000000024E-2</v>
      </c>
      <c r="I29" s="260">
        <f t="shared" ref="I29:I32" si="4">G29*H29</f>
        <v>-9584.1087687242125</v>
      </c>
      <c r="M29" s="273"/>
      <c r="N29" s="260"/>
      <c r="O29" s="260"/>
      <c r="P29" s="260"/>
      <c r="Q29" s="282"/>
      <c r="R29" s="260"/>
      <c r="S29" s="274"/>
      <c r="T29" s="274"/>
      <c r="U29" s="274"/>
      <c r="V29" s="264"/>
      <c r="W29" s="264"/>
      <c r="AI29" s="262"/>
      <c r="AP29" s="262"/>
      <c r="AQ29" s="262"/>
      <c r="AR29" s="262"/>
    </row>
    <row r="30" spans="2:45" x14ac:dyDescent="0.25">
      <c r="C30" s="251" t="s">
        <v>14</v>
      </c>
      <c r="E30" s="260">
        <f t="shared" si="2"/>
        <v>372114931.44162333</v>
      </c>
      <c r="F30" s="260">
        <f>'Veridian - 2019'!D19</f>
        <v>373499785.61672622</v>
      </c>
      <c r="G30" s="260">
        <f t="shared" si="3"/>
        <v>-1384854.1751028895</v>
      </c>
      <c r="H30" s="282">
        <f>'Veridian - 2019'!E36</f>
        <v>6.5000000000000002E-2</v>
      </c>
      <c r="I30" s="260">
        <f t="shared" si="4"/>
        <v>-90015.521381687824</v>
      </c>
      <c r="M30" s="273"/>
      <c r="N30" s="260"/>
      <c r="O30" s="260"/>
      <c r="P30" s="260"/>
      <c r="Q30" s="282"/>
      <c r="R30" s="260"/>
      <c r="S30" s="274"/>
      <c r="T30" s="274"/>
      <c r="U30" s="274"/>
      <c r="V30" s="264"/>
      <c r="W30" s="264"/>
    </row>
    <row r="31" spans="2:45" x14ac:dyDescent="0.25">
      <c r="C31" s="251" t="s">
        <v>15</v>
      </c>
      <c r="E31" s="260">
        <f t="shared" si="2"/>
        <v>101125416.47681852</v>
      </c>
      <c r="F31" s="260">
        <f>'Veridian - 2019'!D20</f>
        <v>101501762.44787212</v>
      </c>
      <c r="G31" s="260">
        <f t="shared" si="3"/>
        <v>-376345.97105360031</v>
      </c>
      <c r="H31" s="282">
        <f>'Veridian - 2019'!E37</f>
        <v>9.4E-2</v>
      </c>
      <c r="I31" s="260">
        <f t="shared" si="4"/>
        <v>-35376.521279038432</v>
      </c>
      <c r="M31" s="273"/>
      <c r="N31" s="260"/>
      <c r="O31" s="260"/>
      <c r="P31" s="260"/>
      <c r="Q31" s="282"/>
      <c r="R31" s="260"/>
      <c r="S31" s="274"/>
      <c r="T31" s="274"/>
      <c r="U31" s="274"/>
      <c r="V31" s="264"/>
      <c r="W31" s="264"/>
    </row>
    <row r="32" spans="2:45" x14ac:dyDescent="0.25">
      <c r="C32" s="251" t="s">
        <v>16</v>
      </c>
      <c r="E32" s="260">
        <f t="shared" si="2"/>
        <v>104831766.95138901</v>
      </c>
      <c r="F32" s="260">
        <f>'Veridian - 2019'!D21</f>
        <v>105221906.38917941</v>
      </c>
      <c r="G32" s="260">
        <f t="shared" si="3"/>
        <v>-390139.43779039383</v>
      </c>
      <c r="H32" s="282">
        <f>'Veridian - 2019'!E38</f>
        <v>0.13258273402358953</v>
      </c>
      <c r="I32" s="260">
        <f t="shared" si="4"/>
        <v>-51725.753312676541</v>
      </c>
      <c r="M32" s="273"/>
      <c r="N32" s="260"/>
      <c r="O32" s="260"/>
      <c r="P32" s="260"/>
      <c r="Q32" s="282"/>
      <c r="R32" s="260"/>
      <c r="S32" s="274"/>
      <c r="T32" s="274"/>
      <c r="U32" s="274"/>
      <c r="V32" s="264"/>
      <c r="W32" s="264"/>
    </row>
    <row r="33" spans="2:23" ht="15.75" thickBot="1" x14ac:dyDescent="0.3">
      <c r="C33" s="251" t="str">
        <f>C8</f>
        <v>RPP Revenue</v>
      </c>
      <c r="E33" s="266">
        <f>SUM(E28:E32)</f>
        <v>645499682.26317048</v>
      </c>
      <c r="F33" s="266">
        <f>'Veridian - 2019'!D22</f>
        <v>647901958.69574094</v>
      </c>
      <c r="G33" s="266">
        <f>SUM(G28:G32)</f>
        <v>-2402276.4325703457</v>
      </c>
      <c r="H33" s="283"/>
      <c r="I33" s="266">
        <f>SUM(I28:I32)</f>
        <v>-197732.17270195647</v>
      </c>
      <c r="M33" s="273"/>
      <c r="N33" s="260"/>
      <c r="O33" s="260"/>
      <c r="P33" s="260"/>
      <c r="Q33" s="260"/>
      <c r="R33" s="260"/>
      <c r="S33" s="274"/>
      <c r="T33" s="274"/>
      <c r="U33" s="274"/>
      <c r="V33" s="264"/>
      <c r="W33" s="264"/>
    </row>
    <row r="34" spans="2:23" x14ac:dyDescent="0.25">
      <c r="E34" s="265"/>
      <c r="F34" s="265"/>
      <c r="G34" s="265"/>
      <c r="H34" s="284"/>
      <c r="I34" s="265"/>
      <c r="M34" s="273"/>
      <c r="N34" s="260"/>
      <c r="O34" s="260"/>
      <c r="P34" s="260"/>
      <c r="Q34" s="260"/>
      <c r="R34" s="260"/>
      <c r="S34" s="274"/>
      <c r="T34" s="274"/>
      <c r="U34" s="274"/>
      <c r="V34" s="264"/>
      <c r="W34" s="264"/>
    </row>
    <row r="35" spans="2:23" x14ac:dyDescent="0.25">
      <c r="C35" s="251" t="str">
        <f>C41</f>
        <v xml:space="preserve">  Adjustment for OEB Accounting Guidance (Act Tier + UFE)</v>
      </c>
      <c r="E35" s="265"/>
      <c r="F35" s="265"/>
      <c r="G35" s="265"/>
      <c r="H35" s="284"/>
      <c r="I35" s="72">
        <f>-I23-I33</f>
        <v>194496.53793512087</v>
      </c>
      <c r="K35" s="262"/>
      <c r="L35" s="262"/>
      <c r="M35" s="273"/>
      <c r="N35" s="260"/>
      <c r="O35" s="260"/>
      <c r="P35" s="260"/>
      <c r="Q35" s="260"/>
      <c r="R35" s="260"/>
      <c r="S35" s="274"/>
      <c r="T35" s="274"/>
      <c r="U35" s="274"/>
      <c r="V35" s="264"/>
      <c r="W35" s="264"/>
    </row>
    <row r="36" spans="2:23" ht="15.75" thickBot="1" x14ac:dyDescent="0.3">
      <c r="C36" s="251" t="s">
        <v>192</v>
      </c>
      <c r="E36" s="265"/>
      <c r="F36" s="265"/>
      <c r="G36" s="265"/>
      <c r="H36" s="284"/>
      <c r="I36" s="266">
        <f>I23+I33+I35</f>
        <v>0</v>
      </c>
      <c r="M36" s="273"/>
      <c r="N36" s="260"/>
      <c r="O36" s="260"/>
      <c r="P36" s="260"/>
      <c r="Q36" s="260"/>
      <c r="R36" s="260"/>
      <c r="S36" s="274"/>
      <c r="T36" s="274"/>
      <c r="U36" s="274"/>
      <c r="V36" s="264"/>
      <c r="W36" s="264"/>
    </row>
    <row r="37" spans="2:23" x14ac:dyDescent="0.25">
      <c r="E37" s="265"/>
      <c r="F37" s="265"/>
      <c r="G37" s="265"/>
      <c r="H37" s="284"/>
      <c r="I37" s="265"/>
      <c r="M37" s="273"/>
      <c r="N37" s="260"/>
      <c r="O37" s="260"/>
      <c r="P37" s="260"/>
      <c r="Q37" s="260"/>
      <c r="R37" s="260"/>
      <c r="S37" s="274"/>
      <c r="T37" s="274"/>
      <c r="U37" s="274"/>
      <c r="V37" s="264"/>
      <c r="W37" s="264"/>
    </row>
    <row r="38" spans="2:23" x14ac:dyDescent="0.25">
      <c r="M38" s="273"/>
      <c r="N38" s="260"/>
      <c r="O38" s="260"/>
      <c r="P38" s="260"/>
      <c r="Q38" s="262"/>
      <c r="R38" s="282"/>
      <c r="S38" s="260"/>
      <c r="T38" s="274"/>
      <c r="U38" s="274"/>
      <c r="V38" s="264"/>
      <c r="W38" s="264"/>
    </row>
    <row r="39" spans="2:23" x14ac:dyDescent="0.25">
      <c r="B39" s="278" t="s">
        <v>104</v>
      </c>
      <c r="C39" s="251" t="str">
        <f>C9</f>
        <v>Energy Revenue - RPP</v>
      </c>
      <c r="E39" s="260">
        <f>E33</f>
        <v>645499682.26317048</v>
      </c>
      <c r="F39" s="260">
        <f>F33</f>
        <v>647901958.69574094</v>
      </c>
      <c r="G39" s="260">
        <f t="shared" si="3"/>
        <v>-2402276.4325704575</v>
      </c>
      <c r="H39" s="285">
        <f>'Veridian - 2019'!C86</f>
        <v>1.9876393701681851E-2</v>
      </c>
      <c r="I39" s="260">
        <f t="shared" ref="I39" si="5">G39*H39</f>
        <v>-47748.592154042184</v>
      </c>
      <c r="M39" s="260"/>
      <c r="N39" s="274"/>
      <c r="O39" s="260"/>
      <c r="P39" s="260"/>
      <c r="Q39" s="262"/>
      <c r="R39" s="282"/>
      <c r="S39" s="260"/>
      <c r="T39" s="274"/>
      <c r="U39" s="274"/>
      <c r="V39" s="264"/>
      <c r="W39" s="264"/>
    </row>
    <row r="40" spans="2:23" x14ac:dyDescent="0.25">
      <c r="B40" s="278"/>
      <c r="C40" s="20" t="s">
        <v>193</v>
      </c>
      <c r="D40" s="20"/>
      <c r="E40" s="5"/>
      <c r="F40" s="5"/>
      <c r="G40" s="5"/>
      <c r="H40" s="346"/>
      <c r="I40" s="5">
        <f>'Veridian 2019 RPP Settlement'!I49-'Veridian 2019 RPP Settlement'!I23</f>
        <v>2835.6000000000931</v>
      </c>
      <c r="J40" s="20"/>
      <c r="M40" s="260"/>
      <c r="N40" s="260"/>
      <c r="O40" s="260"/>
      <c r="P40" s="260"/>
      <c r="Q40" s="262"/>
      <c r="R40" s="282"/>
      <c r="S40" s="260"/>
      <c r="T40" s="274"/>
      <c r="U40" s="274"/>
      <c r="V40" s="264"/>
      <c r="W40" s="264"/>
    </row>
    <row r="41" spans="2:23" x14ac:dyDescent="0.25">
      <c r="B41" s="278"/>
      <c r="C41" s="20" t="s">
        <v>201</v>
      </c>
      <c r="D41" s="20"/>
      <c r="E41" s="5"/>
      <c r="F41" s="5"/>
      <c r="G41" s="5"/>
      <c r="H41" s="346"/>
      <c r="I41" s="5">
        <f>-I39-I40</f>
        <v>44912.992154042091</v>
      </c>
      <c r="J41" s="20"/>
      <c r="M41" s="273"/>
      <c r="N41" s="274"/>
      <c r="O41" s="260"/>
      <c r="P41" s="260"/>
      <c r="Q41" s="262"/>
      <c r="R41" s="282"/>
      <c r="S41" s="260"/>
      <c r="T41" s="274"/>
      <c r="U41" s="274"/>
      <c r="V41" s="264"/>
      <c r="W41" s="264"/>
    </row>
    <row r="42" spans="2:23" ht="15.75" thickBot="1" x14ac:dyDescent="0.3">
      <c r="B42" s="278"/>
      <c r="C42" s="20"/>
      <c r="D42" s="20"/>
      <c r="E42" s="5"/>
      <c r="F42" s="5"/>
      <c r="G42" s="5"/>
      <c r="H42" s="346"/>
      <c r="I42" s="347">
        <f>SUM(I39:I41)</f>
        <v>0</v>
      </c>
      <c r="J42" s="20"/>
      <c r="M42" s="273"/>
      <c r="N42" s="274"/>
      <c r="O42" s="260"/>
      <c r="P42" s="260"/>
      <c r="Q42" s="262"/>
      <c r="R42" s="282"/>
      <c r="S42" s="260"/>
      <c r="T42" s="274"/>
      <c r="U42" s="274"/>
      <c r="V42" s="264"/>
      <c r="W42" s="264"/>
    </row>
    <row r="43" spans="2:23" x14ac:dyDescent="0.25">
      <c r="B43" s="278"/>
      <c r="C43" s="20"/>
      <c r="D43" s="20"/>
      <c r="E43" s="5"/>
      <c r="F43" s="5"/>
      <c r="G43" s="5"/>
      <c r="H43" s="346"/>
      <c r="I43" s="141"/>
      <c r="J43" s="20"/>
      <c r="M43" s="273"/>
      <c r="N43" s="274"/>
      <c r="O43" s="260"/>
      <c r="P43" s="260"/>
      <c r="Q43" s="262"/>
      <c r="R43" s="282"/>
      <c r="S43" s="260"/>
      <c r="T43" s="274"/>
      <c r="U43" s="274"/>
      <c r="V43" s="264"/>
      <c r="W43" s="264"/>
    </row>
    <row r="44" spans="2:23" x14ac:dyDescent="0.25">
      <c r="B44" s="278" t="s">
        <v>107</v>
      </c>
      <c r="C44" s="20" t="s">
        <v>90</v>
      </c>
      <c r="D44" s="20"/>
      <c r="E44" s="5">
        <f>E39</f>
        <v>645499682.26317048</v>
      </c>
      <c r="F44" s="5">
        <f>F39</f>
        <v>647901958.69574094</v>
      </c>
      <c r="G44" s="5">
        <f t="shared" ref="G44" si="6">E44-F44</f>
        <v>-2402276.4325704575</v>
      </c>
      <c r="H44" s="346">
        <f>'Veridian - 2019'!C50</f>
        <v>0.10331343174370142</v>
      </c>
      <c r="I44" s="5">
        <f t="shared" ref="I44" si="7">G44*H44</f>
        <v>-248187.42224587049</v>
      </c>
      <c r="J44" s="20"/>
      <c r="M44" s="260"/>
      <c r="N44" s="274"/>
      <c r="O44" s="260"/>
      <c r="P44" s="260"/>
      <c r="Q44" s="262"/>
      <c r="R44" s="282"/>
      <c r="S44" s="260"/>
      <c r="T44" s="274"/>
      <c r="U44" s="274"/>
      <c r="V44" s="264"/>
      <c r="W44" s="264"/>
    </row>
    <row r="45" spans="2:23" x14ac:dyDescent="0.25">
      <c r="B45" s="278"/>
      <c r="C45" s="20" t="s">
        <v>210</v>
      </c>
      <c r="D45" s="20"/>
      <c r="E45" s="5">
        <f>E44</f>
        <v>645499682.26317048</v>
      </c>
      <c r="F45" s="5"/>
      <c r="G45" s="5"/>
      <c r="H45" s="370">
        <f>'Veridian 2019 RPP Settlement'!D44-H44</f>
        <v>-1.1184106033332308E-5</v>
      </c>
      <c r="I45" s="5">
        <f>E45*H45</f>
        <v>-7219.3368909136134</v>
      </c>
      <c r="J45" s="20"/>
      <c r="M45" s="260"/>
      <c r="N45" s="274"/>
      <c r="O45" s="260"/>
      <c r="P45" s="260"/>
      <c r="Q45" s="262"/>
      <c r="R45" s="282"/>
      <c r="S45" s="260"/>
      <c r="T45" s="274"/>
      <c r="U45" s="274"/>
      <c r="V45" s="264"/>
      <c r="W45" s="264"/>
    </row>
    <row r="46" spans="2:23" x14ac:dyDescent="0.25">
      <c r="B46" s="278"/>
      <c r="C46" s="20" t="s">
        <v>176</v>
      </c>
      <c r="D46" s="20"/>
      <c r="E46" s="5"/>
      <c r="F46" s="5"/>
      <c r="G46" s="5"/>
      <c r="H46" s="346"/>
      <c r="I46" s="141">
        <f>-I45-I44</f>
        <v>255406.75913678409</v>
      </c>
      <c r="J46" s="20"/>
      <c r="M46" s="260"/>
      <c r="N46" s="274"/>
      <c r="O46" s="260"/>
      <c r="P46" s="260"/>
      <c r="Q46" s="262"/>
      <c r="R46" s="282"/>
      <c r="S46" s="260"/>
      <c r="T46" s="274"/>
      <c r="U46" s="274"/>
      <c r="V46" s="264"/>
      <c r="W46" s="264"/>
    </row>
    <row r="47" spans="2:23" x14ac:dyDescent="0.25">
      <c r="B47" s="278"/>
      <c r="C47" s="20"/>
      <c r="D47" s="20"/>
      <c r="E47" s="5"/>
      <c r="F47" s="5"/>
      <c r="G47" s="5"/>
      <c r="H47" s="346"/>
      <c r="I47" s="141"/>
      <c r="J47" s="20"/>
      <c r="M47" s="273"/>
      <c r="N47" s="274"/>
      <c r="O47" s="260"/>
      <c r="P47" s="260"/>
      <c r="Q47" s="262"/>
      <c r="R47" s="282"/>
      <c r="S47" s="260"/>
      <c r="T47" s="274"/>
      <c r="U47" s="274"/>
      <c r="V47" s="264"/>
      <c r="W47" s="264"/>
    </row>
    <row r="48" spans="2:23" ht="15.75" thickBot="1" x14ac:dyDescent="0.3">
      <c r="B48" s="278"/>
      <c r="C48" s="20"/>
      <c r="D48" s="20"/>
      <c r="E48" s="5"/>
      <c r="F48" s="5"/>
      <c r="G48" s="5"/>
      <c r="H48" s="346"/>
      <c r="I48" s="347">
        <f>SUM(I43:I46)</f>
        <v>0</v>
      </c>
      <c r="J48" s="20"/>
      <c r="M48" s="273"/>
      <c r="N48" s="274"/>
      <c r="O48" s="260"/>
      <c r="P48" s="260"/>
      <c r="Q48" s="262"/>
      <c r="R48" s="282"/>
      <c r="S48" s="260"/>
      <c r="T48" s="274"/>
      <c r="U48" s="274"/>
      <c r="V48" s="264"/>
      <c r="W48" s="264"/>
    </row>
    <row r="49" spans="2:23" x14ac:dyDescent="0.25">
      <c r="B49" s="278"/>
      <c r="E49" s="260"/>
      <c r="F49" s="260"/>
      <c r="G49" s="260"/>
      <c r="H49" s="285"/>
      <c r="I49" s="261"/>
      <c r="M49" s="273"/>
      <c r="N49" s="274"/>
      <c r="O49" s="260"/>
      <c r="P49" s="260"/>
      <c r="Q49" s="262"/>
      <c r="R49" s="282"/>
      <c r="S49" s="260"/>
      <c r="T49" s="274"/>
      <c r="U49" s="274"/>
      <c r="V49" s="264"/>
      <c r="W49" s="264"/>
    </row>
    <row r="50" spans="2:23" x14ac:dyDescent="0.25">
      <c r="B50" s="278"/>
      <c r="E50" s="260"/>
      <c r="F50" s="260"/>
      <c r="G50" s="260"/>
      <c r="H50" s="285"/>
      <c r="I50" s="261">
        <f>I36-I42-I48</f>
        <v>0</v>
      </c>
      <c r="M50" s="260"/>
      <c r="N50" s="274"/>
      <c r="O50" s="260"/>
      <c r="P50" s="260"/>
      <c r="Q50" s="262"/>
      <c r="R50" s="282"/>
      <c r="S50" s="260"/>
      <c r="T50" s="274"/>
      <c r="U50" s="274"/>
      <c r="V50" s="264"/>
      <c r="W50" s="264"/>
    </row>
    <row r="51" spans="2:23" x14ac:dyDescent="0.25">
      <c r="B51" s="278"/>
      <c r="E51" s="260"/>
      <c r="F51" s="260"/>
      <c r="G51" s="260"/>
      <c r="H51" s="285"/>
      <c r="I51" s="261"/>
      <c r="M51" s="273"/>
      <c r="N51" s="274"/>
      <c r="O51" s="260"/>
      <c r="P51" s="260"/>
      <c r="Q51" s="262"/>
      <c r="R51" s="282"/>
      <c r="S51" s="260"/>
      <c r="T51" s="274"/>
      <c r="U51" s="274"/>
      <c r="V51" s="264"/>
      <c r="W51" s="264"/>
    </row>
    <row r="52" spans="2:23" x14ac:dyDescent="0.25">
      <c r="B52" s="278"/>
      <c r="E52" s="260"/>
      <c r="F52" s="260"/>
      <c r="G52" s="260"/>
      <c r="H52" s="285"/>
      <c r="I52" s="261"/>
      <c r="M52" s="273"/>
      <c r="N52" s="274"/>
      <c r="O52" s="260"/>
      <c r="P52" s="260"/>
      <c r="Q52" s="262"/>
      <c r="R52" s="282"/>
      <c r="S52" s="260"/>
      <c r="T52" s="274"/>
      <c r="U52" s="274"/>
      <c r="V52" s="264"/>
      <c r="W52" s="264"/>
    </row>
    <row r="53" spans="2:23" x14ac:dyDescent="0.25">
      <c r="B53" s="278"/>
      <c r="E53" s="260"/>
      <c r="F53" s="260"/>
      <c r="G53" s="260"/>
      <c r="H53" s="285"/>
      <c r="I53" s="261"/>
      <c r="M53" s="273"/>
      <c r="N53" s="274"/>
      <c r="O53" s="260"/>
      <c r="P53" s="260"/>
      <c r="Q53" s="262"/>
      <c r="R53" s="282"/>
      <c r="S53" s="260"/>
      <c r="T53" s="274"/>
      <c r="U53" s="274"/>
      <c r="V53" s="264"/>
      <c r="W53" s="264"/>
    </row>
    <row r="54" spans="2:23" x14ac:dyDescent="0.25">
      <c r="B54" s="278"/>
      <c r="E54" s="260"/>
      <c r="F54" s="260"/>
      <c r="G54" s="260"/>
      <c r="H54" s="285"/>
      <c r="I54" s="261"/>
      <c r="M54" s="273"/>
      <c r="N54" s="274"/>
      <c r="O54" s="260"/>
      <c r="P54" s="260"/>
      <c r="Q54" s="262"/>
      <c r="R54" s="282"/>
      <c r="S54" s="260"/>
      <c r="T54" s="274"/>
      <c r="U54" s="274"/>
      <c r="V54" s="264"/>
      <c r="W54" s="264"/>
    </row>
    <row r="55" spans="2:23" ht="15.75" thickBot="1" x14ac:dyDescent="0.3">
      <c r="B55" s="287"/>
      <c r="C55" s="288"/>
      <c r="D55" s="288"/>
      <c r="E55" s="289"/>
      <c r="F55" s="289"/>
      <c r="G55" s="289"/>
      <c r="H55" s="290"/>
      <c r="I55" s="289"/>
      <c r="M55" s="273"/>
      <c r="N55" s="274"/>
      <c r="O55" s="260"/>
      <c r="P55" s="260"/>
      <c r="Q55" s="262"/>
      <c r="R55" s="282"/>
      <c r="S55" s="260"/>
      <c r="T55" s="274"/>
      <c r="U55" s="274"/>
      <c r="V55" s="264"/>
      <c r="W55" s="264"/>
    </row>
    <row r="56" spans="2:23" ht="15" hidden="1" customHeight="1" x14ac:dyDescent="0.25">
      <c r="B56" s="253"/>
      <c r="C56" s="291"/>
      <c r="D56" s="253"/>
      <c r="E56" s="253"/>
      <c r="F56" s="253"/>
      <c r="G56" s="253"/>
      <c r="H56" s="253"/>
      <c r="I56" s="253"/>
      <c r="M56" s="273"/>
      <c r="N56" s="274"/>
      <c r="O56" s="274"/>
      <c r="P56" s="274"/>
      <c r="Q56" s="274"/>
      <c r="R56" s="260"/>
      <c r="S56" s="260"/>
      <c r="T56" s="274"/>
      <c r="U56" s="274"/>
      <c r="V56" s="264"/>
      <c r="W56" s="264"/>
    </row>
    <row r="57" spans="2:23" hidden="1" x14ac:dyDescent="0.25">
      <c r="B57" s="292"/>
      <c r="C57" s="253"/>
      <c r="D57" s="253"/>
      <c r="E57" s="261"/>
      <c r="F57" s="261"/>
      <c r="G57" s="265"/>
      <c r="H57" s="293"/>
      <c r="I57" s="265"/>
      <c r="M57" s="273"/>
      <c r="N57" s="274"/>
      <c r="O57" s="274"/>
      <c r="P57" s="274"/>
      <c r="Q57" s="274"/>
      <c r="R57" s="274"/>
      <c r="S57" s="260"/>
      <c r="T57" s="274"/>
      <c r="U57" s="274"/>
      <c r="V57" s="264"/>
      <c r="W57" s="264"/>
    </row>
    <row r="58" spans="2:23" hidden="1" x14ac:dyDescent="0.25">
      <c r="B58" s="253"/>
      <c r="C58" s="253"/>
      <c r="D58" s="253"/>
      <c r="E58" s="253"/>
      <c r="F58" s="261"/>
      <c r="G58" s="265"/>
      <c r="H58" s="293"/>
      <c r="I58" s="265"/>
      <c r="M58" s="273"/>
      <c r="N58" s="274"/>
      <c r="O58" s="274"/>
      <c r="P58" s="274"/>
      <c r="Q58" s="274"/>
      <c r="R58" s="274"/>
      <c r="S58" s="260"/>
      <c r="T58" s="274"/>
      <c r="U58" s="274"/>
      <c r="V58" s="264"/>
      <c r="W58" s="264"/>
    </row>
    <row r="59" spans="2:23" hidden="1" x14ac:dyDescent="0.25">
      <c r="B59" s="253"/>
      <c r="C59" s="253"/>
      <c r="D59" s="253"/>
      <c r="E59" s="253"/>
      <c r="F59" s="253"/>
      <c r="G59" s="253"/>
      <c r="H59" s="253"/>
      <c r="I59" s="261"/>
      <c r="M59" s="273"/>
      <c r="N59" s="274"/>
      <c r="O59" s="274"/>
      <c r="P59" s="274"/>
      <c r="Q59" s="274"/>
      <c r="R59" s="274"/>
      <c r="S59" s="260"/>
      <c r="T59" s="274"/>
      <c r="U59" s="274"/>
      <c r="V59" s="264"/>
      <c r="W59" s="264"/>
    </row>
    <row r="60" spans="2:23" hidden="1" x14ac:dyDescent="0.25">
      <c r="B60" s="253"/>
      <c r="C60" s="253"/>
      <c r="D60" s="253"/>
      <c r="E60" s="253"/>
      <c r="F60" s="253"/>
      <c r="G60" s="253"/>
      <c r="H60" s="253"/>
      <c r="I60" s="261"/>
      <c r="M60" s="273"/>
      <c r="N60" s="274"/>
      <c r="O60" s="274"/>
      <c r="P60" s="274"/>
      <c r="Q60" s="274"/>
      <c r="R60" s="274"/>
      <c r="S60" s="260"/>
      <c r="T60" s="274"/>
      <c r="U60" s="274"/>
      <c r="V60" s="264"/>
      <c r="W60" s="264"/>
    </row>
    <row r="61" spans="2:23" x14ac:dyDescent="0.25">
      <c r="I61" s="264"/>
      <c r="N61" s="274"/>
      <c r="O61" s="260"/>
      <c r="P61" s="260"/>
      <c r="Q61" s="260"/>
      <c r="R61" s="274"/>
      <c r="S61" s="260"/>
      <c r="T61" s="274"/>
      <c r="U61" s="274"/>
      <c r="V61" s="264"/>
      <c r="W61" s="264"/>
    </row>
    <row r="62" spans="2:23" x14ac:dyDescent="0.25">
      <c r="B62" s="252" t="s">
        <v>161</v>
      </c>
      <c r="E62" s="294" t="s">
        <v>179</v>
      </c>
      <c r="F62" s="294" t="s">
        <v>88</v>
      </c>
      <c r="G62" s="281" t="s">
        <v>61</v>
      </c>
      <c r="N62" s="274"/>
      <c r="O62" s="274"/>
      <c r="P62" s="274"/>
      <c r="Q62" s="274"/>
      <c r="R62" s="274"/>
      <c r="S62" s="274"/>
      <c r="T62" s="274"/>
      <c r="U62" s="274"/>
      <c r="V62" s="264"/>
      <c r="W62" s="264"/>
    </row>
    <row r="63" spans="2:23" x14ac:dyDescent="0.25">
      <c r="E63" s="45"/>
      <c r="L63" s="253"/>
      <c r="M63" s="253"/>
      <c r="N63" s="253"/>
      <c r="O63" s="253"/>
      <c r="P63" s="253"/>
      <c r="S63" s="262"/>
    </row>
    <row r="64" spans="2:23" x14ac:dyDescent="0.25">
      <c r="E64" s="45"/>
      <c r="L64" s="295"/>
      <c r="M64" s="253"/>
      <c r="N64" s="253"/>
      <c r="O64" s="253"/>
      <c r="P64" s="253"/>
    </row>
    <row r="65" spans="2:29" x14ac:dyDescent="0.25">
      <c r="C65" s="251" t="s">
        <v>89</v>
      </c>
      <c r="E65" s="296">
        <f>'Veridian - 2019'!E73</f>
        <v>53131293.685362138</v>
      </c>
      <c r="F65" s="296">
        <f>'Veridian - 2019'!E73</f>
        <v>53131293.685362138</v>
      </c>
      <c r="G65" s="296">
        <f>E65-F65</f>
        <v>0</v>
      </c>
      <c r="L65" s="295"/>
      <c r="M65" s="260"/>
      <c r="N65" s="260"/>
      <c r="O65" s="261"/>
      <c r="P65" s="253"/>
    </row>
    <row r="66" spans="2:29" x14ac:dyDescent="0.25">
      <c r="L66" s="297"/>
      <c r="M66" s="298"/>
      <c r="N66" s="299"/>
      <c r="O66" s="299"/>
      <c r="P66" s="253"/>
    </row>
    <row r="67" spans="2:29" x14ac:dyDescent="0.25">
      <c r="C67" s="251" t="s">
        <v>92</v>
      </c>
      <c r="E67" s="262">
        <f>'Veridian - 2019'!E77</f>
        <v>12346623.216173736</v>
      </c>
      <c r="F67" s="262">
        <f>'Veridian - 2019'!E77</f>
        <v>12346623.216173736</v>
      </c>
      <c r="G67" s="262">
        <f>E67-F67</f>
        <v>0</v>
      </c>
      <c r="L67" s="300"/>
      <c r="M67" s="260"/>
      <c r="N67" s="260"/>
      <c r="O67" s="261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</row>
    <row r="68" spans="2:29" x14ac:dyDescent="0.25">
      <c r="C68" s="20" t="s">
        <v>193</v>
      </c>
      <c r="D68" s="20"/>
      <c r="E68" s="107">
        <v>4802.7252963520586</v>
      </c>
      <c r="F68" s="45">
        <f>E68</f>
        <v>4802.7252963520586</v>
      </c>
      <c r="G68" s="262"/>
      <c r="L68" s="300"/>
      <c r="M68" s="260"/>
      <c r="N68" s="260"/>
      <c r="O68" s="301"/>
      <c r="P68" s="261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</row>
    <row r="69" spans="2:29" ht="15.75" thickBot="1" x14ac:dyDescent="0.3">
      <c r="C69" s="20"/>
      <c r="D69" s="20"/>
      <c r="E69" s="347">
        <f>SUM(E65:E68)</f>
        <v>65482719.626832232</v>
      </c>
      <c r="F69" s="347">
        <f>SUM(F65:F68)</f>
        <v>65482719.626832232</v>
      </c>
      <c r="G69" s="286">
        <f>E69-F69</f>
        <v>0</v>
      </c>
      <c r="L69" s="295"/>
      <c r="M69" s="260"/>
      <c r="N69" s="260"/>
      <c r="O69" s="261"/>
      <c r="P69" s="261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2"/>
    </row>
    <row r="70" spans="2:29" x14ac:dyDescent="0.25">
      <c r="L70" s="303"/>
      <c r="M70" s="304"/>
      <c r="N70" s="305"/>
      <c r="O70" s="300"/>
      <c r="P70" s="253"/>
      <c r="Q70" s="265"/>
      <c r="R70" s="265"/>
      <c r="S70" s="260"/>
      <c r="T70" s="260"/>
      <c r="U70" s="260"/>
      <c r="V70" s="260"/>
      <c r="W70" s="260"/>
      <c r="X70" s="260"/>
      <c r="Y70" s="260"/>
      <c r="Z70" s="260"/>
      <c r="AA70" s="260"/>
      <c r="AB70" s="260"/>
      <c r="AC70" s="260"/>
    </row>
    <row r="71" spans="2:29" x14ac:dyDescent="0.25">
      <c r="B71" s="252" t="s">
        <v>113</v>
      </c>
      <c r="L71" s="295"/>
      <c r="M71" s="295"/>
      <c r="N71" s="295"/>
      <c r="O71" s="295"/>
      <c r="P71" s="253"/>
      <c r="Q71" s="253"/>
      <c r="R71" s="253"/>
    </row>
    <row r="72" spans="2:29" x14ac:dyDescent="0.25">
      <c r="C72" s="20" t="s">
        <v>202</v>
      </c>
      <c r="E72" s="262">
        <f>'Veridian - 2019'!E56</f>
        <v>24896663.109999999</v>
      </c>
      <c r="F72" s="262">
        <f>'Veridian - 2019'!E56</f>
        <v>24896663.109999999</v>
      </c>
      <c r="L72" s="398"/>
      <c r="M72" s="399"/>
      <c r="N72" s="399"/>
      <c r="O72" s="399"/>
      <c r="P72" s="253"/>
      <c r="Q72" s="253"/>
      <c r="R72" s="253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</row>
    <row r="73" spans="2:29" ht="15" customHeight="1" x14ac:dyDescent="0.25">
      <c r="C73" s="251" t="s">
        <v>171</v>
      </c>
      <c r="E73" s="262">
        <f>'Veridian - 2019'!E55+'Veridian - 2019'!E61</f>
        <v>353776.68999999948</v>
      </c>
      <c r="F73" s="262">
        <f>'Veridian - 2019'!E55+'Veridian - 2019'!E61</f>
        <v>353776.68999999948</v>
      </c>
      <c r="L73" s="399"/>
      <c r="M73" s="399"/>
      <c r="N73" s="399"/>
      <c r="O73" s="399"/>
      <c r="P73" s="253"/>
      <c r="Q73" s="371"/>
      <c r="R73" s="371"/>
      <c r="S73" s="302"/>
      <c r="T73" s="302"/>
      <c r="U73" s="302"/>
      <c r="V73" s="302"/>
      <c r="W73" s="302"/>
      <c r="X73" s="302"/>
      <c r="Y73" s="302"/>
      <c r="Z73" s="302"/>
      <c r="AA73" s="302"/>
      <c r="AB73" s="302"/>
      <c r="AC73" s="302"/>
    </row>
    <row r="74" spans="2:29" x14ac:dyDescent="0.25">
      <c r="E74" s="262"/>
      <c r="F74" s="262"/>
      <c r="L74" s="295"/>
      <c r="M74" s="372"/>
      <c r="N74" s="372"/>
      <c r="O74" s="372"/>
      <c r="P74" s="253"/>
      <c r="Q74" s="265"/>
      <c r="R74" s="265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</row>
    <row r="75" spans="2:29" x14ac:dyDescent="0.25">
      <c r="C75" s="251" t="s">
        <v>94</v>
      </c>
      <c r="E75" s="45"/>
      <c r="F75" s="262">
        <f>'Veridian - 2019'!E58</f>
        <v>66936974.786322877</v>
      </c>
      <c r="L75" s="373"/>
      <c r="M75" s="298"/>
      <c r="N75" s="299"/>
      <c r="O75" s="299"/>
      <c r="P75" s="253"/>
      <c r="Q75" s="253"/>
      <c r="R75" s="253"/>
    </row>
    <row r="76" spans="2:29" ht="15.75" thickBot="1" x14ac:dyDescent="0.3">
      <c r="C76" s="20" t="s">
        <v>200</v>
      </c>
      <c r="D76" s="20"/>
      <c r="E76" s="262">
        <f>'Veridian 2019 RPP Settlement'!H50-'Veridian 2019 RPP Settlement'!I50</f>
        <v>40304951.901155651</v>
      </c>
      <c r="F76" s="262">
        <f>'Veridian 2019 RPP Settlement'!K24</f>
        <v>-26482439.339386147</v>
      </c>
      <c r="L76" s="300"/>
      <c r="M76" s="300"/>
      <c r="N76" s="374"/>
      <c r="O76" s="374"/>
      <c r="P76" s="71"/>
      <c r="Q76" s="72"/>
      <c r="R76" s="72"/>
    </row>
    <row r="77" spans="2:29" ht="15" customHeight="1" x14ac:dyDescent="0.25">
      <c r="C77" s="20" t="str">
        <f>C41</f>
        <v xml:space="preserve">  Adjustment for OEB Accounting Guidance (Act Tier + UFE)</v>
      </c>
      <c r="D77" s="20"/>
      <c r="E77" s="45">
        <f>I35-I41</f>
        <v>149583.54578107878</v>
      </c>
      <c r="F77" s="262"/>
      <c r="I77" s="396" t="s">
        <v>177</v>
      </c>
      <c r="L77" s="295"/>
      <c r="M77" s="301"/>
      <c r="N77" s="301"/>
      <c r="O77" s="375"/>
      <c r="P77" s="71"/>
      <c r="Q77" s="376"/>
      <c r="R77" s="71"/>
    </row>
    <row r="78" spans="2:29" ht="15.75" thickBot="1" x14ac:dyDescent="0.3">
      <c r="E78" s="286">
        <f>SUM(E72:E77)</f>
        <v>65704975.246936724</v>
      </c>
      <c r="F78" s="286">
        <f>SUM(F72:F77)</f>
        <v>65704975.246936724</v>
      </c>
      <c r="G78" s="286">
        <f>E78-F78</f>
        <v>0</v>
      </c>
      <c r="H78" s="278"/>
      <c r="I78" s="397"/>
      <c r="L78" s="303"/>
      <c r="M78" s="377"/>
      <c r="N78" s="374"/>
      <c r="O78" s="374"/>
      <c r="P78" s="71"/>
      <c r="Q78" s="71"/>
      <c r="R78" s="71"/>
    </row>
    <row r="79" spans="2:29" x14ac:dyDescent="0.25">
      <c r="I79" s="306">
        <v>5.0000000000000001E-3</v>
      </c>
      <c r="L79" s="307"/>
      <c r="M79" s="253"/>
      <c r="N79" s="265"/>
      <c r="O79" s="253"/>
      <c r="P79" s="253"/>
      <c r="Q79" s="253"/>
      <c r="R79" s="253"/>
    </row>
    <row r="80" spans="2:29" ht="15.75" thickBot="1" x14ac:dyDescent="0.3">
      <c r="B80" s="308" t="s">
        <v>167</v>
      </c>
      <c r="C80" s="308"/>
      <c r="D80" s="308"/>
      <c r="E80" s="309">
        <f>E78-E69</f>
        <v>222255.62010449171</v>
      </c>
      <c r="F80" s="309">
        <f>F78-F69</f>
        <v>222255.62010449171</v>
      </c>
      <c r="G80" s="309">
        <f>ROUND(E80-F80,0)</f>
        <v>0</v>
      </c>
      <c r="I80" s="310">
        <f>I79*F78</f>
        <v>328524.87623468362</v>
      </c>
      <c r="J80" s="261"/>
      <c r="L80" s="261"/>
      <c r="M80" s="253"/>
      <c r="N80" s="311"/>
      <c r="O80" s="312"/>
      <c r="P80" s="253"/>
      <c r="Q80" s="253"/>
      <c r="R80" s="253"/>
    </row>
    <row r="81" spans="2:18" ht="16.5" thickTop="1" thickBot="1" x14ac:dyDescent="0.3">
      <c r="B81" s="332" t="s">
        <v>203</v>
      </c>
      <c r="I81" s="348" t="str">
        <f>IF(ABS(E77)&lt;ABS(I80),"Not Applicable","Review")</f>
        <v>Not Applicable</v>
      </c>
      <c r="J81" s="261"/>
      <c r="L81" s="261"/>
      <c r="M81" s="253"/>
      <c r="N81" s="261"/>
      <c r="O81" s="253"/>
      <c r="P81" s="253"/>
      <c r="Q81" s="253"/>
      <c r="R81" s="253"/>
    </row>
    <row r="82" spans="2:18" x14ac:dyDescent="0.25">
      <c r="B82" s="291"/>
      <c r="C82" s="253"/>
      <c r="D82" s="253"/>
      <c r="E82" s="253"/>
      <c r="F82" s="253"/>
      <c r="G82" s="261"/>
      <c r="L82" s="265"/>
      <c r="M82" s="253"/>
      <c r="N82" s="265"/>
      <c r="O82" s="253"/>
      <c r="P82" s="261"/>
      <c r="Q82" s="253"/>
      <c r="R82" s="261"/>
    </row>
    <row r="83" spans="2:18" hidden="1" x14ac:dyDescent="0.25">
      <c r="B83" s="292"/>
      <c r="C83" s="253"/>
      <c r="D83" s="253"/>
      <c r="E83" s="253"/>
      <c r="F83" s="253"/>
      <c r="G83" s="261"/>
      <c r="L83" s="261"/>
      <c r="M83" s="253"/>
      <c r="N83" s="265"/>
      <c r="O83" s="253"/>
      <c r="P83" s="253"/>
      <c r="Q83" s="253"/>
      <c r="R83" s="253"/>
    </row>
    <row r="84" spans="2:18" hidden="1" x14ac:dyDescent="0.25">
      <c r="B84" s="253"/>
      <c r="C84" s="253"/>
      <c r="D84" s="253"/>
      <c r="E84" s="253"/>
      <c r="F84" s="253"/>
      <c r="G84" s="261"/>
      <c r="L84" s="253"/>
      <c r="M84" s="253"/>
      <c r="N84" s="261"/>
      <c r="O84" s="253"/>
      <c r="P84" s="253"/>
      <c r="Q84" s="253"/>
      <c r="R84" s="261"/>
    </row>
    <row r="85" spans="2:18" hidden="1" x14ac:dyDescent="0.25">
      <c r="B85" s="253"/>
      <c r="C85" s="253"/>
      <c r="D85" s="253"/>
      <c r="E85" s="253"/>
      <c r="F85" s="253"/>
      <c r="G85" s="261"/>
    </row>
    <row r="86" spans="2:18" hidden="1" x14ac:dyDescent="0.25"/>
    <row r="87" spans="2:18" hidden="1" x14ac:dyDescent="0.25">
      <c r="F87" s="262"/>
    </row>
    <row r="88" spans="2:18" hidden="1" x14ac:dyDescent="0.25">
      <c r="C88" s="252"/>
    </row>
    <row r="89" spans="2:18" ht="18" customHeight="1" x14ac:dyDescent="0.25">
      <c r="B89" s="252" t="s">
        <v>79</v>
      </c>
      <c r="E89" s="294" t="str">
        <f>E62</f>
        <v>EV Method</v>
      </c>
      <c r="F89" s="294" t="s">
        <v>88</v>
      </c>
      <c r="G89" s="281" t="s">
        <v>61</v>
      </c>
    </row>
    <row r="90" spans="2:18" x14ac:dyDescent="0.25">
      <c r="C90" s="251" t="s">
        <v>108</v>
      </c>
      <c r="E90" s="262">
        <f>'Veridian - 2019'!E80+'Veridian - 2019'!E79</f>
        <v>35807705.420420595</v>
      </c>
      <c r="F90" s="262">
        <f>'Veridian - 2019'!E80+'Veridian - 2019'!E79</f>
        <v>35807705.420420595</v>
      </c>
      <c r="G90" s="253"/>
      <c r="H90" s="253"/>
    </row>
    <row r="91" spans="2:18" x14ac:dyDescent="0.25">
      <c r="C91" s="251" t="s">
        <v>98</v>
      </c>
      <c r="E91" s="262">
        <f>'Veridian - 2019'!E78</f>
        <v>19389371.280000001</v>
      </c>
      <c r="F91" s="262">
        <f>'Veridian - 2019'!E78</f>
        <v>19389371.280000001</v>
      </c>
      <c r="G91" s="253"/>
      <c r="H91" s="313"/>
    </row>
    <row r="92" spans="2:18" ht="15.75" thickBot="1" x14ac:dyDescent="0.3">
      <c r="C92" s="251" t="s">
        <v>95</v>
      </c>
      <c r="E92" s="286">
        <f>SUM(E90:E91)</f>
        <v>55197076.700420596</v>
      </c>
      <c r="F92" s="286">
        <f>SUM(F90:F91)</f>
        <v>55197076.700420596</v>
      </c>
      <c r="G92" s="286">
        <f>E92-F92</f>
        <v>0</v>
      </c>
      <c r="H92" s="313"/>
      <c r="I92" s="262"/>
    </row>
    <row r="93" spans="2:18" x14ac:dyDescent="0.25">
      <c r="E93" s="261"/>
      <c r="F93" s="261"/>
      <c r="G93" s="262"/>
      <c r="H93" s="313"/>
      <c r="I93" s="262"/>
    </row>
    <row r="94" spans="2:18" x14ac:dyDescent="0.25">
      <c r="B94" s="251" t="s">
        <v>114</v>
      </c>
      <c r="E94" s="265"/>
      <c r="F94" s="263"/>
      <c r="G94" s="253"/>
      <c r="H94" s="313"/>
    </row>
    <row r="95" spans="2:18" ht="15.75" thickBot="1" x14ac:dyDescent="0.3">
      <c r="C95" s="251" t="s">
        <v>96</v>
      </c>
      <c r="E95" s="265">
        <f>'Veridian - 2019'!E57</f>
        <v>19389371.280000001</v>
      </c>
      <c r="F95" s="262">
        <f>'Veridian - 2019'!E57</f>
        <v>19389371.280000001</v>
      </c>
      <c r="G95" s="253"/>
      <c r="H95" s="313"/>
    </row>
    <row r="96" spans="2:18" x14ac:dyDescent="0.25">
      <c r="C96" s="251" t="s">
        <v>97</v>
      </c>
      <c r="E96" s="265">
        <f>'Veridian - 2019'!E58+'Veridian - 2019'!E59</f>
        <v>106242682.59943347</v>
      </c>
      <c r="F96" s="262">
        <f>'Veridian - 2019'!E59</f>
        <v>39305707.81311059</v>
      </c>
      <c r="G96" s="253"/>
      <c r="H96" s="313"/>
      <c r="I96" s="396" t="s">
        <v>177</v>
      </c>
    </row>
    <row r="97" spans="1:42" x14ac:dyDescent="0.25">
      <c r="C97" s="251" t="s">
        <v>200</v>
      </c>
      <c r="E97" s="265">
        <f>-'Veridian 2019 RPP Settlement'!J50</f>
        <v>-66681568.027186118</v>
      </c>
      <c r="F97" s="262"/>
      <c r="G97" s="253"/>
      <c r="H97" s="313"/>
      <c r="I97" s="397"/>
    </row>
    <row r="98" spans="1:42" x14ac:dyDescent="0.25">
      <c r="C98" s="20" t="str">
        <f>C46</f>
        <v xml:space="preserve">  Adjustment for OEB Accounting Guidance (UFE)</v>
      </c>
      <c r="E98" s="72">
        <f>-I46</f>
        <v>-255406.75913678409</v>
      </c>
      <c r="F98" s="262"/>
      <c r="G98" s="253"/>
      <c r="H98" s="313"/>
      <c r="I98" s="397"/>
    </row>
    <row r="99" spans="1:42" ht="15.75" thickBot="1" x14ac:dyDescent="0.3">
      <c r="C99" s="251" t="s">
        <v>99</v>
      </c>
      <c r="E99" s="347">
        <f>SUM(E95:E98)</f>
        <v>58695079.093110569</v>
      </c>
      <c r="F99" s="286">
        <f>SUM(F95:F97)</f>
        <v>58695079.093110591</v>
      </c>
      <c r="G99" s="286">
        <f>E99-F99</f>
        <v>0</v>
      </c>
      <c r="H99" s="314"/>
      <c r="I99" s="397"/>
      <c r="M99" s="264"/>
    </row>
    <row r="100" spans="1:42" x14ac:dyDescent="0.25">
      <c r="G100" s="253"/>
      <c r="H100" s="313"/>
      <c r="I100" s="306">
        <v>5.0000000000000001E-3</v>
      </c>
      <c r="O100" s="262"/>
    </row>
    <row r="101" spans="1:42" ht="15.75" thickBot="1" x14ac:dyDescent="0.3">
      <c r="B101" s="308" t="s">
        <v>159</v>
      </c>
      <c r="C101" s="308"/>
      <c r="D101" s="308"/>
      <c r="E101" s="309">
        <f>E99-E92</f>
        <v>3498002.3926899731</v>
      </c>
      <c r="F101" s="309">
        <f>F99-F92</f>
        <v>3498002.3926899955</v>
      </c>
      <c r="G101" s="309">
        <f>E101-F101</f>
        <v>-2.2351741790771484E-8</v>
      </c>
      <c r="H101" s="313"/>
      <c r="I101" s="310">
        <f>I100*F99</f>
        <v>293475.39546555298</v>
      </c>
      <c r="J101" s="261"/>
    </row>
    <row r="102" spans="1:42" ht="16.5" thickTop="1" thickBot="1" x14ac:dyDescent="0.3">
      <c r="B102" s="332" t="s">
        <v>203</v>
      </c>
      <c r="E102" s="315"/>
      <c r="F102" s="315"/>
      <c r="G102" s="253"/>
      <c r="H102" s="313"/>
      <c r="I102" s="348" t="str">
        <f>IF(ABS(E98)&lt;ABS(I101),"Not Applicable","Review")</f>
        <v>Not Applicable</v>
      </c>
      <c r="J102" s="261"/>
    </row>
    <row r="103" spans="1:42" x14ac:dyDescent="0.25">
      <c r="A103" s="253"/>
      <c r="B103" s="292"/>
      <c r="C103" s="277"/>
      <c r="D103" s="253"/>
      <c r="E103" s="265"/>
      <c r="F103" s="263"/>
      <c r="G103" s="261"/>
      <c r="H103" s="313"/>
      <c r="I103" s="253"/>
    </row>
    <row r="104" spans="1:42" hidden="1" x14ac:dyDescent="0.25">
      <c r="A104" s="253"/>
      <c r="B104" s="253"/>
      <c r="C104" s="253"/>
      <c r="D104" s="253"/>
      <c r="E104" s="263"/>
      <c r="F104" s="263"/>
      <c r="G104" s="263"/>
      <c r="H104" s="263"/>
      <c r="I104" s="263"/>
    </row>
    <row r="105" spans="1:42" hidden="1" x14ac:dyDescent="0.25">
      <c r="A105" s="253"/>
      <c r="B105" s="253"/>
      <c r="C105" s="253"/>
      <c r="D105" s="253"/>
      <c r="E105" s="265"/>
      <c r="F105" s="265"/>
      <c r="G105" s="265"/>
      <c r="H105" s="316"/>
      <c r="I105" s="265"/>
    </row>
    <row r="106" spans="1:42" hidden="1" x14ac:dyDescent="0.25">
      <c r="A106" s="253"/>
      <c r="B106" s="253"/>
      <c r="C106" s="253"/>
      <c r="D106" s="253"/>
      <c r="E106" s="265"/>
      <c r="F106" s="265"/>
      <c r="G106" s="265"/>
      <c r="H106" s="316"/>
      <c r="I106" s="265"/>
    </row>
    <row r="107" spans="1:42" hidden="1" x14ac:dyDescent="0.25">
      <c r="A107" s="253"/>
      <c r="B107" s="253"/>
      <c r="C107" s="253"/>
      <c r="D107" s="253"/>
      <c r="E107" s="265"/>
      <c r="F107" s="265"/>
      <c r="G107" s="265"/>
      <c r="H107" s="284"/>
      <c r="I107" s="265"/>
    </row>
    <row r="108" spans="1:42" hidden="1" x14ac:dyDescent="0.25">
      <c r="B108" s="253"/>
      <c r="C108" s="253"/>
      <c r="D108" s="253"/>
      <c r="E108" s="253"/>
      <c r="F108" s="253"/>
      <c r="G108" s="317"/>
    </row>
    <row r="109" spans="1:42" hidden="1" x14ac:dyDescent="0.25">
      <c r="B109" s="253"/>
      <c r="C109" s="253"/>
      <c r="D109" s="253"/>
      <c r="E109" s="253"/>
      <c r="F109" s="253"/>
      <c r="I109" s="262"/>
    </row>
    <row r="110" spans="1:42" hidden="1" x14ac:dyDescent="0.25">
      <c r="B110" s="253"/>
      <c r="C110" s="253"/>
      <c r="D110" s="253"/>
      <c r="E110" s="253"/>
      <c r="F110" s="253"/>
      <c r="G110" s="318"/>
      <c r="H110" s="319"/>
    </row>
    <row r="111" spans="1:42" ht="15.75" thickBot="1" x14ac:dyDescent="0.3">
      <c r="B111" s="253"/>
      <c r="C111" s="253"/>
      <c r="D111" s="253"/>
      <c r="E111" s="261"/>
      <c r="F111" s="253"/>
      <c r="G111" s="320"/>
      <c r="N111" s="274"/>
      <c r="O111" s="274"/>
      <c r="P111" s="274"/>
      <c r="Q111" s="274"/>
      <c r="R111" s="274"/>
      <c r="S111" s="274"/>
      <c r="T111" s="274"/>
      <c r="V111" s="274"/>
      <c r="X111" s="274"/>
      <c r="Z111" s="274"/>
      <c r="AB111" s="274"/>
      <c r="AE111" s="274"/>
      <c r="AG111" s="274"/>
      <c r="AK111" s="274"/>
      <c r="AL111" s="274"/>
      <c r="AM111" s="274"/>
      <c r="AO111" s="274"/>
      <c r="AP111" s="274"/>
    </row>
    <row r="112" spans="1:42" x14ac:dyDescent="0.25">
      <c r="B112" s="321"/>
      <c r="C112" s="322"/>
      <c r="D112" s="322"/>
      <c r="E112" s="322"/>
      <c r="F112" s="323"/>
      <c r="AO112" s="251" t="s">
        <v>117</v>
      </c>
    </row>
    <row r="113" spans="2:9" x14ac:dyDescent="0.25">
      <c r="B113" s="324" t="s">
        <v>178</v>
      </c>
      <c r="C113" s="253"/>
      <c r="D113" s="253"/>
      <c r="E113" s="253"/>
      <c r="F113" s="325"/>
    </row>
    <row r="114" spans="2:9" x14ac:dyDescent="0.25">
      <c r="B114" s="324" t="str">
        <f>IF(E114&gt;0,"DR","CR")</f>
        <v>DR</v>
      </c>
      <c r="C114" s="253" t="s">
        <v>115</v>
      </c>
      <c r="D114" s="253"/>
      <c r="E114" s="261">
        <f>E77</f>
        <v>149583.54578107878</v>
      </c>
      <c r="F114" s="325"/>
    </row>
    <row r="115" spans="2:9" x14ac:dyDescent="0.25">
      <c r="B115" s="324" t="str">
        <f>IF(E115&gt;0,"DR","CR")</f>
        <v>CR</v>
      </c>
      <c r="C115" s="253" t="s">
        <v>112</v>
      </c>
      <c r="D115" s="253"/>
      <c r="E115" s="141">
        <f>E98</f>
        <v>-255406.75913678409</v>
      </c>
      <c r="F115" s="325"/>
    </row>
    <row r="116" spans="2:9" x14ac:dyDescent="0.25">
      <c r="B116" s="324" t="str">
        <f>IF(E116&gt;0,"DR","CR")</f>
        <v>DR</v>
      </c>
      <c r="C116" s="71" t="s">
        <v>204</v>
      </c>
      <c r="D116" s="253"/>
      <c r="E116" s="141">
        <f>E12</f>
        <v>105823.21335567906</v>
      </c>
      <c r="F116" s="326"/>
    </row>
    <row r="117" spans="2:9" ht="15.75" thickBot="1" x14ac:dyDescent="0.3">
      <c r="B117" s="327"/>
      <c r="C117" s="288"/>
      <c r="D117" s="288"/>
      <c r="E117" s="344" t="str">
        <f>IF(ROUND(SUM(E114:E116),-2)=0,"","Check")</f>
        <v/>
      </c>
      <c r="F117" s="328"/>
      <c r="G117" s="260"/>
      <c r="I117" s="264"/>
    </row>
    <row r="120" spans="2:9" x14ac:dyDescent="0.25">
      <c r="E120" s="262"/>
      <c r="F120" s="262"/>
    </row>
    <row r="123" spans="2:9" x14ac:dyDescent="0.25">
      <c r="E123" s="262"/>
      <c r="F123" s="262"/>
      <c r="G123" s="262"/>
    </row>
    <row r="125" spans="2:9" x14ac:dyDescent="0.25">
      <c r="F125" s="260"/>
    </row>
    <row r="127" spans="2:9" x14ac:dyDescent="0.25">
      <c r="E127" s="260"/>
      <c r="F127" s="262"/>
    </row>
    <row r="129" spans="5:7" x14ac:dyDescent="0.25">
      <c r="E129" s="262"/>
      <c r="F129" s="262"/>
    </row>
    <row r="132" spans="5:7" x14ac:dyDescent="0.25">
      <c r="E132" s="262"/>
      <c r="F132" s="329"/>
      <c r="G132" s="262"/>
    </row>
    <row r="133" spans="5:7" x14ac:dyDescent="0.25">
      <c r="E133" s="262"/>
      <c r="F133" s="330"/>
      <c r="G133" s="262"/>
    </row>
    <row r="134" spans="5:7" x14ac:dyDescent="0.25">
      <c r="F134" s="331"/>
    </row>
    <row r="137" spans="5:7" x14ac:dyDescent="0.25">
      <c r="E137" s="262"/>
      <c r="F137" s="330"/>
      <c r="G137" s="262"/>
    </row>
    <row r="138" spans="5:7" x14ac:dyDescent="0.25">
      <c r="E138" s="262"/>
      <c r="F138" s="329"/>
      <c r="G138" s="262"/>
    </row>
    <row r="139" spans="5:7" x14ac:dyDescent="0.25">
      <c r="G139" s="262"/>
    </row>
  </sheetData>
  <mergeCells count="3">
    <mergeCell ref="I77:I78"/>
    <mergeCell ref="I96:I99"/>
    <mergeCell ref="L72:O73"/>
  </mergeCells>
  <pageMargins left="0.2" right="0.2" top="0.25" bottom="0.2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showGridLines="0" topLeftCell="A25" zoomScale="110" zoomScaleNormal="110" workbookViewId="0">
      <selection activeCell="B26" sqref="B26"/>
    </sheetView>
  </sheetViews>
  <sheetFormatPr defaultRowHeight="15" x14ac:dyDescent="0.25"/>
  <cols>
    <col min="1" max="1" width="16.42578125" customWidth="1"/>
    <col min="2" max="2" width="15.7109375" customWidth="1"/>
    <col min="3" max="3" width="17.28515625" bestFit="1" customWidth="1"/>
    <col min="4" max="5" width="13.7109375" customWidth="1"/>
    <col min="6" max="9" width="13.28515625" customWidth="1"/>
    <col min="10" max="10" width="25.42578125" customWidth="1"/>
    <col min="11" max="11" width="37.28515625" style="117" customWidth="1"/>
    <col min="12" max="12" width="18" style="117" bestFit="1" customWidth="1"/>
    <col min="13" max="14" width="12.7109375" style="117" customWidth="1"/>
  </cols>
  <sheetData>
    <row r="1" spans="1:14" ht="26.25" x14ac:dyDescent="0.4">
      <c r="A1" s="406" t="s">
        <v>172</v>
      </c>
      <c r="B1" s="406"/>
      <c r="C1" s="406"/>
      <c r="D1" s="406"/>
      <c r="E1" s="406"/>
      <c r="F1" s="406"/>
      <c r="G1" s="406"/>
      <c r="H1" s="406"/>
      <c r="I1" s="406"/>
      <c r="J1" s="116"/>
    </row>
    <row r="2" spans="1:14" ht="26.25" x14ac:dyDescent="0.4">
      <c r="A2" s="118"/>
      <c r="B2" s="118"/>
      <c r="C2" s="118"/>
      <c r="D2" s="118"/>
      <c r="E2" s="118"/>
      <c r="F2" s="118"/>
      <c r="G2" s="118"/>
      <c r="H2" s="118"/>
      <c r="I2" s="118"/>
      <c r="J2" s="116"/>
    </row>
    <row r="3" spans="1:14" x14ac:dyDescent="0.25">
      <c r="A3" s="2" t="s">
        <v>118</v>
      </c>
      <c r="I3" s="3"/>
    </row>
    <row r="4" spans="1:14" ht="29.45" customHeight="1" thickBot="1" x14ac:dyDescent="0.3">
      <c r="A4" s="407" t="s">
        <v>119</v>
      </c>
      <c r="B4" s="408"/>
      <c r="C4" s="409"/>
      <c r="D4" s="410" t="s">
        <v>120</v>
      </c>
      <c r="E4" s="411"/>
      <c r="F4" s="412" t="s">
        <v>121</v>
      </c>
      <c r="G4" s="413"/>
      <c r="I4" s="13"/>
    </row>
    <row r="5" spans="1:14" ht="30.75" thickBot="1" x14ac:dyDescent="0.3">
      <c r="A5" s="119" t="s">
        <v>122</v>
      </c>
      <c r="B5" s="120" t="s">
        <v>123</v>
      </c>
      <c r="C5" s="120" t="s">
        <v>124</v>
      </c>
      <c r="D5" s="121" t="s">
        <v>102</v>
      </c>
      <c r="E5" s="122" t="s">
        <v>36</v>
      </c>
      <c r="F5" s="365" t="s">
        <v>207</v>
      </c>
      <c r="G5" s="122" t="s">
        <v>36</v>
      </c>
      <c r="I5" s="13"/>
      <c r="K5" s="124"/>
      <c r="L5" s="125"/>
      <c r="M5" s="126"/>
    </row>
    <row r="6" spans="1:14" x14ac:dyDescent="0.25">
      <c r="A6" s="127" t="s">
        <v>125</v>
      </c>
      <c r="B6" s="128">
        <f>'Veridian - 2019'!D28</f>
        <v>645499682.26317048</v>
      </c>
      <c r="C6" s="128">
        <f>'Veridian - 2019'!E28</f>
        <v>645499682.26317048</v>
      </c>
      <c r="D6" s="129">
        <f>'Veridian 2019 RPP Settlement'!B24</f>
        <v>8.2310332824765797E-2</v>
      </c>
      <c r="E6" s="359">
        <f>C6*D6</f>
        <v>53131293.68536213</v>
      </c>
      <c r="F6" s="130"/>
      <c r="G6" s="130"/>
      <c r="I6" s="3"/>
      <c r="K6" s="124"/>
      <c r="L6" s="125"/>
      <c r="M6" s="126"/>
    </row>
    <row r="7" spans="1:14" s="117" customFormat="1" x14ac:dyDescent="0.25">
      <c r="A7" s="127" t="s">
        <v>126</v>
      </c>
      <c r="B7" s="131">
        <v>0</v>
      </c>
      <c r="C7" s="131">
        <f>-'Veridian - 2019'!D8</f>
        <v>299001433</v>
      </c>
      <c r="D7" s="132">
        <f>D9</f>
        <v>1.8355066380855111E-2</v>
      </c>
      <c r="E7" s="131">
        <f>+C7*D7</f>
        <v>5488191.1506858021</v>
      </c>
      <c r="F7" s="133"/>
      <c r="G7" s="131">
        <f>'Veridian - 2019'!E78</f>
        <v>19389371.280000001</v>
      </c>
      <c r="I7"/>
      <c r="J7"/>
      <c r="K7" s="124"/>
      <c r="L7" s="124"/>
      <c r="N7" s="124"/>
    </row>
    <row r="8" spans="1:14" s="117" customFormat="1" x14ac:dyDescent="0.25">
      <c r="A8" s="350" t="s">
        <v>206</v>
      </c>
      <c r="B8" s="351">
        <f>'Veridian - 2019'!D79</f>
        <v>17588393.41</v>
      </c>
      <c r="C8" s="351"/>
      <c r="D8" s="352"/>
      <c r="E8" s="351"/>
      <c r="F8" s="366">
        <f>'Veridian - 2019'!C48</f>
        <v>0.10347576006581974</v>
      </c>
      <c r="G8" s="351">
        <f>F8*B8</f>
        <v>1819972.3764364051</v>
      </c>
      <c r="H8" s="367" t="s">
        <v>209</v>
      </c>
      <c r="I8" s="417">
        <f>(G8+G9)/(B8+B9)</f>
        <v>9.5764290450978257E-2</v>
      </c>
      <c r="J8"/>
      <c r="K8" s="124"/>
      <c r="L8" s="124"/>
      <c r="N8" s="124"/>
    </row>
    <row r="9" spans="1:14" s="117" customFormat="1" ht="15.75" thickBot="1" x14ac:dyDescent="0.3">
      <c r="A9" s="127" t="s">
        <v>127</v>
      </c>
      <c r="B9" s="134">
        <f>'Veridian - 2019'!D29-B8</f>
        <v>356326614.48900968</v>
      </c>
      <c r="C9" s="134">
        <f>'Veridian - 2019'!D29</f>
        <v>373915007.8990097</v>
      </c>
      <c r="D9" s="336">
        <f>'Veridian - 2019'!C87+('Ver Settlement Comparison'!F68/(C9+C8+C7))</f>
        <v>1.8355066380855111E-2</v>
      </c>
      <c r="E9" s="360">
        <f>+D9*C9</f>
        <v>6863234.7907842863</v>
      </c>
      <c r="F9" s="354">
        <f>'Veridian - 2019'!C46</f>
        <v>9.5383649893018271E-2</v>
      </c>
      <c r="G9" s="134">
        <f>B9*F9</f>
        <v>33987733.04398419</v>
      </c>
      <c r="H9" s="367" t="s">
        <v>208</v>
      </c>
      <c r="I9" s="417"/>
      <c r="J9"/>
      <c r="N9" s="136"/>
    </row>
    <row r="10" spans="1:14" s="117" customFormat="1" ht="15.75" thickBot="1" x14ac:dyDescent="0.3">
      <c r="A10" s="133"/>
      <c r="B10" s="137">
        <f>SUM(B6:B9)</f>
        <v>1019414690.1621802</v>
      </c>
      <c r="C10" s="137">
        <f>SUM(C6:C9)</f>
        <v>1318416123.1621802</v>
      </c>
      <c r="D10" s="138"/>
      <c r="E10" s="333">
        <f>SUM(E6:E9)</f>
        <v>65482719.626832217</v>
      </c>
      <c r="F10" s="138"/>
      <c r="G10" s="333">
        <f>SUM(G6:G9)</f>
        <v>55197076.700420596</v>
      </c>
      <c r="I10"/>
      <c r="J10"/>
      <c r="K10" s="124"/>
      <c r="L10" s="139"/>
      <c r="M10" s="140"/>
    </row>
    <row r="11" spans="1:14" s="117" customFormat="1" ht="15.75" thickTop="1" x14ac:dyDescent="0.25">
      <c r="A11" s="3"/>
      <c r="B11" s="18"/>
      <c r="C11" s="18"/>
      <c r="D11" s="3"/>
      <c r="E11" s="141"/>
      <c r="F11" s="71"/>
      <c r="G11" s="141"/>
      <c r="I11"/>
      <c r="J11"/>
      <c r="K11" s="124"/>
      <c r="L11" s="139"/>
      <c r="M11" s="140"/>
    </row>
    <row r="12" spans="1:14" ht="15.75" thickBot="1" x14ac:dyDescent="0.3">
      <c r="A12" s="2" t="s">
        <v>128</v>
      </c>
      <c r="E12" s="7"/>
      <c r="G12" s="7"/>
      <c r="K12" s="124"/>
      <c r="L12" s="125"/>
      <c r="M12" s="140"/>
    </row>
    <row r="13" spans="1:14" s="117" customFormat="1" ht="16.5" thickBot="1" x14ac:dyDescent="0.3">
      <c r="A13" s="142"/>
      <c r="B13" s="143"/>
      <c r="C13" s="144"/>
      <c r="D13" s="414" t="s">
        <v>129</v>
      </c>
      <c r="E13" s="415"/>
      <c r="F13" s="415"/>
      <c r="G13" s="415"/>
      <c r="H13" s="415"/>
      <c r="I13" s="416"/>
      <c r="N13" s="136"/>
    </row>
    <row r="14" spans="1:14" s="117" customFormat="1" ht="29.45" customHeight="1" thickBot="1" x14ac:dyDescent="0.3">
      <c r="A14" s="400" t="s">
        <v>119</v>
      </c>
      <c r="B14" s="401"/>
      <c r="C14" s="402"/>
      <c r="D14" s="403" t="s">
        <v>130</v>
      </c>
      <c r="E14" s="404"/>
      <c r="F14" s="403" t="s">
        <v>131</v>
      </c>
      <c r="G14" s="405"/>
      <c r="H14" s="145" t="s">
        <v>132</v>
      </c>
      <c r="I14" s="146" t="s">
        <v>133</v>
      </c>
    </row>
    <row r="15" spans="1:14" s="117" customFormat="1" ht="48" customHeight="1" thickBot="1" x14ac:dyDescent="0.35">
      <c r="A15" s="119" t="s">
        <v>122</v>
      </c>
      <c r="B15" s="120" t="s">
        <v>134</v>
      </c>
      <c r="C15" s="120" t="s">
        <v>135</v>
      </c>
      <c r="D15" s="123" t="s">
        <v>136</v>
      </c>
      <c r="E15" s="122" t="s">
        <v>36</v>
      </c>
      <c r="F15" s="123" t="s">
        <v>137</v>
      </c>
      <c r="G15" s="122" t="s">
        <v>36</v>
      </c>
      <c r="H15" s="145" t="s">
        <v>36</v>
      </c>
      <c r="I15" s="147" t="s">
        <v>36</v>
      </c>
    </row>
    <row r="16" spans="1:14" s="117" customFormat="1" x14ac:dyDescent="0.25">
      <c r="A16" s="148" t="s">
        <v>138</v>
      </c>
      <c r="B16" s="356">
        <f>'Veridian - 2019'!D11</f>
        <v>647901958.69574082</v>
      </c>
      <c r="C16" s="149">
        <f>'Veridian - 2019'!E11</f>
        <v>647901958.69574082</v>
      </c>
      <c r="D16" s="150">
        <f>'Veridian - 2019'!C44</f>
        <v>1.9876393701681851E-2</v>
      </c>
      <c r="E16" s="149">
        <f>C16*D16</f>
        <v>12877954.411127357</v>
      </c>
      <c r="F16" s="381">
        <f>'Veridian - 2019'!C50</f>
        <v>0.10331343174370142</v>
      </c>
      <c r="G16" s="149">
        <f>B16*F16</f>
        <v>66936974.786322877</v>
      </c>
      <c r="H16" s="151">
        <f>'Veridian 2019 RPP Settlement'!K24</f>
        <v>-26482439.339386147</v>
      </c>
      <c r="I16" s="152">
        <f>+E16+G16+H16</f>
        <v>53332489.858064085</v>
      </c>
      <c r="J16" s="124"/>
      <c r="K16" s="124"/>
    </row>
    <row r="17" spans="1:12" s="117" customFormat="1" x14ac:dyDescent="0.25">
      <c r="A17" s="127" t="s">
        <v>126</v>
      </c>
      <c r="B17" s="153">
        <v>0</v>
      </c>
      <c r="C17" s="154">
        <f>-'Veridian - 2019'!D8</f>
        <v>299001433</v>
      </c>
      <c r="D17" s="155">
        <f>'Veridian - 2019'!C45</f>
        <v>1.8347929201549557E-2</v>
      </c>
      <c r="E17" s="154">
        <f>C17*D17</f>
        <v>5486057.1238458632</v>
      </c>
      <c r="F17" s="155"/>
      <c r="G17" s="154"/>
      <c r="H17" s="156"/>
      <c r="I17" s="157">
        <f>+E17+G17+H17</f>
        <v>5486057.1238458632</v>
      </c>
      <c r="J17" s="124"/>
      <c r="K17" s="158"/>
    </row>
    <row r="18" spans="1:12" s="117" customFormat="1" ht="15.75" thickBot="1" x14ac:dyDescent="0.3">
      <c r="A18" s="127" t="s">
        <v>127</v>
      </c>
      <c r="B18" s="357">
        <f>'Veridian - 2019'!D12</f>
        <v>375324549.67425919</v>
      </c>
      <c r="C18" s="154">
        <f>'Veridian - 2019'!D12</f>
        <v>375324549.67425919</v>
      </c>
      <c r="D18" s="159">
        <f>'Veridian - 2019'!C45</f>
        <v>1.8347929201549557E-2</v>
      </c>
      <c r="E18" s="160">
        <f>C18*D18</f>
        <v>6886428.2650267771</v>
      </c>
      <c r="F18" s="135"/>
      <c r="G18" s="161"/>
      <c r="H18" s="156"/>
      <c r="I18" s="157">
        <f>+E18+G18+H18</f>
        <v>6886428.2650267771</v>
      </c>
      <c r="J18" s="124"/>
    </row>
    <row r="19" spans="1:12" s="117" customFormat="1" ht="15.75" thickBot="1" x14ac:dyDescent="0.3">
      <c r="A19" s="133"/>
      <c r="B19" s="137">
        <f>SUM(B16:B18)</f>
        <v>1023226508.37</v>
      </c>
      <c r="C19" s="137">
        <f>SUM(C16:C18)</f>
        <v>1322227941.3699999</v>
      </c>
      <c r="D19" s="137"/>
      <c r="E19" s="137">
        <f>SUM(E16:E18)</f>
        <v>25250439.799999997</v>
      </c>
      <c r="F19" s="138"/>
      <c r="G19" s="137">
        <f>SUM(G16:G18)</f>
        <v>66936974.786322877</v>
      </c>
      <c r="H19" s="137">
        <f>SUM(H16:H18)</f>
        <v>-26482439.339386147</v>
      </c>
      <c r="I19" s="333">
        <f>SUM(I16:I18)</f>
        <v>65704975.246936724</v>
      </c>
      <c r="J19" s="124"/>
      <c r="K19" s="124"/>
      <c r="L19" s="124"/>
    </row>
    <row r="20" spans="1:12" s="117" customFormat="1" ht="15.75" thickTop="1" x14ac:dyDescent="0.25">
      <c r="A20"/>
      <c r="B20"/>
      <c r="C20"/>
      <c r="D20"/>
      <c r="E20" s="162"/>
      <c r="F20" s="163"/>
      <c r="G20" s="3"/>
      <c r="H20" s="3"/>
      <c r="I20" s="102"/>
      <c r="J20" s="7" t="s">
        <v>139</v>
      </c>
      <c r="K20" s="124"/>
    </row>
    <row r="21" spans="1:12" s="117" customFormat="1" x14ac:dyDescent="0.25">
      <c r="A21" s="2" t="s">
        <v>140</v>
      </c>
      <c r="B21"/>
      <c r="C21"/>
      <c r="D21"/>
      <c r="E21"/>
      <c r="F21"/>
      <c r="G21"/>
      <c r="H21"/>
      <c r="I21"/>
      <c r="J21"/>
      <c r="K21" s="125"/>
    </row>
    <row r="22" spans="1:12" s="117" customFormat="1" ht="16.149999999999999" customHeight="1" thickBot="1" x14ac:dyDescent="0.3">
      <c r="A22" s="407" t="s">
        <v>119</v>
      </c>
      <c r="B22" s="408"/>
      <c r="C22" s="409"/>
      <c r="D22" s="421" t="s">
        <v>141</v>
      </c>
      <c r="E22" s="422"/>
      <c r="F22" s="164"/>
      <c r="G22" s="165"/>
      <c r="H22" s="165"/>
      <c r="I22" s="165"/>
      <c r="J22" s="165"/>
      <c r="K22" s="136"/>
    </row>
    <row r="23" spans="1:12" s="117" customFormat="1" ht="45" customHeight="1" thickBot="1" x14ac:dyDescent="0.3">
      <c r="A23" s="119" t="s">
        <v>122</v>
      </c>
      <c r="B23" s="120" t="s">
        <v>134</v>
      </c>
      <c r="C23" s="120" t="s">
        <v>135</v>
      </c>
      <c r="D23" s="123" t="s">
        <v>137</v>
      </c>
      <c r="E23" s="166" t="s">
        <v>36</v>
      </c>
      <c r="F23" s="3"/>
      <c r="G23" s="167"/>
      <c r="H23" s="167"/>
      <c r="I23" s="3"/>
      <c r="J23" s="3"/>
    </row>
    <row r="24" spans="1:12" s="117" customFormat="1" x14ac:dyDescent="0.25">
      <c r="A24" s="127" t="s">
        <v>126</v>
      </c>
      <c r="B24" s="168"/>
      <c r="C24" s="154"/>
      <c r="D24" s="155"/>
      <c r="E24" s="154">
        <f>'Veridian - 2019'!E78</f>
        <v>19389371.280000001</v>
      </c>
      <c r="F24" s="87"/>
      <c r="G24" s="167"/>
      <c r="H24" s="167"/>
      <c r="I24" s="3"/>
      <c r="J24" s="3"/>
    </row>
    <row r="25" spans="1:12" s="117" customFormat="1" ht="15.75" thickBot="1" x14ac:dyDescent="0.3">
      <c r="A25" s="127" t="s">
        <v>127</v>
      </c>
      <c r="B25" s="168">
        <f>B18</f>
        <v>375324549.67425919</v>
      </c>
      <c r="C25" s="154"/>
      <c r="D25" s="336">
        <f>'Veridian - 2019'!C51</f>
        <v>0.10472458528818235</v>
      </c>
      <c r="E25" s="160">
        <f>+D25*B25</f>
        <v>39305707.81311059</v>
      </c>
      <c r="F25" s="87"/>
      <c r="G25" s="167"/>
      <c r="H25" s="167"/>
      <c r="I25" s="3"/>
      <c r="J25" s="3"/>
    </row>
    <row r="26" spans="1:12" s="117" customFormat="1" ht="15.75" thickBot="1" x14ac:dyDescent="0.3">
      <c r="A26" s="133"/>
      <c r="B26" s="134">
        <f>+B24+B25</f>
        <v>375324549.67425919</v>
      </c>
      <c r="C26" s="134">
        <f>+C24+C25</f>
        <v>0</v>
      </c>
      <c r="D26" s="169"/>
      <c r="E26" s="334">
        <f>+E24+E25</f>
        <v>58695079.093110591</v>
      </c>
      <c r="F26" s="87"/>
      <c r="G26" s="167"/>
      <c r="H26" s="170"/>
      <c r="I26" s="3"/>
      <c r="J26" s="3"/>
      <c r="K26" s="136"/>
    </row>
    <row r="27" spans="1:12" s="117" customFormat="1" x14ac:dyDescent="0.25">
      <c r="A27" s="3"/>
      <c r="B27" s="18"/>
      <c r="C27" s="18"/>
      <c r="D27" s="17"/>
      <c r="E27" s="141"/>
      <c r="F27" s="3"/>
      <c r="G27" s="167"/>
      <c r="H27" s="170"/>
      <c r="I27" s="3"/>
      <c r="J27" s="3"/>
      <c r="K27" s="136"/>
    </row>
    <row r="28" spans="1:12" s="117" customFormat="1" ht="15.75" thickBot="1" x14ac:dyDescent="0.3">
      <c r="A28" s="2" t="s">
        <v>142</v>
      </c>
      <c r="B28" s="17"/>
      <c r="C28" s="18"/>
      <c r="D28" s="3"/>
      <c r="E28"/>
      <c r="F28"/>
      <c r="G28"/>
      <c r="H28" s="7" t="s">
        <v>139</v>
      </c>
      <c r="I28"/>
      <c r="J28"/>
    </row>
    <row r="29" spans="1:12" s="117" customFormat="1" ht="15" customHeight="1" thickBot="1" x14ac:dyDescent="0.3">
      <c r="A29" s="171"/>
      <c r="B29" s="172"/>
      <c r="C29" s="423" t="s">
        <v>143</v>
      </c>
      <c r="D29" s="415"/>
      <c r="E29" s="415"/>
      <c r="F29" s="415"/>
      <c r="G29" s="415"/>
      <c r="H29" s="415"/>
      <c r="I29" s="416"/>
    </row>
    <row r="30" spans="1:12" s="117" customFormat="1" ht="15.75" thickBot="1" x14ac:dyDescent="0.3">
      <c r="A30" s="424"/>
      <c r="B30" s="425"/>
      <c r="C30" s="173"/>
      <c r="D30" s="13"/>
      <c r="E30" s="167"/>
      <c r="F30" s="430"/>
      <c r="G30" s="431"/>
      <c r="H30" s="431"/>
      <c r="I30" s="432"/>
    </row>
    <row r="31" spans="1:12" s="117" customFormat="1" ht="15" customHeight="1" thickBot="1" x14ac:dyDescent="0.3">
      <c r="A31" s="426"/>
      <c r="B31" s="427"/>
      <c r="C31" s="433" t="s">
        <v>144</v>
      </c>
      <c r="D31" s="434"/>
      <c r="E31" s="335">
        <f>+I19-E10</f>
        <v>222255.62010450661</v>
      </c>
      <c r="F31" s="418" t="s">
        <v>145</v>
      </c>
      <c r="G31" s="419"/>
      <c r="H31" s="419"/>
      <c r="I31" s="420"/>
      <c r="J31" s="124"/>
    </row>
    <row r="32" spans="1:12" s="117" customFormat="1" ht="16.5" thickTop="1" thickBot="1" x14ac:dyDescent="0.3">
      <c r="A32" s="428"/>
      <c r="B32" s="429"/>
      <c r="C32" s="174"/>
      <c r="E32" s="175"/>
      <c r="F32" s="435"/>
      <c r="G32" s="436"/>
      <c r="H32" s="436"/>
      <c r="I32" s="437"/>
    </row>
    <row r="33" spans="1:11" s="117" customFormat="1" ht="16.5" thickBot="1" x14ac:dyDescent="0.3">
      <c r="A33" s="119" t="s">
        <v>122</v>
      </c>
      <c r="B33" s="176" t="s">
        <v>146</v>
      </c>
      <c r="C33" s="177" t="s">
        <v>147</v>
      </c>
      <c r="D33" s="178" t="s">
        <v>148</v>
      </c>
      <c r="E33" s="179" t="s">
        <v>85</v>
      </c>
      <c r="F33" s="414" t="s">
        <v>149</v>
      </c>
      <c r="G33" s="415"/>
      <c r="H33" s="415"/>
      <c r="I33" s="416"/>
    </row>
    <row r="34" spans="1:11" s="117" customFormat="1" x14ac:dyDescent="0.25">
      <c r="A34" s="180" t="s">
        <v>125</v>
      </c>
      <c r="B34" s="181" t="s">
        <v>150</v>
      </c>
      <c r="C34" s="182">
        <f>+C16</f>
        <v>647901958.69574082</v>
      </c>
      <c r="D34" s="183">
        <f>((+I16)/C16)-D6</f>
        <v>5.3464879269243815E-6</v>
      </c>
      <c r="E34" s="184">
        <f>+C34*D34</f>
        <v>3463.9999999974375</v>
      </c>
      <c r="F34" s="419" t="s">
        <v>151</v>
      </c>
      <c r="G34" s="419"/>
      <c r="H34" s="419"/>
      <c r="I34" s="420"/>
    </row>
    <row r="35" spans="1:11" s="117" customFormat="1" x14ac:dyDescent="0.25">
      <c r="A35" s="180" t="s">
        <v>125</v>
      </c>
      <c r="B35" s="181" t="s">
        <v>152</v>
      </c>
      <c r="C35" s="185">
        <f>+C16-C6</f>
        <v>2402276.4325703382</v>
      </c>
      <c r="D35" s="186">
        <f>D6</f>
        <v>8.2310332824765797E-2</v>
      </c>
      <c r="E35" s="187">
        <f>+C35*D35</f>
        <v>197732.1727019556</v>
      </c>
      <c r="F35" s="419" t="s">
        <v>153</v>
      </c>
      <c r="G35" s="419"/>
      <c r="H35" s="419"/>
      <c r="I35" s="420"/>
    </row>
    <row r="36" spans="1:11" s="117" customFormat="1" x14ac:dyDescent="0.25">
      <c r="A36" s="188" t="s">
        <v>127</v>
      </c>
      <c r="B36" s="181" t="s">
        <v>154</v>
      </c>
      <c r="C36" s="185">
        <f>+C17+C18</f>
        <v>674325982.67425919</v>
      </c>
      <c r="D36" s="189">
        <f>+D17-D7</f>
        <v>-7.1371793055538535E-6</v>
      </c>
      <c r="E36" s="187">
        <f>+C36*D36</f>
        <v>-4812.7854487399891</v>
      </c>
      <c r="F36" s="419" t="s">
        <v>151</v>
      </c>
      <c r="G36" s="419"/>
      <c r="H36" s="419"/>
      <c r="I36" s="420"/>
      <c r="J36" s="190"/>
    </row>
    <row r="37" spans="1:11" s="117" customFormat="1" ht="15.75" thickBot="1" x14ac:dyDescent="0.3">
      <c r="A37" s="180" t="s">
        <v>127</v>
      </c>
      <c r="B37" s="181" t="s">
        <v>152</v>
      </c>
      <c r="C37" s="191">
        <f>(+C18+C17)-(C9+C7)</f>
        <v>1409541.7752494812</v>
      </c>
      <c r="D37" s="192">
        <f>+D7</f>
        <v>1.8355066380855111E-2</v>
      </c>
      <c r="E37" s="193">
        <f>+C37*D37</f>
        <v>25872.232851292585</v>
      </c>
      <c r="F37" s="419" t="s">
        <v>153</v>
      </c>
      <c r="G37" s="419"/>
      <c r="H37" s="419"/>
      <c r="I37" s="420"/>
      <c r="J37" s="190"/>
      <c r="K37" s="124">
        <f>E38-E31</f>
        <v>-9.8953023552894592E-10</v>
      </c>
    </row>
    <row r="38" spans="1:11" s="117" customFormat="1" ht="15.75" thickBot="1" x14ac:dyDescent="0.3">
      <c r="A38" s="194"/>
      <c r="B38" s="133"/>
      <c r="C38" s="195" t="s">
        <v>155</v>
      </c>
      <c r="D38" s="196"/>
      <c r="E38" s="197">
        <f>SUM(E34:E37)</f>
        <v>222255.62010450562</v>
      </c>
      <c r="F38" s="418"/>
      <c r="G38" s="419"/>
      <c r="H38" s="419"/>
      <c r="I38" s="420"/>
    </row>
    <row r="39" spans="1:11" s="117" customFormat="1" ht="15.75" thickTop="1" x14ac:dyDescent="0.25">
      <c r="A39" s="167"/>
      <c r="B39" s="3"/>
      <c r="C39" s="103"/>
      <c r="D39" s="3"/>
      <c r="E39" s="141"/>
      <c r="F39" s="103"/>
      <c r="G39" s="103"/>
      <c r="H39" s="103"/>
      <c r="I39" s="103"/>
    </row>
    <row r="40" spans="1:11" s="117" customFormat="1" ht="15.75" thickBot="1" x14ac:dyDescent="0.3">
      <c r="A40" s="2" t="s">
        <v>156</v>
      </c>
      <c r="B40" s="18"/>
      <c r="C40" s="18"/>
      <c r="D40"/>
      <c r="E40"/>
      <c r="F40"/>
      <c r="G40" s="190"/>
      <c r="H40" s="190"/>
      <c r="I40" s="167"/>
      <c r="J40"/>
    </row>
    <row r="41" spans="1:11" s="117" customFormat="1" ht="16.5" thickBot="1" x14ac:dyDescent="0.3">
      <c r="A41" s="171"/>
      <c r="B41" s="198"/>
      <c r="C41" s="423" t="s">
        <v>157</v>
      </c>
      <c r="D41" s="415"/>
      <c r="E41" s="415"/>
      <c r="F41" s="415" t="s">
        <v>149</v>
      </c>
      <c r="G41" s="415"/>
      <c r="H41" s="415"/>
      <c r="I41" s="416"/>
    </row>
    <row r="42" spans="1:11" s="117" customFormat="1" ht="15.75" thickBot="1" x14ac:dyDescent="0.3">
      <c r="A42" s="424"/>
      <c r="B42" s="425"/>
      <c r="C42" s="199"/>
      <c r="D42" s="13"/>
      <c r="E42" s="3"/>
      <c r="F42" s="435"/>
      <c r="G42" s="436"/>
      <c r="H42" s="436"/>
      <c r="I42" s="437"/>
    </row>
    <row r="43" spans="1:11" s="117" customFormat="1" ht="15" customHeight="1" thickBot="1" x14ac:dyDescent="0.3">
      <c r="A43" s="426"/>
      <c r="B43" s="427"/>
      <c r="C43" s="433" t="s">
        <v>144</v>
      </c>
      <c r="D43" s="434"/>
      <c r="E43" s="335">
        <f>+E26-G10</f>
        <v>3498002.3926899955</v>
      </c>
      <c r="F43" s="418" t="s">
        <v>145</v>
      </c>
      <c r="G43" s="419"/>
      <c r="H43" s="419"/>
      <c r="I43" s="420"/>
    </row>
    <row r="44" spans="1:11" s="117" customFormat="1" ht="16.5" thickTop="1" thickBot="1" x14ac:dyDescent="0.3">
      <c r="A44" s="428"/>
      <c r="B44" s="429"/>
      <c r="C44" s="174"/>
      <c r="E44" s="175"/>
      <c r="F44" s="435"/>
      <c r="G44" s="436"/>
      <c r="H44" s="436"/>
      <c r="I44" s="437"/>
    </row>
    <row r="45" spans="1:11" s="117" customFormat="1" ht="16.5" thickBot="1" x14ac:dyDescent="0.3">
      <c r="A45" s="119" t="s">
        <v>122</v>
      </c>
      <c r="B45" s="176" t="s">
        <v>146</v>
      </c>
      <c r="C45" s="177" t="s">
        <v>147</v>
      </c>
      <c r="D45" s="178" t="s">
        <v>148</v>
      </c>
      <c r="E45" s="179" t="s">
        <v>85</v>
      </c>
      <c r="F45" s="414" t="s">
        <v>149</v>
      </c>
      <c r="G45" s="415"/>
      <c r="H45" s="415"/>
      <c r="I45" s="416"/>
    </row>
    <row r="46" spans="1:11" s="117" customFormat="1" x14ac:dyDescent="0.25">
      <c r="A46" s="200" t="s">
        <v>127</v>
      </c>
      <c r="B46" s="201" t="s">
        <v>150</v>
      </c>
      <c r="C46" s="378">
        <f>+B25</f>
        <v>375324549.67425919</v>
      </c>
      <c r="D46" s="183">
        <f>+D25-I8</f>
        <v>8.9602948372040914E-3</v>
      </c>
      <c r="E46" s="202">
        <f>+D46*C46</f>
        <v>3363018.6247222153</v>
      </c>
      <c r="F46" s="438" t="s">
        <v>158</v>
      </c>
      <c r="G46" s="438"/>
      <c r="H46" s="438"/>
      <c r="I46" s="439"/>
      <c r="J46" s="203"/>
    </row>
    <row r="47" spans="1:11" s="117" customFormat="1" ht="15.75" thickBot="1" x14ac:dyDescent="0.3">
      <c r="A47" s="180" t="s">
        <v>127</v>
      </c>
      <c r="B47" s="181" t="s">
        <v>152</v>
      </c>
      <c r="C47" s="368">
        <f>(+B9+B8)-B25</f>
        <v>-1409541.7752494812</v>
      </c>
      <c r="D47" s="369">
        <f>-I8</f>
        <v>-9.5764290450978257E-2</v>
      </c>
      <c r="E47" s="204">
        <f>+C47*D47</f>
        <v>134983.76796777884</v>
      </c>
      <c r="F47" s="440" t="s">
        <v>153</v>
      </c>
      <c r="G47" s="440"/>
      <c r="H47" s="440"/>
      <c r="I47" s="441"/>
      <c r="J47" s="205"/>
    </row>
    <row r="48" spans="1:11" s="117" customFormat="1" ht="15.75" thickBot="1" x14ac:dyDescent="0.3">
      <c r="A48" s="194"/>
      <c r="B48" s="133"/>
      <c r="C48" s="195" t="s">
        <v>155</v>
      </c>
      <c r="D48" s="195"/>
      <c r="E48" s="197">
        <f>SUM(E46:E47)</f>
        <v>3498002.3926899941</v>
      </c>
      <c r="F48" s="442"/>
      <c r="G48" s="443"/>
      <c r="H48" s="443"/>
      <c r="I48" s="444"/>
    </row>
    <row r="49" spans="1:11" s="117" customFormat="1" ht="15.75" thickTop="1" x14ac:dyDescent="0.25">
      <c r="A49"/>
      <c r="B49" s="71"/>
      <c r="C49"/>
    </row>
    <row r="59" spans="1:11" x14ac:dyDescent="0.25">
      <c r="I59" s="206"/>
      <c r="J59" s="114"/>
      <c r="K59" s="136"/>
    </row>
    <row r="60" spans="1:11" x14ac:dyDescent="0.25">
      <c r="I60" s="206"/>
      <c r="J60" s="114"/>
      <c r="K60" s="136"/>
    </row>
    <row r="61" spans="1:11" x14ac:dyDescent="0.25">
      <c r="I61" s="33"/>
      <c r="J61" s="30"/>
      <c r="K61" s="136"/>
    </row>
  </sheetData>
  <mergeCells count="33">
    <mergeCell ref="F45:I45"/>
    <mergeCell ref="F46:I46"/>
    <mergeCell ref="F47:I47"/>
    <mergeCell ref="F48:I48"/>
    <mergeCell ref="C41:I41"/>
    <mergeCell ref="A42:B44"/>
    <mergeCell ref="F42:I42"/>
    <mergeCell ref="C43:D43"/>
    <mergeCell ref="F43:I43"/>
    <mergeCell ref="F44:I44"/>
    <mergeCell ref="F38:I38"/>
    <mergeCell ref="A22:C22"/>
    <mergeCell ref="D22:E22"/>
    <mergeCell ref="C29:I29"/>
    <mergeCell ref="A30:B32"/>
    <mergeCell ref="F30:I30"/>
    <mergeCell ref="C31:D31"/>
    <mergeCell ref="F31:I31"/>
    <mergeCell ref="F32:I32"/>
    <mergeCell ref="F33:I33"/>
    <mergeCell ref="F34:I34"/>
    <mergeCell ref="F35:I35"/>
    <mergeCell ref="F36:I36"/>
    <mergeCell ref="F37:I37"/>
    <mergeCell ref="A14:C14"/>
    <mergeCell ref="D14:E14"/>
    <mergeCell ref="F14:G14"/>
    <mergeCell ref="A1:I1"/>
    <mergeCell ref="A4:C4"/>
    <mergeCell ref="D4:E4"/>
    <mergeCell ref="F4:G4"/>
    <mergeCell ref="D13:I13"/>
    <mergeCell ref="I8:I9"/>
  </mergeCells>
  <pageMargins left="0.7" right="0.7" top="0.75" bottom="0.75" header="0.3" footer="0.3"/>
  <pageSetup paperSize="17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Veridian - 2019</vt:lpstr>
      <vt:lpstr>Veridian 2019 RPP Settlement</vt:lpstr>
      <vt:lpstr>Ver Settlement Comparison</vt:lpstr>
      <vt:lpstr>Final RSVA Balances</vt:lpstr>
      <vt:lpstr>'Ver Settlement Comparison'!Print_Area</vt:lpstr>
      <vt:lpstr>'Veridian - 2019'!Print_Area</vt:lpstr>
      <vt:lpstr>'Veridian 2019 RPP Settlement'!Print_Area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Reffle</dc:creator>
  <cp:lastModifiedBy>Cindy Perrin</cp:lastModifiedBy>
  <cp:lastPrinted>2019-08-08T00:57:19Z</cp:lastPrinted>
  <dcterms:created xsi:type="dcterms:W3CDTF">2019-07-16T19:41:05Z</dcterms:created>
  <dcterms:modified xsi:type="dcterms:W3CDTF">2020-03-18T02:29:05Z</dcterms:modified>
</cp:coreProperties>
</file>