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oardSec\8- Janet's Active Cases\EB-2020 CASES\EB-2020-0030 HONI 2021 Dx Annual Update\"/>
    </mc:Choice>
  </mc:AlternateContent>
  <bookViews>
    <workbookView xWindow="0" yWindow="0" windowWidth="19200" windowHeight="6756"/>
  </bookViews>
  <sheets>
    <sheet name="UR_2021" sheetId="1" r:id="rId1"/>
    <sheet name="R1_2021" sheetId="2" r:id="rId2"/>
    <sheet name="R2_2021" sheetId="3" r:id="rId3"/>
    <sheet name="Seasonal_2021" sheetId="4" r:id="rId4"/>
  </sheets>
  <externalReferences>
    <externalReference r:id="rId5"/>
    <externalReference r:id="rId6"/>
  </externalReferences>
  <definedNames>
    <definedName name="_xlnm.Print_Area" localSheetId="1">'R1_2021'!$A$1:$J$66</definedName>
    <definedName name="_xlnm.Print_Area" localSheetId="2">'R2_2021'!$A$1:$J$67</definedName>
    <definedName name="_xlnm.Print_Area" localSheetId="3">Seasonal_2021!$A$1:$J$67</definedName>
    <definedName name="_xlnm.Print_Area" localSheetId="0">UR_2021!$A$1:$J$65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4" l="1"/>
  <c r="B26" i="4"/>
  <c r="B32" i="4" s="1"/>
  <c r="D32" i="4" s="1"/>
  <c r="B25" i="4"/>
  <c r="B31" i="4" s="1"/>
  <c r="B22" i="4"/>
  <c r="B20" i="4"/>
  <c r="C32" i="4" s="1"/>
  <c r="B19" i="4"/>
  <c r="C31" i="4" s="1"/>
  <c r="B37" i="3"/>
  <c r="B31" i="3"/>
  <c r="D31" i="3" s="1"/>
  <c r="B26" i="3"/>
  <c r="B32" i="3" s="1"/>
  <c r="B25" i="3"/>
  <c r="B22" i="3"/>
  <c r="B20" i="3"/>
  <c r="C32" i="3" s="1"/>
  <c r="B19" i="3"/>
  <c r="C31" i="3" s="1"/>
  <c r="B37" i="2"/>
  <c r="B31" i="2"/>
  <c r="B26" i="2"/>
  <c r="B32" i="2" s="1"/>
  <c r="D32" i="2" s="1"/>
  <c r="B25" i="2"/>
  <c r="B22" i="2"/>
  <c r="B20" i="2"/>
  <c r="C32" i="2" s="1"/>
  <c r="B19" i="2"/>
  <c r="C31" i="2" s="1"/>
  <c r="B37" i="1"/>
  <c r="C32" i="1"/>
  <c r="B26" i="1"/>
  <c r="B32" i="1" s="1"/>
  <c r="D32" i="1" s="1"/>
  <c r="B25" i="1"/>
  <c r="B31" i="1" s="1"/>
  <c r="D31" i="1" s="1"/>
  <c r="B22" i="1"/>
  <c r="B20" i="1"/>
  <c r="B19" i="1"/>
  <c r="C31" i="1" s="1"/>
  <c r="D31" i="2" l="1"/>
  <c r="D31" i="4"/>
  <c r="D33" i="1"/>
  <c r="E32" i="1" s="1"/>
  <c r="B41" i="1" s="1"/>
  <c r="C41" i="1" s="1"/>
  <c r="D41" i="1" s="1"/>
  <c r="D32" i="3"/>
  <c r="D33" i="2" l="1"/>
  <c r="E32" i="2" s="1"/>
  <c r="B41" i="2" s="1"/>
  <c r="C41" i="2" s="1"/>
  <c r="D41" i="2" s="1"/>
  <c r="E32" i="3"/>
  <c r="B41" i="3" s="1"/>
  <c r="C41" i="3" s="1"/>
  <c r="D41" i="3" s="1"/>
  <c r="E31" i="1"/>
  <c r="D33" i="3"/>
  <c r="E31" i="3" s="1"/>
  <c r="D33" i="4"/>
  <c r="E32" i="4" s="1"/>
  <c r="B41" i="4" s="1"/>
  <c r="C41" i="4" s="1"/>
  <c r="D41" i="4" s="1"/>
  <c r="E31" i="4"/>
  <c r="B45" i="4" l="1"/>
  <c r="B40" i="4"/>
  <c r="B45" i="1"/>
  <c r="B40" i="1"/>
  <c r="B45" i="3"/>
  <c r="B40" i="3"/>
  <c r="E31" i="2"/>
  <c r="B46" i="1" l="1"/>
  <c r="C46" i="1" s="1"/>
  <c r="D46" i="1" s="1"/>
  <c r="E46" i="1" s="1"/>
  <c r="C45" i="1"/>
  <c r="B45" i="2"/>
  <c r="B40" i="2"/>
  <c r="C40" i="3"/>
  <c r="D40" i="3" s="1"/>
  <c r="D42" i="3" s="1"/>
  <c r="B42" i="3"/>
  <c r="B42" i="4"/>
  <c r="C40" i="4"/>
  <c r="D40" i="4" s="1"/>
  <c r="D42" i="4" s="1"/>
  <c r="C40" i="1"/>
  <c r="D40" i="1" s="1"/>
  <c r="D42" i="1" s="1"/>
  <c r="B42" i="1"/>
  <c r="B46" i="3"/>
  <c r="C46" i="3" s="1"/>
  <c r="D46" i="3" s="1"/>
  <c r="E46" i="3" s="1"/>
  <c r="C45" i="3"/>
  <c r="B46" i="4"/>
  <c r="C46" i="4" s="1"/>
  <c r="D46" i="4" s="1"/>
  <c r="E46" i="4" s="1"/>
  <c r="C45" i="4"/>
  <c r="C47" i="3" l="1"/>
  <c r="D45" i="3"/>
  <c r="B46" i="2"/>
  <c r="C46" i="2" s="1"/>
  <c r="D46" i="2" s="1"/>
  <c r="E46" i="2" s="1"/>
  <c r="C45" i="2"/>
  <c r="C40" i="2"/>
  <c r="D40" i="2" s="1"/>
  <c r="D42" i="2" s="1"/>
  <c r="B42" i="2"/>
  <c r="C47" i="4"/>
  <c r="D45" i="4"/>
  <c r="C47" i="1"/>
  <c r="D45" i="1"/>
  <c r="C47" i="2" l="1"/>
  <c r="D45" i="2"/>
  <c r="B51" i="1"/>
  <c r="B52" i="1" s="1"/>
  <c r="E45" i="1"/>
  <c r="E47" i="1" s="1"/>
  <c r="B50" i="1"/>
  <c r="B51" i="3"/>
  <c r="B52" i="3" s="1"/>
  <c r="E45" i="3"/>
  <c r="E47" i="3" s="1"/>
  <c r="B50" i="3"/>
  <c r="B51" i="4"/>
  <c r="B52" i="4" s="1"/>
  <c r="E45" i="4"/>
  <c r="E47" i="4" s="1"/>
  <c r="B50" i="4"/>
  <c r="B51" i="2" l="1"/>
  <c r="B52" i="2" s="1"/>
  <c r="E45" i="2"/>
  <c r="E47" i="2" s="1"/>
  <c r="B50" i="2"/>
</calcChain>
</file>

<file path=xl/sharedStrings.xml><?xml version="1.0" encoding="utf-8"?>
<sst xmlns="http://schemas.openxmlformats.org/spreadsheetml/2006/main" count="188" uniqueCount="39">
  <si>
    <t>New Rate Design Policy For Residential Customers</t>
  </si>
  <si>
    <t>Please complete the following tables.</t>
  </si>
  <si>
    <t>Year-Round Urban Density Residential (UR) - Proposed 2021 Distribution Rates</t>
  </si>
  <si>
    <t>A Data Inputs (from Sheet 10. Load Forecast)</t>
  </si>
  <si>
    <t>Test Year Billing Determinants for Residential Class</t>
  </si>
  <si>
    <t>Customers</t>
  </si>
  <si>
    <t>kWh</t>
  </si>
  <si>
    <r>
      <t>Proposed Residential Class Specific Revenue Requirement</t>
    </r>
    <r>
      <rPr>
        <vertAlign val="superscript"/>
        <sz val="10"/>
        <rFont val="Arial"/>
        <family val="2"/>
      </rPr>
      <t>1</t>
    </r>
  </si>
  <si>
    <t>Residential Base Rates on Current Tariff</t>
  </si>
  <si>
    <t>Monthly Fixed Charge ($)</t>
  </si>
  <si>
    <t>Distribution Volumetric Rate ($/kWh)</t>
  </si>
  <si>
    <t>B Current Fixed/Variable Split</t>
  </si>
  <si>
    <t>Base Rates</t>
  </si>
  <si>
    <t>Billing Determinants</t>
  </si>
  <si>
    <t>Revenue</t>
  </si>
  <si>
    <t>% of Total Revenue</t>
  </si>
  <si>
    <t>Fixed</t>
  </si>
  <si>
    <t>Variable</t>
  </si>
  <si>
    <t>TOTAL</t>
  </si>
  <si>
    <t>-</t>
  </si>
  <si>
    <t>C Calculating Test Year Base Rates</t>
  </si>
  <si>
    <r>
      <t>Number of Remaining Rate Design Policy Transition Years</t>
    </r>
    <r>
      <rPr>
        <vertAlign val="superscript"/>
        <sz val="10"/>
        <rFont val="Arial"/>
        <family val="2"/>
      </rPr>
      <t>2</t>
    </r>
  </si>
  <si>
    <t>Test Year Revenue @ Current F/V Split</t>
  </si>
  <si>
    <t>Test Year Base Rates @ Current F/V Split</t>
  </si>
  <si>
    <t>Reconciliation - Test Year Base Rates @ Current F/V Split</t>
  </si>
  <si>
    <t>New F/V Split</t>
  </si>
  <si>
    <t>Revenue @ new
 F/V Split</t>
  </si>
  <si>
    <t>Final Adjusted 
Base Rates</t>
  </si>
  <si>
    <t>Revenue Reconciliation @ Adjusted Rates</t>
  </si>
  <si>
    <r>
      <t>Checks</t>
    </r>
    <r>
      <rPr>
        <b/>
        <vertAlign val="superscript"/>
        <sz val="10"/>
        <rFont val="Arial"/>
        <family val="2"/>
      </rPr>
      <t>3</t>
    </r>
  </si>
  <si>
    <t>Change in Fixed Rate</t>
  </si>
  <si>
    <t>Difference Between Revenues @ Proposed Rates and Class Specific Revenue Requirement</t>
  </si>
  <si>
    <t>Notes:</t>
  </si>
  <si>
    <t>The final residential class specific revenue requirement, excluding allocated Miscellaneous Revenues, as shown on Sheet 11. Cost Allocation, should be used (i.e. the revenue requirement after any proposed adjustments to R/C ratios).</t>
  </si>
  <si>
    <t>The distributor should enter the number of years remaining before the transition to fully fixed rates is completed. A distributor transitioning to fully fixed rates over a four year period and began the transition in 2016 would input the number "3" into cell D40. A distributor transitioning over a five-year period would input the number "4". Where the change in the residential rate design will result in the fixed charge increasing by more than $4/year, a distributor may propose an additional transition year.</t>
  </si>
  <si>
    <t>Change in fixed rate due to rate design policy should be less than $4. The difference between the proposed class revenue requirement and the revenue at calculated base rates should be minimal (i.e. should be reasonably considered as a rounding error)</t>
  </si>
  <si>
    <t>Year-Round Medium Density Residential (R1) - Proposed 2021 Distribution Rates</t>
  </si>
  <si>
    <t>Year-Round Low Density Residential (R2) - Proposed 2021 Distribution Rates</t>
  </si>
  <si>
    <t>Seasonal Residential - Proposed 2021 Distribution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</si>
</sst>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??_-;_-@_-"/>
    <numFmt numFmtId="166" formatCode="_-&quot;$&quot;* #,##0.00_-;\-&quot;$&quot;* #,##0.00_-;_-&quot;$&quot;* &quot;-&quot;??_-;_-@_-"/>
    <numFmt numFmtId="167" formatCode="_-&quot;$&quot;* #,##0.0000_-;\-&quot;$&quot;* #,##0.0000_-;_-&quot;$&quot;* &quot;-&quot;????_-;_-@_-"/>
    <numFmt numFmtId="168" formatCode="_(&quot;$&quot;* #,##0.0000_);_(&quot;$&quot;* \(#,##0.0000\);_(&quot;$&quot;* &quot;-&quot;??_);_(@_)"/>
    <numFmt numFmtId="169" formatCode="_-&quot;$&quot;* #,##0.0000000_-;\-&quot;$&quot;* #,##0.0000000_-;_-&quot;$&quot;* &quot;-&quot;????_-;_-@_-"/>
    <numFmt numFmtId="170" formatCode="&quot;$&quot;#,##0.00;[Red]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lightGrid">
        <fgColor theme="6" tint="0.79982909634693444"/>
        <bgColor auto="1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0" fontId="2" fillId="0" borderId="0" xfId="0" applyFont="1"/>
    <xf numFmtId="0" fontId="4" fillId="0" borderId="0" xfId="2" applyFont="1" applyProtection="1"/>
    <xf numFmtId="0" fontId="3" fillId="0" borderId="3" xfId="2" applyFont="1" applyBorder="1" applyProtection="1"/>
    <xf numFmtId="165" fontId="3" fillId="0" borderId="4" xfId="3" applyNumberFormat="1" applyFont="1" applyFill="1" applyBorder="1" applyAlignment="1" applyProtection="1">
      <alignment horizontal="right" vertical="top"/>
    </xf>
    <xf numFmtId="0" fontId="3" fillId="0" borderId="5" xfId="2" applyFont="1" applyBorder="1" applyProtection="1"/>
    <xf numFmtId="165" fontId="3" fillId="0" borderId="6" xfId="3" applyNumberFormat="1" applyFont="1" applyFill="1" applyBorder="1" applyAlignment="1" applyProtection="1">
      <alignment horizontal="right" vertical="top"/>
    </xf>
    <xf numFmtId="165" fontId="0" fillId="0" borderId="0" xfId="0" applyNumberFormat="1"/>
    <xf numFmtId="0" fontId="3" fillId="0" borderId="7" xfId="2" applyFont="1" applyBorder="1" applyAlignment="1" applyProtection="1">
      <alignment wrapText="1"/>
    </xf>
    <xf numFmtId="166" fontId="3" fillId="2" borderId="8" xfId="4" applyFont="1" applyFill="1" applyBorder="1" applyAlignment="1" applyProtection="1">
      <alignment horizontal="right" vertical="top"/>
      <protection locked="0"/>
    </xf>
    <xf numFmtId="166" fontId="3" fillId="3" borderId="4" xfId="2" applyNumberFormat="1" applyFont="1" applyFill="1" applyBorder="1" applyAlignment="1" applyProtection="1">
      <alignment horizontal="right" vertical="top"/>
      <protection locked="0"/>
    </xf>
    <xf numFmtId="167" fontId="3" fillId="3" borderId="6" xfId="2" applyNumberFormat="1" applyFont="1" applyFill="1" applyBorder="1" applyAlignment="1" applyProtection="1">
      <alignment horizontal="right" vertical="top"/>
      <protection locked="0"/>
    </xf>
    <xf numFmtId="0" fontId="3" fillId="0" borderId="9" xfId="2" applyBorder="1" applyAlignment="1" applyProtection="1">
      <alignment horizontal="center"/>
    </xf>
    <xf numFmtId="0" fontId="4" fillId="0" borderId="10" xfId="2" applyFont="1" applyBorder="1" applyAlignment="1" applyProtection="1">
      <alignment horizontal="center"/>
    </xf>
    <xf numFmtId="0" fontId="4" fillId="0" borderId="11" xfId="2" applyFont="1" applyBorder="1" applyAlignment="1" applyProtection="1">
      <alignment horizontal="center"/>
    </xf>
    <xf numFmtId="0" fontId="4" fillId="0" borderId="12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horizontal="center"/>
    </xf>
    <xf numFmtId="44" fontId="3" fillId="0" borderId="14" xfId="1" applyFont="1" applyBorder="1" applyProtection="1"/>
    <xf numFmtId="165" fontId="3" fillId="0" borderId="15" xfId="3" applyNumberFormat="1" applyFont="1" applyBorder="1" applyProtection="1"/>
    <xf numFmtId="166" fontId="3" fillId="0" borderId="14" xfId="4" applyFont="1" applyBorder="1" applyProtection="1"/>
    <xf numFmtId="10" fontId="3" fillId="0" borderId="4" xfId="5" applyNumberFormat="1" applyFont="1" applyBorder="1" applyProtection="1"/>
    <xf numFmtId="168" fontId="3" fillId="0" borderId="14" xfId="1" applyNumberFormat="1" applyFont="1" applyBorder="1" applyProtection="1"/>
    <xf numFmtId="165" fontId="3" fillId="0" borderId="16" xfId="3" applyNumberFormat="1" applyFont="1" applyBorder="1" applyProtection="1"/>
    <xf numFmtId="0" fontId="4" fillId="0" borderId="5" xfId="2" applyFont="1" applyBorder="1" applyProtection="1"/>
    <xf numFmtId="0" fontId="3" fillId="0" borderId="17" xfId="2" applyFont="1" applyBorder="1" applyAlignment="1" applyProtection="1">
      <alignment horizontal="center"/>
    </xf>
    <xf numFmtId="165" fontId="3" fillId="0" borderId="18" xfId="3" applyNumberFormat="1" applyFont="1" applyBorder="1" applyAlignment="1" applyProtection="1">
      <alignment horizontal="center"/>
    </xf>
    <xf numFmtId="166" fontId="3" fillId="0" borderId="19" xfId="4" applyFont="1" applyBorder="1" applyProtection="1"/>
    <xf numFmtId="0" fontId="3" fillId="0" borderId="6" xfId="2" applyFont="1" applyBorder="1" applyAlignment="1" applyProtection="1">
      <alignment horizontal="center"/>
    </xf>
    <xf numFmtId="0" fontId="4" fillId="0" borderId="0" xfId="2" applyFont="1" applyFill="1" applyBorder="1" applyProtection="1"/>
    <xf numFmtId="0" fontId="3" fillId="0" borderId="7" xfId="2" applyFont="1" applyFill="1" applyBorder="1" applyAlignment="1" applyProtection="1">
      <alignment wrapText="1"/>
    </xf>
    <xf numFmtId="0" fontId="3" fillId="3" borderId="8" xfId="2" applyFont="1" applyFill="1" applyBorder="1" applyAlignment="1" applyProtection="1">
      <alignment horizontal="center" vertical="center"/>
      <protection locked="0"/>
    </xf>
    <xf numFmtId="0" fontId="3" fillId="0" borderId="9" xfId="2" applyFont="1" applyBorder="1" applyProtection="1"/>
    <xf numFmtId="0" fontId="4" fillId="0" borderId="11" xfId="2" applyFont="1" applyBorder="1" applyAlignment="1" applyProtection="1">
      <alignment horizontal="center" vertical="center" wrapText="1"/>
    </xf>
    <xf numFmtId="0" fontId="4" fillId="0" borderId="10" xfId="2" applyFont="1" applyBorder="1" applyAlignment="1" applyProtection="1">
      <alignment horizontal="center" vertical="center" wrapText="1"/>
    </xf>
    <xf numFmtId="0" fontId="4" fillId="0" borderId="20" xfId="2" applyFont="1" applyBorder="1" applyAlignment="1" applyProtection="1">
      <alignment horizontal="center" wrapText="1"/>
    </xf>
    <xf numFmtId="44" fontId="3" fillId="0" borderId="21" xfId="1" applyFont="1" applyBorder="1" applyProtection="1"/>
    <xf numFmtId="166" fontId="3" fillId="0" borderId="4" xfId="4" applyFont="1" applyBorder="1" applyProtection="1"/>
    <xf numFmtId="0" fontId="3" fillId="0" borderId="22" xfId="2" applyFont="1" applyBorder="1" applyProtection="1"/>
    <xf numFmtId="166" fontId="3" fillId="0" borderId="16" xfId="4" applyFont="1" applyBorder="1" applyProtection="1"/>
    <xf numFmtId="168" fontId="3" fillId="0" borderId="23" xfId="1" applyNumberFormat="1" applyFont="1" applyBorder="1" applyProtection="1"/>
    <xf numFmtId="0" fontId="3" fillId="0" borderId="24" xfId="2" applyFont="1" applyFill="1" applyBorder="1" applyProtection="1"/>
    <xf numFmtId="166" fontId="3" fillId="0" borderId="18" xfId="4" applyFont="1" applyBorder="1" applyProtection="1"/>
    <xf numFmtId="0" fontId="3" fillId="0" borderId="25" xfId="2" applyBorder="1" applyAlignment="1" applyProtection="1">
      <alignment horizontal="center"/>
    </xf>
    <xf numFmtId="166" fontId="3" fillId="0" borderId="26" xfId="4" applyFont="1" applyBorder="1" applyProtection="1"/>
    <xf numFmtId="0" fontId="4" fillId="0" borderId="11" xfId="2" applyFont="1" applyBorder="1" applyAlignment="1" applyProtection="1">
      <alignment horizontal="center" wrapText="1"/>
    </xf>
    <xf numFmtId="0" fontId="4" fillId="0" borderId="10" xfId="2" applyFont="1" applyBorder="1" applyAlignment="1" applyProtection="1">
      <alignment horizontal="center" wrapText="1"/>
    </xf>
    <xf numFmtId="0" fontId="4" fillId="0" borderId="13" xfId="2" applyFont="1" applyBorder="1" applyAlignment="1" applyProtection="1">
      <alignment horizontal="center" wrapText="1"/>
    </xf>
    <xf numFmtId="10" fontId="3" fillId="0" borderId="14" xfId="5" applyNumberFormat="1" applyFont="1" applyBorder="1" applyProtection="1"/>
    <xf numFmtId="166" fontId="3" fillId="0" borderId="14" xfId="2" applyNumberFormat="1" applyBorder="1" applyProtection="1"/>
    <xf numFmtId="166" fontId="3" fillId="0" borderId="21" xfId="2" applyNumberFormat="1" applyBorder="1" applyProtection="1"/>
    <xf numFmtId="10" fontId="3" fillId="0" borderId="16" xfId="5" applyNumberFormat="1" applyFont="1" applyBorder="1" applyProtection="1"/>
    <xf numFmtId="166" fontId="3" fillId="0" borderId="16" xfId="2" applyNumberFormat="1" applyBorder="1" applyProtection="1"/>
    <xf numFmtId="169" fontId="3" fillId="0" borderId="23" xfId="2" applyNumberFormat="1" applyBorder="1" applyProtection="1"/>
    <xf numFmtId="166" fontId="3" fillId="0" borderId="27" xfId="4" applyFont="1" applyBorder="1" applyProtection="1"/>
    <xf numFmtId="0" fontId="3" fillId="0" borderId="18" xfId="2" applyBorder="1" applyAlignment="1" applyProtection="1">
      <alignment horizontal="center"/>
    </xf>
    <xf numFmtId="166" fontId="3" fillId="0" borderId="6" xfId="4" applyFont="1" applyBorder="1" applyProtection="1"/>
    <xf numFmtId="170" fontId="3" fillId="0" borderId="27" xfId="4" applyNumberFormat="1" applyFont="1" applyBorder="1" applyProtection="1"/>
    <xf numFmtId="10" fontId="3" fillId="0" borderId="6" xfId="5" applyNumberFormat="1" applyFont="1" applyBorder="1" applyProtection="1"/>
    <xf numFmtId="0" fontId="3" fillId="0" borderId="0" xfId="6" applyProtection="1"/>
    <xf numFmtId="0" fontId="3" fillId="0" borderId="0" xfId="2" applyProtection="1"/>
    <xf numFmtId="0" fontId="5" fillId="0" borderId="0" xfId="6" applyFont="1" applyAlignment="1" applyProtection="1">
      <alignment horizontal="center" vertical="center"/>
    </xf>
    <xf numFmtId="0" fontId="5" fillId="0" borderId="0" xfId="6" applyFont="1" applyAlignment="1" applyProtection="1">
      <alignment horizontal="center"/>
    </xf>
    <xf numFmtId="167" fontId="3" fillId="0" borderId="23" xfId="2" applyNumberFormat="1" applyBorder="1" applyProtection="1"/>
    <xf numFmtId="0" fontId="3" fillId="0" borderId="0" xfId="2" applyFont="1" applyFill="1" applyAlignment="1" applyProtection="1">
      <alignment horizontal="left" vertical="top" wrapText="1"/>
    </xf>
    <xf numFmtId="0" fontId="4" fillId="0" borderId="1" xfId="2" applyFont="1" applyBorder="1" applyAlignment="1" applyProtection="1">
      <alignment horizontal="center"/>
    </xf>
    <xf numFmtId="0" fontId="4" fillId="0" borderId="2" xfId="2" applyFont="1" applyBorder="1" applyAlignment="1" applyProtection="1">
      <alignment horizontal="center"/>
    </xf>
    <xf numFmtId="0" fontId="4" fillId="0" borderId="9" xfId="2" applyFont="1" applyBorder="1" applyAlignment="1" applyProtection="1">
      <alignment horizontal="center"/>
    </xf>
    <xf numFmtId="0" fontId="4" fillId="0" borderId="13" xfId="2" applyFont="1" applyBorder="1" applyAlignment="1" applyProtection="1">
      <alignment horizontal="center"/>
    </xf>
    <xf numFmtId="0" fontId="3" fillId="0" borderId="22" xfId="2" applyFont="1" applyBorder="1" applyAlignment="1" applyProtection="1">
      <alignment wrapText="1"/>
    </xf>
    <xf numFmtId="0" fontId="3" fillId="0" borderId="28" xfId="2" applyFont="1" applyBorder="1" applyAlignment="1" applyProtection="1">
      <alignment wrapText="1"/>
    </xf>
    <xf numFmtId="0" fontId="3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</cellXfs>
  <cellStyles count="7">
    <cellStyle name="Comma 2" xfId="3"/>
    <cellStyle name="Currency" xfId="1" builtinId="4"/>
    <cellStyle name="Currency 2" xfId="4"/>
    <cellStyle name="Normal" xfId="0" builtinId="0"/>
    <cellStyle name="Normal 2" xfId="2"/>
    <cellStyle name="Normal 3" xfId="6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688625" cy="1811655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922517" cy="1801072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909288" cy="1827530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211454</xdr:colOff>
      <xdr:row>0</xdr:row>
      <xdr:rowOff>0</xdr:rowOff>
    </xdr:from>
    <xdr:to>
      <xdr:col>14</xdr:col>
      <xdr:colOff>222054</xdr:colOff>
      <xdr:row>10</xdr:row>
      <xdr:rowOff>1905</xdr:rowOff>
    </xdr:to>
    <xdr:grpSp>
      <xdr:nvGrpSpPr>
        <xdr:cNvPr id="2" name="Group 1"/>
        <xdr:cNvGrpSpPr/>
      </xdr:nvGrpSpPr>
      <xdr:grpSpPr>
        <a:xfrm>
          <a:off x="211454" y="0"/>
          <a:ext cx="14878671" cy="1816191"/>
          <a:chOff x="0" y="0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/>
          <xdr:cNvSpPr/>
        </xdr:nvSpPr>
        <xdr:spPr>
          <a:xfrm>
            <a:off x="109899" y="453911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(RRWF)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178512" y="150375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/>
          <xdr:cNvSpPr/>
        </xdr:nvSpPr>
        <xdr:spPr>
          <a:xfrm>
            <a:off x="519059" y="120121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Rate%20Design_2021_v39_D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hydroone.com/Dist%20Pric/2018-2022%20DX%20Rates/2021/RRWF_v39_2021D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1 Rev at 2020 Rate"/>
    </sheetNames>
    <sheetDataSet>
      <sheetData sheetId="0">
        <row r="8">
          <cell r="C8">
            <v>235237.81003627038</v>
          </cell>
          <cell r="D8">
            <v>1919.9300378522114</v>
          </cell>
          <cell r="K8">
            <v>4254822.5438765539</v>
          </cell>
          <cell r="Q8">
            <v>104941595.08251563</v>
          </cell>
        </row>
        <row r="9">
          <cell r="C9">
            <v>459104.35121199378</v>
          </cell>
          <cell r="D9">
            <v>4588.9687764192404</v>
          </cell>
          <cell r="K9">
            <v>11337235.807747448</v>
          </cell>
          <cell r="Q9">
            <v>344034751.03477061</v>
          </cell>
        </row>
        <row r="10">
          <cell r="C10">
            <v>333606.98067436524</v>
          </cell>
          <cell r="D10">
            <v>4181.1736379573804</v>
          </cell>
          <cell r="K10">
            <v>13847985.735440185</v>
          </cell>
          <cell r="Q10">
            <v>560002335.67631245</v>
          </cell>
        </row>
        <row r="11">
          <cell r="C11">
            <v>148656.48201608978</v>
          </cell>
          <cell r="D11">
            <v>555.47763740921152</v>
          </cell>
          <cell r="K11">
            <v>2689130.7184648979</v>
          </cell>
          <cell r="Q11">
            <v>116845351.2805986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UR_2018"/>
      <sheetName val="UR_2019"/>
      <sheetName val="UR_2020"/>
      <sheetName val="UR_2021"/>
      <sheetName val="R1_2019"/>
      <sheetName val="R1_2020"/>
      <sheetName val="R1_2021"/>
      <sheetName val="R1_2022"/>
      <sheetName val="R2_2019"/>
      <sheetName val="R2_2020"/>
      <sheetName val="R2_2021"/>
      <sheetName val="R2_2022"/>
      <sheetName val="Seasonal_2019"/>
      <sheetName val="Seasonal_2020"/>
      <sheetName val="Seasonal_2021"/>
      <sheetName val="Seasonal_2022"/>
    </sheetNames>
    <sheetDataSet>
      <sheetData sheetId="0"/>
      <sheetData sheetId="1"/>
      <sheetData sheetId="2"/>
      <sheetData sheetId="3">
        <row r="37">
          <cell r="B37">
            <v>2</v>
          </cell>
        </row>
        <row r="45">
          <cell r="D45">
            <v>32.08</v>
          </cell>
        </row>
        <row r="46">
          <cell r="D46">
            <v>3.8999999999999998E-3</v>
          </cell>
        </row>
      </sheetData>
      <sheetData sheetId="4"/>
      <sheetData sheetId="5"/>
      <sheetData sheetId="6">
        <row r="37">
          <cell r="B37">
            <v>5</v>
          </cell>
        </row>
        <row r="45">
          <cell r="D45">
            <v>43.58</v>
          </cell>
        </row>
        <row r="46">
          <cell r="D46">
            <v>1.8200000000000001E-2</v>
          </cell>
        </row>
      </sheetData>
      <sheetData sheetId="7"/>
      <sheetData sheetId="8"/>
      <sheetData sheetId="9"/>
      <sheetData sheetId="10">
        <row r="37">
          <cell r="B37">
            <v>5</v>
          </cell>
        </row>
        <row r="45">
          <cell r="D45">
            <v>102.2</v>
          </cell>
        </row>
        <row r="46">
          <cell r="D46">
            <v>2.93E-2</v>
          </cell>
        </row>
      </sheetData>
      <sheetData sheetId="11"/>
      <sheetData sheetId="12"/>
      <sheetData sheetId="13"/>
      <sheetData sheetId="14">
        <row r="37">
          <cell r="B37">
            <v>5</v>
          </cell>
        </row>
        <row r="45">
          <cell r="D45">
            <v>44.62</v>
          </cell>
        </row>
        <row r="46">
          <cell r="D46">
            <v>5.6800000000000003E-2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tabSelected="1" zoomScale="80" zoomScaleNormal="80" workbookViewId="0">
      <selection activeCell="B64" sqref="B64:F65"/>
    </sheetView>
  </sheetViews>
  <sheetFormatPr defaultRowHeight="14.4" x14ac:dyDescent="0.3"/>
  <cols>
    <col min="1" max="1" width="45.88671875" customWidth="1"/>
    <col min="2" max="2" width="16.109375" bestFit="1" customWidth="1"/>
    <col min="3" max="3" width="22.33203125" customWidth="1"/>
    <col min="4" max="4" width="16.88671875" customWidth="1"/>
    <col min="5" max="5" width="18.6640625" bestFit="1" customWidth="1"/>
    <col min="6" max="6" width="13.6640625" customWidth="1"/>
    <col min="7" max="7" width="18.33203125" bestFit="1" customWidth="1"/>
  </cols>
  <sheetData>
    <row r="11" spans="1:1" x14ac:dyDescent="0.3">
      <c r="A11" t="s">
        <v>0</v>
      </c>
    </row>
    <row r="12" spans="1:1" x14ac:dyDescent="0.3">
      <c r="A12" t="s">
        <v>1</v>
      </c>
    </row>
    <row r="14" spans="1:1" x14ac:dyDescent="0.3">
      <c r="A14" s="1" t="s">
        <v>2</v>
      </c>
    </row>
    <row r="16" spans="1:1" x14ac:dyDescent="0.3">
      <c r="A16" s="2" t="s">
        <v>3</v>
      </c>
    </row>
    <row r="17" spans="1:5" ht="15" thickBot="1" x14ac:dyDescent="0.35"/>
    <row r="18" spans="1:5" x14ac:dyDescent="0.3">
      <c r="A18" s="64" t="s">
        <v>4</v>
      </c>
      <c r="B18" s="65"/>
    </row>
    <row r="19" spans="1:5" x14ac:dyDescent="0.3">
      <c r="A19" s="3" t="s">
        <v>5</v>
      </c>
      <c r="B19" s="4">
        <f>'[1]Rate Design'!$C$8</f>
        <v>235237.81003627038</v>
      </c>
    </row>
    <row r="20" spans="1:5" ht="15" thickBot="1" x14ac:dyDescent="0.35">
      <c r="A20" s="5" t="s">
        <v>6</v>
      </c>
      <c r="B20" s="6">
        <f>'[1]Rate Design'!$D$8*10^6</f>
        <v>1919930037.8522115</v>
      </c>
      <c r="D20" s="7"/>
    </row>
    <row r="21" spans="1:5" ht="15" thickBot="1" x14ac:dyDescent="0.35"/>
    <row r="22" spans="1:5" ht="30" customHeight="1" thickBot="1" x14ac:dyDescent="0.35">
      <c r="A22" s="8" t="s">
        <v>7</v>
      </c>
      <c r="B22" s="9">
        <f>'[1]Rate Design'!$Q$8-'[1]Rate Design'!$K$8</f>
        <v>100686772.53863907</v>
      </c>
    </row>
    <row r="23" spans="1:5" ht="15" thickBot="1" x14ac:dyDescent="0.35"/>
    <row r="24" spans="1:5" x14ac:dyDescent="0.3">
      <c r="A24" s="64" t="s">
        <v>8</v>
      </c>
      <c r="B24" s="65"/>
    </row>
    <row r="25" spans="1:5" x14ac:dyDescent="0.3">
      <c r="A25" s="3" t="s">
        <v>9</v>
      </c>
      <c r="B25" s="10">
        <f>[2]UR_2020!D45</f>
        <v>32.08</v>
      </c>
    </row>
    <row r="26" spans="1:5" ht="15" thickBot="1" x14ac:dyDescent="0.35">
      <c r="A26" s="5" t="s">
        <v>10</v>
      </c>
      <c r="B26" s="11">
        <f>[2]UR_2020!D46</f>
        <v>3.8999999999999998E-3</v>
      </c>
    </row>
    <row r="28" spans="1:5" x14ac:dyDescent="0.3">
      <c r="A28" s="2" t="s">
        <v>11</v>
      </c>
    </row>
    <row r="29" spans="1:5" ht="15" thickBot="1" x14ac:dyDescent="0.35"/>
    <row r="30" spans="1:5" x14ac:dyDescent="0.3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">
      <c r="A31" s="3" t="s">
        <v>16</v>
      </c>
      <c r="B31" s="17">
        <f>IF(B25="","",B25)</f>
        <v>32.08</v>
      </c>
      <c r="C31" s="18">
        <f>IF(B19="","",B19)</f>
        <v>235237.81003627038</v>
      </c>
      <c r="D31" s="19">
        <f>IF(ISERROR(B31*C31*12),"",B31*C31*12)</f>
        <v>90557147.351562634</v>
      </c>
      <c r="E31" s="20">
        <f>IF(ISERROR(D31/D33),"",D31/D33)</f>
        <v>0.92362959118596477</v>
      </c>
    </row>
    <row r="32" spans="1:5" x14ac:dyDescent="0.3">
      <c r="A32" s="3" t="s">
        <v>17</v>
      </c>
      <c r="B32" s="21">
        <f>IF(B26="","",B26)</f>
        <v>3.8999999999999998E-3</v>
      </c>
      <c r="C32" s="22">
        <f>IF(B20="","",B20)</f>
        <v>1919930037.8522115</v>
      </c>
      <c r="D32" s="19">
        <f>IF(ISERROR(B32*C32),"",B32*C32)</f>
        <v>7487727.1476236247</v>
      </c>
      <c r="E32" s="20">
        <f>IF(ISERROR(D32/D33),"",D32/D33)</f>
        <v>7.6370408814035146E-2</v>
      </c>
    </row>
    <row r="33" spans="1:5" ht="15" thickBot="1" x14ac:dyDescent="0.35">
      <c r="A33" s="23" t="s">
        <v>18</v>
      </c>
      <c r="B33" s="24" t="s">
        <v>19</v>
      </c>
      <c r="C33" s="25" t="s">
        <v>19</v>
      </c>
      <c r="D33" s="26">
        <f>IF(ISERROR(D31+D32),"",D31+D32)</f>
        <v>98044874.499186262</v>
      </c>
      <c r="E33" s="27" t="s">
        <v>19</v>
      </c>
    </row>
    <row r="35" spans="1:5" x14ac:dyDescent="0.3">
      <c r="A35" s="28" t="s">
        <v>20</v>
      </c>
    </row>
    <row r="36" spans="1:5" ht="15" thickBot="1" x14ac:dyDescent="0.35"/>
    <row r="37" spans="1:5" ht="30" thickBot="1" x14ac:dyDescent="0.35">
      <c r="A37" s="29" t="s">
        <v>21</v>
      </c>
      <c r="B37" s="30">
        <f>[2]UR_2020!B37-1</f>
        <v>1</v>
      </c>
    </row>
    <row r="38" spans="1:5" ht="15" thickBot="1" x14ac:dyDescent="0.35"/>
    <row r="39" spans="1:5" ht="53.4" x14ac:dyDescent="0.3">
      <c r="A39" s="31"/>
      <c r="B39" s="32" t="s">
        <v>22</v>
      </c>
      <c r="C39" s="33" t="s">
        <v>23</v>
      </c>
      <c r="D39" s="34" t="s">
        <v>24</v>
      </c>
    </row>
    <row r="40" spans="1:5" x14ac:dyDescent="0.3">
      <c r="A40" s="3" t="s">
        <v>16</v>
      </c>
      <c r="B40" s="19">
        <f>IF(ISERROR(B$22*E31),"",B$22*E31)</f>
        <v>92997282.55769743</v>
      </c>
      <c r="C40" s="35">
        <f>IF(ISERROR(ROUND(B40/B19/12,2)),"",ROUND(B40/B19/12,2))</f>
        <v>32.94</v>
      </c>
      <c r="D40" s="36">
        <f>IF(ISERROR(C40*B19*12),"",C40*B19*12)</f>
        <v>92984801.551136941</v>
      </c>
    </row>
    <row r="41" spans="1:5" x14ac:dyDescent="0.3">
      <c r="A41" s="37" t="s">
        <v>17</v>
      </c>
      <c r="B41" s="38">
        <f>IF(ISERROR(B$22*E32),"",B$22*E32)</f>
        <v>7689489.9809416328</v>
      </c>
      <c r="C41" s="39">
        <f>IF(ISERROR(ROUND(B41/B20,4)),"",ROUND(B41/B20,4))</f>
        <v>4.0000000000000001E-3</v>
      </c>
      <c r="D41" s="36">
        <f>IF(ISERROR(C41*B20),"",C41*B20)</f>
        <v>7679720.1514088465</v>
      </c>
    </row>
    <row r="42" spans="1:5" ht="15" thickBot="1" x14ac:dyDescent="0.35">
      <c r="A42" s="40" t="s">
        <v>18</v>
      </c>
      <c r="B42" s="41">
        <f>IF(ISERROR(B40+B41),"",B40+B41)</f>
        <v>100686772.53863907</v>
      </c>
      <c r="C42" s="42" t="s">
        <v>19</v>
      </c>
      <c r="D42" s="43">
        <f>IF(ISERROR(D40+D41),"",D40+D41)</f>
        <v>100664521.70254579</v>
      </c>
    </row>
    <row r="43" spans="1:5" ht="15" thickBot="1" x14ac:dyDescent="0.35"/>
    <row r="44" spans="1:5" ht="40.200000000000003" x14ac:dyDescent="0.3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">
      <c r="A45" s="3" t="s">
        <v>16</v>
      </c>
      <c r="B45" s="47">
        <f>IF(ISERROR(((1-E31)/B37)+E31),"",((1-E31)/B37)+E31)</f>
        <v>1</v>
      </c>
      <c r="C45" s="48">
        <f>IF(ISERROR(B45*B$22),"",B45*B$22)</f>
        <v>100686772.53863907</v>
      </c>
      <c r="D45" s="49">
        <f>IF(ISERROR(ROUND(C45/B19/12,2)),"",ROUND(C45/B19/12,2))</f>
        <v>35.67</v>
      </c>
      <c r="E45" s="36">
        <f>IF(ISERROR(D45*12*B19),"",D45*12*B19)</f>
        <v>100691192.20792519</v>
      </c>
    </row>
    <row r="46" spans="1:5" x14ac:dyDescent="0.3">
      <c r="A46" s="37" t="s">
        <v>17</v>
      </c>
      <c r="B46" s="50">
        <f>IF(ISERROR(1-B45),"",1-B45)</f>
        <v>0</v>
      </c>
      <c r="C46" s="51">
        <f>IF(ISERROR(B46*B$22),"",B46*B$22)</f>
        <v>0</v>
      </c>
      <c r="D46" s="52">
        <f>IF(ISERROR(ROUND(C46/B20,4)),"",ROUND(C46/B20,4))</f>
        <v>0</v>
      </c>
      <c r="E46" s="53">
        <f>IF(ISERROR(D46*B20),"",D46*B20)</f>
        <v>0</v>
      </c>
    </row>
    <row r="47" spans="1:5" ht="15" thickBot="1" x14ac:dyDescent="0.35">
      <c r="A47" s="40" t="s">
        <v>18</v>
      </c>
      <c r="B47" s="54" t="s">
        <v>19</v>
      </c>
      <c r="C47" s="26">
        <f>IF(ISERROR(SUM(C45:C46)),"",SUM(C45:C46))</f>
        <v>100686772.53863907</v>
      </c>
      <c r="D47" s="42" t="s">
        <v>19</v>
      </c>
      <c r="E47" s="55">
        <f>IF(ISERROR(E45+E46),"",E45+E46)</f>
        <v>100691192.20792519</v>
      </c>
    </row>
    <row r="48" spans="1:5" ht="15" thickBot="1" x14ac:dyDescent="0.35"/>
    <row r="49" spans="1:6" ht="16.2" x14ac:dyDescent="0.3">
      <c r="A49" s="66" t="s">
        <v>29</v>
      </c>
      <c r="B49" s="67"/>
    </row>
    <row r="50" spans="1:6" x14ac:dyDescent="0.3">
      <c r="A50" s="3" t="s">
        <v>30</v>
      </c>
      <c r="B50" s="36">
        <f>IF(ISERROR(D45-C40),"",D45-C40)</f>
        <v>2.730000000000004</v>
      </c>
    </row>
    <row r="51" spans="1:6" x14ac:dyDescent="0.3">
      <c r="A51" s="68" t="s">
        <v>31</v>
      </c>
      <c r="B51" s="56">
        <f>IF(ISERROR((D45*12*B19)+(D46*B20)-B22),"",(D45*12*B19)+(D46*B20)-B22)</f>
        <v>4419.6692861169577</v>
      </c>
    </row>
    <row r="52" spans="1:6" ht="15" thickBot="1" x14ac:dyDescent="0.35">
      <c r="A52" s="69"/>
      <c r="B52" s="57">
        <f>IF(ISERROR(B51/B22), "", B51/B22)</f>
        <v>4.3895232458870274E-5</v>
      </c>
    </row>
    <row r="54" spans="1:6" x14ac:dyDescent="0.3">
      <c r="A54" s="58"/>
      <c r="B54" s="2" t="s">
        <v>32</v>
      </c>
      <c r="C54" s="59"/>
    </row>
    <row r="56" spans="1:6" ht="32.4" customHeight="1" x14ac:dyDescent="0.3">
      <c r="A56" s="60">
        <v>1</v>
      </c>
      <c r="B56" s="70" t="s">
        <v>33</v>
      </c>
      <c r="C56" s="71"/>
      <c r="D56" s="71"/>
      <c r="E56" s="71"/>
      <c r="F56" s="71"/>
    </row>
    <row r="57" spans="1:6" ht="32.4" customHeight="1" x14ac:dyDescent="0.3">
      <c r="A57" s="58"/>
      <c r="B57" s="71"/>
      <c r="C57" s="71"/>
      <c r="D57" s="71"/>
      <c r="E57" s="71"/>
      <c r="F57" s="71"/>
    </row>
    <row r="59" spans="1:6" ht="19.95" customHeight="1" x14ac:dyDescent="0.3">
      <c r="A59" s="61">
        <v>2</v>
      </c>
      <c r="B59" s="63" t="s">
        <v>34</v>
      </c>
      <c r="C59" s="63"/>
      <c r="D59" s="63"/>
      <c r="E59" s="63"/>
      <c r="F59" s="63"/>
    </row>
    <row r="60" spans="1:6" ht="19.95" customHeight="1" x14ac:dyDescent="0.3">
      <c r="A60" s="58"/>
      <c r="B60" s="63"/>
      <c r="C60" s="63"/>
      <c r="D60" s="63"/>
      <c r="E60" s="63"/>
      <c r="F60" s="63"/>
    </row>
    <row r="61" spans="1:6" ht="19.95" customHeight="1" x14ac:dyDescent="0.3">
      <c r="A61" s="58"/>
      <c r="B61" s="63"/>
      <c r="C61" s="63"/>
      <c r="D61" s="63"/>
      <c r="E61" s="63"/>
      <c r="F61" s="63"/>
    </row>
    <row r="62" spans="1:6" ht="19.95" customHeight="1" x14ac:dyDescent="0.3">
      <c r="A62" s="58"/>
      <c r="B62" s="63"/>
      <c r="C62" s="63"/>
      <c r="D62" s="63"/>
      <c r="E62" s="63"/>
      <c r="F62" s="63"/>
    </row>
    <row r="64" spans="1:6" ht="16.2" x14ac:dyDescent="0.3">
      <c r="A64" s="61">
        <v>3</v>
      </c>
      <c r="B64" s="63" t="s">
        <v>35</v>
      </c>
      <c r="C64" s="63"/>
      <c r="D64" s="63"/>
      <c r="E64" s="63"/>
      <c r="F64" s="63"/>
    </row>
    <row r="65" spans="1:6" ht="21" customHeight="1" x14ac:dyDescent="0.3">
      <c r="A65" s="58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 verticalCentered="1"/>
  <pageMargins left="0.7" right="0.7" top="0.75" bottom="1.25" header="0.3" footer="0.3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zoomScale="60" zoomScaleNormal="60" workbookViewId="0">
      <selection activeCell="B64" sqref="B64:F65"/>
    </sheetView>
  </sheetViews>
  <sheetFormatPr defaultRowHeight="14.4" x14ac:dyDescent="0.3"/>
  <cols>
    <col min="1" max="1" width="45.88671875" customWidth="1"/>
    <col min="2" max="2" width="16.109375" bestFit="1" customWidth="1"/>
    <col min="3" max="3" width="22.33203125" customWidth="1"/>
    <col min="4" max="4" width="16.88671875" customWidth="1"/>
    <col min="5" max="5" width="18.6640625" bestFit="1" customWidth="1"/>
    <col min="6" max="6" width="13.6640625" customWidth="1"/>
    <col min="7" max="7" width="18.33203125" bestFit="1" customWidth="1"/>
  </cols>
  <sheetData>
    <row r="11" spans="1:1" x14ac:dyDescent="0.3">
      <c r="A11" t="s">
        <v>0</v>
      </c>
    </row>
    <row r="12" spans="1:1" x14ac:dyDescent="0.3">
      <c r="A12" t="s">
        <v>1</v>
      </c>
    </row>
    <row r="14" spans="1:1" x14ac:dyDescent="0.3">
      <c r="A14" s="1" t="s">
        <v>36</v>
      </c>
    </row>
    <row r="16" spans="1:1" x14ac:dyDescent="0.3">
      <c r="A16" s="2" t="s">
        <v>3</v>
      </c>
    </row>
    <row r="17" spans="1:5" ht="15" thickBot="1" x14ac:dyDescent="0.35"/>
    <row r="18" spans="1:5" x14ac:dyDescent="0.3">
      <c r="A18" s="64" t="s">
        <v>4</v>
      </c>
      <c r="B18" s="65"/>
    </row>
    <row r="19" spans="1:5" x14ac:dyDescent="0.3">
      <c r="A19" s="3" t="s">
        <v>5</v>
      </c>
      <c r="B19" s="4">
        <f>'[1]Rate Design'!$C$9</f>
        <v>459104.35121199378</v>
      </c>
    </row>
    <row r="20" spans="1:5" ht="15" thickBot="1" x14ac:dyDescent="0.35">
      <c r="A20" s="5" t="s">
        <v>6</v>
      </c>
      <c r="B20" s="6">
        <f>'[1]Rate Design'!$D$9*10^6</f>
        <v>4588968776.41924</v>
      </c>
      <c r="D20" s="7"/>
    </row>
    <row r="21" spans="1:5" ht="15" thickBot="1" x14ac:dyDescent="0.35"/>
    <row r="22" spans="1:5" ht="30" customHeight="1" thickBot="1" x14ac:dyDescent="0.35">
      <c r="A22" s="8" t="s">
        <v>7</v>
      </c>
      <c r="B22" s="9">
        <f>'[1]Rate Design'!$Q$9-'[1]Rate Design'!$K$9</f>
        <v>332697515.22702318</v>
      </c>
    </row>
    <row r="23" spans="1:5" ht="15" thickBot="1" x14ac:dyDescent="0.35"/>
    <row r="24" spans="1:5" x14ac:dyDescent="0.3">
      <c r="A24" s="64" t="s">
        <v>8</v>
      </c>
      <c r="B24" s="65"/>
    </row>
    <row r="25" spans="1:5" x14ac:dyDescent="0.3">
      <c r="A25" s="3" t="s">
        <v>9</v>
      </c>
      <c r="B25" s="10">
        <f>[2]R1_2020!D45</f>
        <v>43.58</v>
      </c>
    </row>
    <row r="26" spans="1:5" ht="15" thickBot="1" x14ac:dyDescent="0.35">
      <c r="A26" s="5" t="s">
        <v>10</v>
      </c>
      <c r="B26" s="11">
        <f>[2]R1_2020!D46</f>
        <v>1.8200000000000001E-2</v>
      </c>
    </row>
    <row r="28" spans="1:5" x14ac:dyDescent="0.3">
      <c r="A28" s="2" t="s">
        <v>11</v>
      </c>
    </row>
    <row r="29" spans="1:5" ht="15" thickBot="1" x14ac:dyDescent="0.35"/>
    <row r="30" spans="1:5" x14ac:dyDescent="0.3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">
      <c r="A31" s="3" t="s">
        <v>16</v>
      </c>
      <c r="B31" s="17">
        <f>IF(B25="","",B25)</f>
        <v>43.58</v>
      </c>
      <c r="C31" s="18">
        <f>IF(B19="","",B19)</f>
        <v>459104.35121199378</v>
      </c>
      <c r="D31" s="19">
        <f>IF(ISERROR(B31*C31*12),"",B31*C31*12)</f>
        <v>240093211.50982428</v>
      </c>
      <c r="E31" s="20">
        <f>IF(ISERROR(D31/D33),"",D31/D33)</f>
        <v>0.74191588279341569</v>
      </c>
    </row>
    <row r="32" spans="1:5" x14ac:dyDescent="0.3">
      <c r="A32" s="3" t="s">
        <v>17</v>
      </c>
      <c r="B32" s="21">
        <f>IF(B26="","",B26)</f>
        <v>1.8200000000000001E-2</v>
      </c>
      <c r="C32" s="22">
        <f>IF(B20="","",B20)</f>
        <v>4588968776.41924</v>
      </c>
      <c r="D32" s="19">
        <f>IF(ISERROR(B32*C32),"",B32*C32)</f>
        <v>83519231.730830178</v>
      </c>
      <c r="E32" s="20">
        <f>IF(ISERROR(D32/D33),"",D32/D33)</f>
        <v>0.25808411720658431</v>
      </c>
    </row>
    <row r="33" spans="1:5" ht="15" thickBot="1" x14ac:dyDescent="0.35">
      <c r="A33" s="23" t="s">
        <v>18</v>
      </c>
      <c r="B33" s="24" t="s">
        <v>19</v>
      </c>
      <c r="C33" s="25" t="s">
        <v>19</v>
      </c>
      <c r="D33" s="26">
        <f>IF(ISERROR(D31+D32),"",D31+D32)</f>
        <v>323612443.24065447</v>
      </c>
      <c r="E33" s="27" t="s">
        <v>19</v>
      </c>
    </row>
    <row r="35" spans="1:5" x14ac:dyDescent="0.3">
      <c r="A35" s="28" t="s">
        <v>20</v>
      </c>
    </row>
    <row r="36" spans="1:5" ht="15" thickBot="1" x14ac:dyDescent="0.35"/>
    <row r="37" spans="1:5" ht="30" thickBot="1" x14ac:dyDescent="0.35">
      <c r="A37" s="29" t="s">
        <v>21</v>
      </c>
      <c r="B37" s="30">
        <f>[2]R1_2020!B37-1</f>
        <v>4</v>
      </c>
    </row>
    <row r="38" spans="1:5" ht="15" thickBot="1" x14ac:dyDescent="0.35"/>
    <row r="39" spans="1:5" ht="53.4" x14ac:dyDescent="0.3">
      <c r="A39" s="31"/>
      <c r="B39" s="32" t="s">
        <v>22</v>
      </c>
      <c r="C39" s="33" t="s">
        <v>23</v>
      </c>
      <c r="D39" s="34" t="s">
        <v>24</v>
      </c>
    </row>
    <row r="40" spans="1:5" x14ac:dyDescent="0.3">
      <c r="A40" s="3" t="s">
        <v>16</v>
      </c>
      <c r="B40" s="19">
        <f>IF(ISERROR(B$22*E31),"",B$22*E31)</f>
        <v>246833570.71283278</v>
      </c>
      <c r="C40" s="35">
        <f>IF(ISERROR(ROUND(B40/B19/12,2)),"",ROUND(B40/B19/12,2))</f>
        <v>44.8</v>
      </c>
      <c r="D40" s="36">
        <f>IF(ISERROR(C40*B19*12),"",C40*B19*12)</f>
        <v>246814499.21156782</v>
      </c>
    </row>
    <row r="41" spans="1:5" x14ac:dyDescent="0.3">
      <c r="A41" s="37" t="s">
        <v>17</v>
      </c>
      <c r="B41" s="38">
        <f>IF(ISERROR(B$22*E32),"",B$22*E32)</f>
        <v>85863944.514190421</v>
      </c>
      <c r="C41" s="39">
        <f>IF(ISERROR(ROUND(B41/B20,4)),"",ROUND(B41/B20,4))</f>
        <v>1.8700000000000001E-2</v>
      </c>
      <c r="D41" s="36">
        <f>IF(ISERROR(C41*B20),"",C41*B20)</f>
        <v>85813716.119039789</v>
      </c>
    </row>
    <row r="42" spans="1:5" ht="15" thickBot="1" x14ac:dyDescent="0.35">
      <c r="A42" s="40" t="s">
        <v>18</v>
      </c>
      <c r="B42" s="41">
        <f>IF(ISERROR(B40+B41),"",B40+B41)</f>
        <v>332697515.22702318</v>
      </c>
      <c r="C42" s="42" t="s">
        <v>19</v>
      </c>
      <c r="D42" s="43">
        <f>IF(ISERROR(D40+D41),"",D40+D41)</f>
        <v>332628215.33060759</v>
      </c>
    </row>
    <row r="43" spans="1:5" ht="15" thickBot="1" x14ac:dyDescent="0.35"/>
    <row r="44" spans="1:5" ht="40.200000000000003" x14ac:dyDescent="0.3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">
      <c r="A45" s="3" t="s">
        <v>16</v>
      </c>
      <c r="B45" s="47">
        <f>IF(ISERROR(((1-E31)/B37)+E31),"",((1-E31)/B37)+E31)</f>
        <v>0.80643691209506174</v>
      </c>
      <c r="C45" s="48">
        <f>IF(ISERROR(B45*B$22),"",B45*B$22)</f>
        <v>268299556.84138036</v>
      </c>
      <c r="D45" s="49">
        <f>IF(ISERROR(ROUND(C45/B19/12,2)),"",ROUND(C45/B19/12,2))</f>
        <v>48.7</v>
      </c>
      <c r="E45" s="36">
        <f>IF(ISERROR(D45*12*B19),"",D45*12*B19)</f>
        <v>268300582.84828922</v>
      </c>
    </row>
    <row r="46" spans="1:5" x14ac:dyDescent="0.3">
      <c r="A46" s="37" t="s">
        <v>17</v>
      </c>
      <c r="B46" s="50">
        <f>IF(ISERROR(1-B45),"",1-B45)</f>
        <v>0.19356308790493826</v>
      </c>
      <c r="C46" s="51">
        <f>IF(ISERROR(B46*B$22),"",B46*B$22)</f>
        <v>64397958.385642827</v>
      </c>
      <c r="D46" s="62">
        <f>IF(ISERROR(ROUND(C46/B20,4)),"",ROUND(C46/B20,4))</f>
        <v>1.4E-2</v>
      </c>
      <c r="E46" s="53">
        <f>IF(ISERROR(D46*B20),"",D46*B20)</f>
        <v>64245562.869869359</v>
      </c>
    </row>
    <row r="47" spans="1:5" ht="15" thickBot="1" x14ac:dyDescent="0.35">
      <c r="A47" s="40" t="s">
        <v>18</v>
      </c>
      <c r="B47" s="54" t="s">
        <v>19</v>
      </c>
      <c r="C47" s="26">
        <f>IF(ISERROR(SUM(C45:C46)),"",SUM(C45:C46))</f>
        <v>332697515.22702318</v>
      </c>
      <c r="D47" s="42" t="s">
        <v>19</v>
      </c>
      <c r="E47" s="55">
        <f>IF(ISERROR(E45+E46),"",E45+E46)</f>
        <v>332546145.7181586</v>
      </c>
    </row>
    <row r="48" spans="1:5" ht="15" thickBot="1" x14ac:dyDescent="0.35"/>
    <row r="49" spans="1:6" ht="16.2" x14ac:dyDescent="0.3">
      <c r="A49" s="66" t="s">
        <v>29</v>
      </c>
      <c r="B49" s="67"/>
    </row>
    <row r="50" spans="1:6" x14ac:dyDescent="0.3">
      <c r="A50" s="3" t="s">
        <v>30</v>
      </c>
      <c r="B50" s="36">
        <f>IF(ISERROR(D45-C40),"",D45-C40)</f>
        <v>3.9000000000000057</v>
      </c>
    </row>
    <row r="51" spans="1:6" x14ac:dyDescent="0.3">
      <c r="A51" s="68" t="s">
        <v>31</v>
      </c>
      <c r="B51" s="56">
        <f>IF(ISERROR((D45*12*B19)+(D46*B20)-B22),"",(D45*12*B19)+(D46*B20)-B22)</f>
        <v>-151369.50886458158</v>
      </c>
    </row>
    <row r="52" spans="1:6" ht="15" thickBot="1" x14ac:dyDescent="0.35">
      <c r="A52" s="69"/>
      <c r="B52" s="57">
        <f>IF(ISERROR(B51/B22), "", B51/B22)</f>
        <v>-4.5497637324189632E-4</v>
      </c>
    </row>
    <row r="54" spans="1:6" x14ac:dyDescent="0.3">
      <c r="A54" s="58"/>
      <c r="B54" s="2" t="s">
        <v>32</v>
      </c>
      <c r="C54" s="59"/>
    </row>
    <row r="56" spans="1:6" ht="32.4" customHeight="1" x14ac:dyDescent="0.3">
      <c r="A56" s="60">
        <v>1</v>
      </c>
      <c r="B56" s="70" t="s">
        <v>33</v>
      </c>
      <c r="C56" s="71"/>
      <c r="D56" s="71"/>
      <c r="E56" s="71"/>
      <c r="F56" s="71"/>
    </row>
    <row r="57" spans="1:6" ht="32.4" customHeight="1" x14ac:dyDescent="0.3">
      <c r="A57" s="58"/>
      <c r="B57" s="71"/>
      <c r="C57" s="71"/>
      <c r="D57" s="71"/>
      <c r="E57" s="71"/>
      <c r="F57" s="71"/>
    </row>
    <row r="59" spans="1:6" ht="19.95" customHeight="1" x14ac:dyDescent="0.3">
      <c r="A59" s="61">
        <v>2</v>
      </c>
      <c r="B59" s="63" t="s">
        <v>34</v>
      </c>
      <c r="C59" s="63"/>
      <c r="D59" s="63"/>
      <c r="E59" s="63"/>
      <c r="F59" s="63"/>
    </row>
    <row r="60" spans="1:6" ht="19.95" customHeight="1" x14ac:dyDescent="0.3">
      <c r="A60" s="58"/>
      <c r="B60" s="63"/>
      <c r="C60" s="63"/>
      <c r="D60" s="63"/>
      <c r="E60" s="63"/>
      <c r="F60" s="63"/>
    </row>
    <row r="61" spans="1:6" ht="19.95" customHeight="1" x14ac:dyDescent="0.3">
      <c r="A61" s="58"/>
      <c r="B61" s="63"/>
      <c r="C61" s="63"/>
      <c r="D61" s="63"/>
      <c r="E61" s="63"/>
      <c r="F61" s="63"/>
    </row>
    <row r="62" spans="1:6" ht="19.95" customHeight="1" x14ac:dyDescent="0.3">
      <c r="A62" s="58"/>
      <c r="B62" s="63"/>
      <c r="C62" s="63"/>
      <c r="D62" s="63"/>
      <c r="E62" s="63"/>
      <c r="F62" s="63"/>
    </row>
    <row r="64" spans="1:6" ht="16.2" x14ac:dyDescent="0.3">
      <c r="A64" s="61">
        <v>3</v>
      </c>
      <c r="B64" s="63" t="s">
        <v>35</v>
      </c>
      <c r="C64" s="63"/>
      <c r="D64" s="63"/>
      <c r="E64" s="63"/>
      <c r="F64" s="63"/>
    </row>
    <row r="65" spans="1:6" ht="28.05" customHeight="1" x14ac:dyDescent="0.3">
      <c r="A65" s="58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 verticalCentered="1"/>
  <pageMargins left="0.7" right="0.7" top="0.75" bottom="0.75" header="0.3" footer="0.3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zoomScale="80" zoomScaleNormal="80" workbookViewId="0">
      <selection activeCell="B27" sqref="B27"/>
    </sheetView>
  </sheetViews>
  <sheetFormatPr defaultRowHeight="14.4" x14ac:dyDescent="0.3"/>
  <cols>
    <col min="1" max="1" width="45.88671875" customWidth="1"/>
    <col min="2" max="2" width="16.109375" bestFit="1" customWidth="1"/>
    <col min="3" max="3" width="22.33203125" customWidth="1"/>
    <col min="4" max="4" width="16.88671875" customWidth="1"/>
    <col min="5" max="5" width="18.6640625" bestFit="1" customWidth="1"/>
    <col min="6" max="6" width="13.6640625" customWidth="1"/>
    <col min="7" max="7" width="18.33203125" bestFit="1" customWidth="1"/>
  </cols>
  <sheetData>
    <row r="11" spans="1:1" x14ac:dyDescent="0.3">
      <c r="A11" t="s">
        <v>0</v>
      </c>
    </row>
    <row r="12" spans="1:1" x14ac:dyDescent="0.3">
      <c r="A12" t="s">
        <v>1</v>
      </c>
    </row>
    <row r="14" spans="1:1" x14ac:dyDescent="0.3">
      <c r="A14" s="1" t="s">
        <v>37</v>
      </c>
    </row>
    <row r="16" spans="1:1" x14ac:dyDescent="0.3">
      <c r="A16" s="2" t="s">
        <v>3</v>
      </c>
    </row>
    <row r="17" spans="1:5" ht="15" thickBot="1" x14ac:dyDescent="0.35"/>
    <row r="18" spans="1:5" x14ac:dyDescent="0.3">
      <c r="A18" s="64" t="s">
        <v>4</v>
      </c>
      <c r="B18" s="65"/>
    </row>
    <row r="19" spans="1:5" x14ac:dyDescent="0.3">
      <c r="A19" s="3" t="s">
        <v>5</v>
      </c>
      <c r="B19" s="4">
        <f>'[1]Rate Design'!$C$10</f>
        <v>333606.98067436524</v>
      </c>
    </row>
    <row r="20" spans="1:5" ht="15" thickBot="1" x14ac:dyDescent="0.35">
      <c r="A20" s="5" t="s">
        <v>6</v>
      </c>
      <c r="B20" s="6">
        <f>'[1]Rate Design'!$D$10*10^6</f>
        <v>4181173637.9573803</v>
      </c>
      <c r="D20" s="7"/>
    </row>
    <row r="21" spans="1:5" ht="15" thickBot="1" x14ac:dyDescent="0.35"/>
    <row r="22" spans="1:5" ht="30" customHeight="1" thickBot="1" x14ac:dyDescent="0.35">
      <c r="A22" s="8" t="s">
        <v>7</v>
      </c>
      <c r="B22" s="9">
        <f>'[1]Rate Design'!$Q$10-'[1]Rate Design'!$K$10</f>
        <v>546154349.94087231</v>
      </c>
    </row>
    <row r="23" spans="1:5" ht="15" thickBot="1" x14ac:dyDescent="0.35"/>
    <row r="24" spans="1:5" x14ac:dyDescent="0.3">
      <c r="A24" s="64" t="s">
        <v>8</v>
      </c>
      <c r="B24" s="65"/>
    </row>
    <row r="25" spans="1:5" x14ac:dyDescent="0.3">
      <c r="A25" s="3" t="s">
        <v>9</v>
      </c>
      <c r="B25" s="10">
        <f>[2]R2_2020!D45</f>
        <v>102.2</v>
      </c>
    </row>
    <row r="26" spans="1:5" ht="15" thickBot="1" x14ac:dyDescent="0.35">
      <c r="A26" s="5" t="s">
        <v>10</v>
      </c>
      <c r="B26" s="11">
        <f>[2]R2_2020!D46</f>
        <v>2.93E-2</v>
      </c>
    </row>
    <row r="28" spans="1:5" x14ac:dyDescent="0.3">
      <c r="A28" s="2" t="s">
        <v>11</v>
      </c>
    </row>
    <row r="29" spans="1:5" ht="15" thickBot="1" x14ac:dyDescent="0.35"/>
    <row r="30" spans="1:5" x14ac:dyDescent="0.3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">
      <c r="A31" s="3" t="s">
        <v>16</v>
      </c>
      <c r="B31" s="17">
        <f>IF(B25="","",B25)</f>
        <v>102.2</v>
      </c>
      <c r="C31" s="18">
        <f>IF(B19="","",B19)</f>
        <v>333606.98067436524</v>
      </c>
      <c r="D31" s="19">
        <f>IF(ISERROR(B31*C31*12),"",B31*C31*12)</f>
        <v>409135601.09904152</v>
      </c>
      <c r="E31" s="20">
        <f>IF(ISERROR(D31/D33),"",D31/D33)</f>
        <v>0.76956687144390779</v>
      </c>
    </row>
    <row r="32" spans="1:5" x14ac:dyDescent="0.3">
      <c r="A32" s="3" t="s">
        <v>17</v>
      </c>
      <c r="B32" s="21">
        <f>IF(B26="","",B26)</f>
        <v>2.93E-2</v>
      </c>
      <c r="C32" s="22">
        <f>IF(B20="","",B20)</f>
        <v>4181173637.9573803</v>
      </c>
      <c r="D32" s="19">
        <f>IF(ISERROR(B32*C32),"",B32*C32)</f>
        <v>122508387.59215124</v>
      </c>
      <c r="E32" s="20">
        <f>IF(ISERROR(D32/D33),"",D32/D33)</f>
        <v>0.23043312855609219</v>
      </c>
    </row>
    <row r="33" spans="1:5" ht="15" thickBot="1" x14ac:dyDescent="0.35">
      <c r="A33" s="23" t="s">
        <v>18</v>
      </c>
      <c r="B33" s="24" t="s">
        <v>19</v>
      </c>
      <c r="C33" s="25" t="s">
        <v>19</v>
      </c>
      <c r="D33" s="26">
        <f>IF(ISERROR(D31+D32),"",D31+D32)</f>
        <v>531643988.69119275</v>
      </c>
      <c r="E33" s="27" t="s">
        <v>19</v>
      </c>
    </row>
    <row r="35" spans="1:5" x14ac:dyDescent="0.3">
      <c r="A35" s="28" t="s">
        <v>20</v>
      </c>
    </row>
    <row r="36" spans="1:5" ht="15" thickBot="1" x14ac:dyDescent="0.35"/>
    <row r="37" spans="1:5" ht="30" thickBot="1" x14ac:dyDescent="0.35">
      <c r="A37" s="29" t="s">
        <v>21</v>
      </c>
      <c r="B37" s="30">
        <f>[2]R2_2020!B37-1</f>
        <v>4</v>
      </c>
    </row>
    <row r="38" spans="1:5" ht="15" thickBot="1" x14ac:dyDescent="0.35"/>
    <row r="39" spans="1:5" ht="53.4" x14ac:dyDescent="0.3">
      <c r="A39" s="31"/>
      <c r="B39" s="32" t="s">
        <v>22</v>
      </c>
      <c r="C39" s="33" t="s">
        <v>23</v>
      </c>
      <c r="D39" s="34" t="s">
        <v>24</v>
      </c>
    </row>
    <row r="40" spans="1:5" x14ac:dyDescent="0.3">
      <c r="A40" s="3" t="s">
        <v>16</v>
      </c>
      <c r="B40" s="19">
        <f>IF(ISERROR(B$22*E31),"",B$22*E31)</f>
        <v>420302294.40947831</v>
      </c>
      <c r="C40" s="35">
        <f>IF(ISERROR(ROUND(B40/B19/12,2)),"",ROUND(B40/B19/12,2))</f>
        <v>104.99</v>
      </c>
      <c r="D40" s="36">
        <f>IF(ISERROR(C40*B19*12),"",C40*B19*12)</f>
        <v>420304762.81201923</v>
      </c>
    </row>
    <row r="41" spans="1:5" x14ac:dyDescent="0.3">
      <c r="A41" s="37" t="s">
        <v>17</v>
      </c>
      <c r="B41" s="38">
        <f>IF(ISERROR(B$22*E32),"",B$22*E32)</f>
        <v>125852055.53139399</v>
      </c>
      <c r="C41" s="39">
        <f>IF(ISERROR(ROUND(B41/B20,4)),"",ROUND(B41/B20,4))</f>
        <v>3.0099999999999998E-2</v>
      </c>
      <c r="D41" s="36">
        <f>IF(ISERROR(C41*B20),"",C41*B20)</f>
        <v>125853326.50251713</v>
      </c>
    </row>
    <row r="42" spans="1:5" ht="15" thickBot="1" x14ac:dyDescent="0.35">
      <c r="A42" s="40" t="s">
        <v>18</v>
      </c>
      <c r="B42" s="41">
        <f>IF(ISERROR(B40+B41),"",B40+B41)</f>
        <v>546154349.94087231</v>
      </c>
      <c r="C42" s="42" t="s">
        <v>19</v>
      </c>
      <c r="D42" s="43">
        <f>IF(ISERROR(D40+D41),"",D40+D41)</f>
        <v>546158089.31453633</v>
      </c>
    </row>
    <row r="43" spans="1:5" ht="15" thickBot="1" x14ac:dyDescent="0.35"/>
    <row r="44" spans="1:5" ht="40.200000000000003" x14ac:dyDescent="0.3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">
      <c r="A45" s="3" t="s">
        <v>16</v>
      </c>
      <c r="B45" s="47">
        <f>IF(ISERROR(((1-E31)/B37)+E31),"",((1-E31)/B37)+E31)</f>
        <v>0.82717515358293081</v>
      </c>
      <c r="C45" s="48">
        <f>IF(ISERROR(B45*B$22),"",B45*B$22)</f>
        <v>451765308.29232681</v>
      </c>
      <c r="D45" s="49">
        <f>IF(ISERROR(ROUND(C45/B19/12,2)),"",ROUND(C45/B19/12,2))</f>
        <v>112.85</v>
      </c>
      <c r="E45" s="36">
        <f>IF(ISERROR(D45*12*B19),"",D45*12*B19)</f>
        <v>451770573.22922534</v>
      </c>
    </row>
    <row r="46" spans="1:5" x14ac:dyDescent="0.3">
      <c r="A46" s="37" t="s">
        <v>17</v>
      </c>
      <c r="B46" s="50">
        <f>IF(ISERROR(1-B45),"",1-B45)</f>
        <v>0.17282484641706919</v>
      </c>
      <c r="C46" s="51">
        <f>IF(ISERROR(B46*B$22),"",B46*B$22)</f>
        <v>94389041.648545519</v>
      </c>
      <c r="D46" s="62">
        <f>IF(ISERROR(ROUND(C46/B20,4)),"",ROUND(C46/B20,4))</f>
        <v>2.2599999999999999E-2</v>
      </c>
      <c r="E46" s="53">
        <f>IF(ISERROR(D46*B20),"",D46*B20)</f>
        <v>94494524.217836782</v>
      </c>
    </row>
    <row r="47" spans="1:5" ht="15" thickBot="1" x14ac:dyDescent="0.35">
      <c r="A47" s="40" t="s">
        <v>18</v>
      </c>
      <c r="B47" s="54" t="s">
        <v>19</v>
      </c>
      <c r="C47" s="26">
        <f>IF(ISERROR(SUM(C45:C46)),"",SUM(C45:C46))</f>
        <v>546154349.94087231</v>
      </c>
      <c r="D47" s="42" t="s">
        <v>19</v>
      </c>
      <c r="E47" s="55">
        <f>IF(ISERROR(E45+E46),"",E45+E46)</f>
        <v>546265097.44706213</v>
      </c>
    </row>
    <row r="48" spans="1:5" ht="15" thickBot="1" x14ac:dyDescent="0.35"/>
    <row r="49" spans="1:6" ht="16.2" x14ac:dyDescent="0.3">
      <c r="A49" s="66" t="s">
        <v>29</v>
      </c>
      <c r="B49" s="67"/>
    </row>
    <row r="50" spans="1:6" x14ac:dyDescent="0.3">
      <c r="A50" s="3" t="s">
        <v>30</v>
      </c>
      <c r="B50" s="36">
        <f>IF(ISERROR(D45-C40),"",D45-C40)</f>
        <v>7.8599999999999994</v>
      </c>
    </row>
    <row r="51" spans="1:6" x14ac:dyDescent="0.3">
      <c r="A51" s="68" t="s">
        <v>31</v>
      </c>
      <c r="B51" s="56">
        <f>IF(ISERROR((D45*12*B19)+(D46*B20)-B22),"",(D45*12*B19)+(D46*B20)-B22)</f>
        <v>110747.50618982315</v>
      </c>
    </row>
    <row r="52" spans="1:6" ht="15" thickBot="1" x14ac:dyDescent="0.35">
      <c r="A52" s="69"/>
      <c r="B52" s="57">
        <f>IF(ISERROR(B51/B22), "", B51/B22)</f>
        <v>2.0277693696262399E-4</v>
      </c>
    </row>
    <row r="54" spans="1:6" x14ac:dyDescent="0.3">
      <c r="A54" s="58"/>
      <c r="B54" s="2" t="s">
        <v>32</v>
      </c>
      <c r="C54" s="59"/>
    </row>
    <row r="56" spans="1:6" ht="32.4" customHeight="1" x14ac:dyDescent="0.3">
      <c r="A56" s="60">
        <v>1</v>
      </c>
      <c r="B56" s="70" t="s">
        <v>33</v>
      </c>
      <c r="C56" s="71"/>
      <c r="D56" s="71"/>
      <c r="E56" s="71"/>
      <c r="F56" s="71"/>
    </row>
    <row r="57" spans="1:6" ht="32.4" customHeight="1" x14ac:dyDescent="0.3">
      <c r="A57" s="58"/>
      <c r="B57" s="71"/>
      <c r="C57" s="71"/>
      <c r="D57" s="71"/>
      <c r="E57" s="71"/>
      <c r="F57" s="71"/>
    </row>
    <row r="59" spans="1:6" ht="19.95" customHeight="1" x14ac:dyDescent="0.3">
      <c r="A59" s="61">
        <v>2</v>
      </c>
      <c r="B59" s="63" t="s">
        <v>34</v>
      </c>
      <c r="C59" s="63"/>
      <c r="D59" s="63"/>
      <c r="E59" s="63"/>
      <c r="F59" s="63"/>
    </row>
    <row r="60" spans="1:6" ht="19.95" customHeight="1" x14ac:dyDescent="0.3">
      <c r="A60" s="58"/>
      <c r="B60" s="63"/>
      <c r="C60" s="63"/>
      <c r="D60" s="63"/>
      <c r="E60" s="63"/>
      <c r="F60" s="63"/>
    </row>
    <row r="61" spans="1:6" ht="19.95" customHeight="1" x14ac:dyDescent="0.3">
      <c r="A61" s="58"/>
      <c r="B61" s="63"/>
      <c r="C61" s="63"/>
      <c r="D61" s="63"/>
      <c r="E61" s="63"/>
      <c r="F61" s="63"/>
    </row>
    <row r="62" spans="1:6" ht="19.95" customHeight="1" x14ac:dyDescent="0.3">
      <c r="A62" s="58"/>
      <c r="B62" s="63"/>
      <c r="C62" s="63"/>
      <c r="D62" s="63"/>
      <c r="E62" s="63"/>
      <c r="F62" s="63"/>
    </row>
    <row r="64" spans="1:6" ht="16.2" x14ac:dyDescent="0.3">
      <c r="A64" s="61">
        <v>3</v>
      </c>
      <c r="B64" s="63" t="s">
        <v>35</v>
      </c>
      <c r="C64" s="63"/>
      <c r="D64" s="63"/>
      <c r="E64" s="63"/>
      <c r="F64" s="63"/>
    </row>
    <row r="65" spans="1:6" ht="36" customHeight="1" x14ac:dyDescent="0.3">
      <c r="A65" s="58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 verticalCentered="1"/>
  <pageMargins left="0.7" right="0.7" top="0.75" bottom="1" header="0.3" footer="0.3"/>
  <pageSetup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F65"/>
  <sheetViews>
    <sheetView zoomScale="70" zoomScaleNormal="70" workbookViewId="0">
      <selection activeCell="B27" sqref="B27"/>
    </sheetView>
  </sheetViews>
  <sheetFormatPr defaultRowHeight="14.4" x14ac:dyDescent="0.3"/>
  <cols>
    <col min="1" max="1" width="45.88671875" customWidth="1"/>
    <col min="2" max="2" width="16.109375" bestFit="1" customWidth="1"/>
    <col min="3" max="3" width="22.33203125" customWidth="1"/>
    <col min="4" max="4" width="16.88671875" customWidth="1"/>
    <col min="5" max="5" width="18.6640625" bestFit="1" customWidth="1"/>
    <col min="6" max="6" width="13.6640625" customWidth="1"/>
    <col min="7" max="7" width="18.33203125" bestFit="1" customWidth="1"/>
  </cols>
  <sheetData>
    <row r="11" spans="1:1" x14ac:dyDescent="0.3">
      <c r="A11" t="s">
        <v>0</v>
      </c>
    </row>
    <row r="12" spans="1:1" x14ac:dyDescent="0.3">
      <c r="A12" t="s">
        <v>1</v>
      </c>
    </row>
    <row r="14" spans="1:1" x14ac:dyDescent="0.3">
      <c r="A14" s="1" t="s">
        <v>38</v>
      </c>
    </row>
    <row r="16" spans="1:1" x14ac:dyDescent="0.3">
      <c r="A16" s="2" t="s">
        <v>3</v>
      </c>
    </row>
    <row r="17" spans="1:5" ht="15" thickBot="1" x14ac:dyDescent="0.35"/>
    <row r="18" spans="1:5" x14ac:dyDescent="0.3">
      <c r="A18" s="64" t="s">
        <v>4</v>
      </c>
      <c r="B18" s="65"/>
    </row>
    <row r="19" spans="1:5" x14ac:dyDescent="0.3">
      <c r="A19" s="3" t="s">
        <v>5</v>
      </c>
      <c r="B19" s="4">
        <f>'[1]Rate Design'!$C$11</f>
        <v>148656.48201608978</v>
      </c>
    </row>
    <row r="20" spans="1:5" ht="15" thickBot="1" x14ac:dyDescent="0.35">
      <c r="A20" s="5" t="s">
        <v>6</v>
      </c>
      <c r="B20" s="6">
        <f>'[1]Rate Design'!$D$11*10^6</f>
        <v>555477637.40921152</v>
      </c>
      <c r="D20" s="7"/>
    </row>
    <row r="21" spans="1:5" ht="15" thickBot="1" x14ac:dyDescent="0.35"/>
    <row r="22" spans="1:5" ht="30" customHeight="1" thickBot="1" x14ac:dyDescent="0.35">
      <c r="A22" s="8" t="s">
        <v>7</v>
      </c>
      <c r="B22" s="9">
        <f>'[1]Rate Design'!$Q$11-'[1]Rate Design'!$K$11</f>
        <v>114156220.5621337</v>
      </c>
    </row>
    <row r="23" spans="1:5" ht="15" thickBot="1" x14ac:dyDescent="0.35"/>
    <row r="24" spans="1:5" x14ac:dyDescent="0.3">
      <c r="A24" s="64" t="s">
        <v>8</v>
      </c>
      <c r="B24" s="65"/>
    </row>
    <row r="25" spans="1:5" x14ac:dyDescent="0.3">
      <c r="A25" s="3" t="s">
        <v>9</v>
      </c>
      <c r="B25" s="10">
        <f>[2]Seasonal_2020!D45</f>
        <v>44.62</v>
      </c>
    </row>
    <row r="26" spans="1:5" ht="15" thickBot="1" x14ac:dyDescent="0.35">
      <c r="A26" s="5" t="s">
        <v>10</v>
      </c>
      <c r="B26" s="11">
        <f>[2]Seasonal_2020!D46</f>
        <v>5.6800000000000003E-2</v>
      </c>
    </row>
    <row r="28" spans="1:5" x14ac:dyDescent="0.3">
      <c r="A28" s="2" t="s">
        <v>11</v>
      </c>
    </row>
    <row r="29" spans="1:5" ht="15" thickBot="1" x14ac:dyDescent="0.35"/>
    <row r="30" spans="1:5" x14ac:dyDescent="0.3">
      <c r="A30" s="12"/>
      <c r="B30" s="13" t="s">
        <v>12</v>
      </c>
      <c r="C30" s="14" t="s">
        <v>13</v>
      </c>
      <c r="D30" s="15" t="s">
        <v>14</v>
      </c>
      <c r="E30" s="16" t="s">
        <v>15</v>
      </c>
    </row>
    <row r="31" spans="1:5" x14ac:dyDescent="0.3">
      <c r="A31" s="3" t="s">
        <v>16</v>
      </c>
      <c r="B31" s="17">
        <f>IF(B25="","",B25)</f>
        <v>44.62</v>
      </c>
      <c r="C31" s="18">
        <f>IF(B19="","",B19)</f>
        <v>148656.48201608978</v>
      </c>
      <c r="D31" s="19">
        <f>IF(ISERROR(B31*C31*12),"",B31*C31*12)</f>
        <v>79596626.730695099</v>
      </c>
      <c r="E31" s="20">
        <f>IF(ISERROR(D31/D33),"",D31/D33)</f>
        <v>0.71613345344712309</v>
      </c>
    </row>
    <row r="32" spans="1:5" x14ac:dyDescent="0.3">
      <c r="A32" s="3" t="s">
        <v>17</v>
      </c>
      <c r="B32" s="21">
        <f>IF(B26="","",B26)</f>
        <v>5.6800000000000003E-2</v>
      </c>
      <c r="C32" s="22">
        <f>IF(B20="","",B20)</f>
        <v>555477637.40921152</v>
      </c>
      <c r="D32" s="19">
        <f>IF(ISERROR(B32*C32),"",B32*C32)</f>
        <v>31551129.804843217</v>
      </c>
      <c r="E32" s="20">
        <f>IF(ISERROR(D32/D33),"",D32/D33)</f>
        <v>0.28386654655287691</v>
      </c>
    </row>
    <row r="33" spans="1:5" ht="15" thickBot="1" x14ac:dyDescent="0.35">
      <c r="A33" s="23" t="s">
        <v>18</v>
      </c>
      <c r="B33" s="24" t="s">
        <v>19</v>
      </c>
      <c r="C33" s="25" t="s">
        <v>19</v>
      </c>
      <c r="D33" s="26">
        <f>IF(ISERROR(D31+D32),"",D31+D32)</f>
        <v>111147756.53553832</v>
      </c>
      <c r="E33" s="27" t="s">
        <v>19</v>
      </c>
    </row>
    <row r="35" spans="1:5" x14ac:dyDescent="0.3">
      <c r="A35" s="28" t="s">
        <v>20</v>
      </c>
    </row>
    <row r="36" spans="1:5" ht="15" thickBot="1" x14ac:dyDescent="0.35"/>
    <row r="37" spans="1:5" ht="30" thickBot="1" x14ac:dyDescent="0.35">
      <c r="A37" s="29" t="s">
        <v>21</v>
      </c>
      <c r="B37" s="30">
        <f>[2]Seasonal_2020!B37-1</f>
        <v>4</v>
      </c>
    </row>
    <row r="38" spans="1:5" ht="15" thickBot="1" x14ac:dyDescent="0.35"/>
    <row r="39" spans="1:5" ht="53.4" x14ac:dyDescent="0.3">
      <c r="A39" s="31"/>
      <c r="B39" s="32" t="s">
        <v>22</v>
      </c>
      <c r="C39" s="33" t="s">
        <v>23</v>
      </c>
      <c r="D39" s="34" t="s">
        <v>24</v>
      </c>
    </row>
    <row r="40" spans="1:5" x14ac:dyDescent="0.3">
      <c r="A40" s="3" t="s">
        <v>16</v>
      </c>
      <c r="B40" s="19">
        <f>IF(ISERROR(B$22*E31),"",B$22*E31)</f>
        <v>81751088.463632286</v>
      </c>
      <c r="C40" s="35">
        <f>IF(ISERROR(ROUND(B40/B19/12,2)),"",ROUND(B40/B19/12,2))</f>
        <v>45.83</v>
      </c>
      <c r="D40" s="36">
        <f>IF(ISERROR(C40*B19*12),"",C40*B19*12)</f>
        <v>81755118.849568725</v>
      </c>
    </row>
    <row r="41" spans="1:5" x14ac:dyDescent="0.3">
      <c r="A41" s="37" t="s">
        <v>17</v>
      </c>
      <c r="B41" s="38">
        <f>IF(ISERROR(B$22*E32),"",B$22*E32)</f>
        <v>32405132.09850141</v>
      </c>
      <c r="C41" s="39">
        <f>IF(ISERROR(ROUND(B41/B20,4)),"",ROUND(B41/B20,4))</f>
        <v>5.8299999999999998E-2</v>
      </c>
      <c r="D41" s="36">
        <f>IF(ISERROR(C41*B20),"",C41*B20)</f>
        <v>32384346.260957029</v>
      </c>
    </row>
    <row r="42" spans="1:5" ht="15" thickBot="1" x14ac:dyDescent="0.35">
      <c r="A42" s="40" t="s">
        <v>18</v>
      </c>
      <c r="B42" s="41">
        <f>IF(ISERROR(B40+B41),"",B40+B41)</f>
        <v>114156220.5621337</v>
      </c>
      <c r="C42" s="42" t="s">
        <v>19</v>
      </c>
      <c r="D42" s="43">
        <f>IF(ISERROR(D40+D41),"",D40+D41)</f>
        <v>114139465.11052576</v>
      </c>
    </row>
    <row r="43" spans="1:5" ht="15" thickBot="1" x14ac:dyDescent="0.35"/>
    <row r="44" spans="1:5" ht="40.200000000000003" x14ac:dyDescent="0.3">
      <c r="A44" s="31"/>
      <c r="B44" s="14" t="s">
        <v>25</v>
      </c>
      <c r="C44" s="44" t="s">
        <v>26</v>
      </c>
      <c r="D44" s="45" t="s">
        <v>27</v>
      </c>
      <c r="E44" s="46" t="s">
        <v>28</v>
      </c>
    </row>
    <row r="45" spans="1:5" x14ac:dyDescent="0.3">
      <c r="A45" s="3" t="s">
        <v>16</v>
      </c>
      <c r="B45" s="47">
        <f>IF(ISERROR(((1-E31)/B37)+E31),"",((1-E31)/B37)+E31)</f>
        <v>0.78710009008534232</v>
      </c>
      <c r="C45" s="48">
        <f>IF(ISERROR(B45*B$22),"",B45*B$22)</f>
        <v>89852371.488257647</v>
      </c>
      <c r="D45" s="49">
        <f>IF(ISERROR(ROUND(C45/B19/12,2)),"",ROUND(C45/B19/12,2))</f>
        <v>50.37</v>
      </c>
      <c r="E45" s="36">
        <f>IF(ISERROR(D45*12*B19),"",D45*12*B19)</f>
        <v>89853923.989805296</v>
      </c>
    </row>
    <row r="46" spans="1:5" x14ac:dyDescent="0.3">
      <c r="A46" s="37" t="s">
        <v>17</v>
      </c>
      <c r="B46" s="50">
        <f>IF(ISERROR(1-B45),"",1-B45)</f>
        <v>0.21289990991465768</v>
      </c>
      <c r="C46" s="51">
        <f>IF(ISERROR(B46*B$22),"",B46*B$22)</f>
        <v>24303849.073876057</v>
      </c>
      <c r="D46" s="62">
        <f>IF(ISERROR(ROUND(C46/B20,4)),"",ROUND(C46/B20,4))</f>
        <v>4.3799999999999999E-2</v>
      </c>
      <c r="E46" s="53">
        <f>IF(ISERROR(D46*B20),"",D46*B20)</f>
        <v>24329920.518523462</v>
      </c>
    </row>
    <row r="47" spans="1:5" ht="15" thickBot="1" x14ac:dyDescent="0.35">
      <c r="A47" s="40" t="s">
        <v>18</v>
      </c>
      <c r="B47" s="54" t="s">
        <v>19</v>
      </c>
      <c r="C47" s="26">
        <f>IF(ISERROR(SUM(C45:C46)),"",SUM(C45:C46))</f>
        <v>114156220.5621337</v>
      </c>
      <c r="D47" s="42" t="s">
        <v>19</v>
      </c>
      <c r="E47" s="55">
        <f>IF(ISERROR(E45+E46),"",E45+E46)</f>
        <v>114183844.50832877</v>
      </c>
    </row>
    <row r="48" spans="1:5" ht="15" thickBot="1" x14ac:dyDescent="0.35"/>
    <row r="49" spans="1:6" ht="16.2" x14ac:dyDescent="0.3">
      <c r="A49" s="66" t="s">
        <v>29</v>
      </c>
      <c r="B49" s="67"/>
    </row>
    <row r="50" spans="1:6" x14ac:dyDescent="0.3">
      <c r="A50" s="3" t="s">
        <v>30</v>
      </c>
      <c r="B50" s="36">
        <f>IF(ISERROR(D45-C40),"",D45-C40)</f>
        <v>4.5399999999999991</v>
      </c>
    </row>
    <row r="51" spans="1:6" x14ac:dyDescent="0.3">
      <c r="A51" s="68" t="s">
        <v>31</v>
      </c>
      <c r="B51" s="56">
        <f>IF(ISERROR((D45*12*B19)+(D46*B20)-B22),"",(D45*12*B19)+(D46*B20)-B22)</f>
        <v>27623.946195065975</v>
      </c>
    </row>
    <row r="52" spans="1:6" ht="15" thickBot="1" x14ac:dyDescent="0.35">
      <c r="A52" s="69"/>
      <c r="B52" s="57">
        <f>IF(ISERROR(B51/B22), "", B51/B22)</f>
        <v>2.4198371371300463E-4</v>
      </c>
    </row>
    <row r="54" spans="1:6" x14ac:dyDescent="0.3">
      <c r="A54" s="58"/>
      <c r="B54" s="2" t="s">
        <v>32</v>
      </c>
      <c r="C54" s="59"/>
    </row>
    <row r="56" spans="1:6" ht="32.4" customHeight="1" x14ac:dyDescent="0.3">
      <c r="A56" s="60">
        <v>1</v>
      </c>
      <c r="B56" s="70" t="s">
        <v>33</v>
      </c>
      <c r="C56" s="71"/>
      <c r="D56" s="71"/>
      <c r="E56" s="71"/>
      <c r="F56" s="71"/>
    </row>
    <row r="57" spans="1:6" ht="32.4" customHeight="1" x14ac:dyDescent="0.3">
      <c r="A57" s="58"/>
      <c r="B57" s="71"/>
      <c r="C57" s="71"/>
      <c r="D57" s="71"/>
      <c r="E57" s="71"/>
      <c r="F57" s="71"/>
    </row>
    <row r="59" spans="1:6" ht="19.95" customHeight="1" x14ac:dyDescent="0.3">
      <c r="A59" s="61">
        <v>2</v>
      </c>
      <c r="B59" s="63" t="s">
        <v>34</v>
      </c>
      <c r="C59" s="63"/>
      <c r="D59" s="63"/>
      <c r="E59" s="63"/>
      <c r="F59" s="63"/>
    </row>
    <row r="60" spans="1:6" ht="19.95" customHeight="1" x14ac:dyDescent="0.3">
      <c r="A60" s="58"/>
      <c r="B60" s="63"/>
      <c r="C60" s="63"/>
      <c r="D60" s="63"/>
      <c r="E60" s="63"/>
      <c r="F60" s="63"/>
    </row>
    <row r="61" spans="1:6" ht="19.95" customHeight="1" x14ac:dyDescent="0.3">
      <c r="A61" s="58"/>
      <c r="B61" s="63"/>
      <c r="C61" s="63"/>
      <c r="D61" s="63"/>
      <c r="E61" s="63"/>
      <c r="F61" s="63"/>
    </row>
    <row r="62" spans="1:6" ht="19.95" customHeight="1" x14ac:dyDescent="0.3">
      <c r="A62" s="58"/>
      <c r="B62" s="63"/>
      <c r="C62" s="63"/>
      <c r="D62" s="63"/>
      <c r="E62" s="63"/>
      <c r="F62" s="63"/>
    </row>
    <row r="64" spans="1:6" ht="16.2" x14ac:dyDescent="0.3">
      <c r="A64" s="61">
        <v>3</v>
      </c>
      <c r="B64" s="63" t="s">
        <v>35</v>
      </c>
      <c r="C64" s="63"/>
      <c r="D64" s="63"/>
      <c r="E64" s="63"/>
      <c r="F64" s="63"/>
    </row>
    <row r="65" spans="1:6" ht="27" customHeight="1" x14ac:dyDescent="0.3">
      <c r="A65" s="58"/>
      <c r="B65" s="63"/>
      <c r="C65" s="63"/>
      <c r="D65" s="63"/>
      <c r="E65" s="63"/>
      <c r="F65" s="63"/>
    </row>
  </sheetData>
  <mergeCells count="7">
    <mergeCell ref="B64:F65"/>
    <mergeCell ref="A18:B18"/>
    <mergeCell ref="A24:B24"/>
    <mergeCell ref="A49:B49"/>
    <mergeCell ref="A51:A52"/>
    <mergeCell ref="B56:F57"/>
    <mergeCell ref="B59:F62"/>
  </mergeCells>
  <printOptions horizontalCentered="1" verticalCentered="1"/>
  <pageMargins left="0.7" right="0.7" top="0.75" bottom="0.5" header="0.3" footer="0.3"/>
  <pageSetup scale="50" orientation="portrait" r:id="rId1"/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2020-08-21T04:00:00+00:00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FF12053F-3022-4677-9EEB-667A67B0B8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5D30EA-3A5E-439D-A8B0-E7BFFA5F1A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979647-3041-4DA4-99B9-9603D9465AB0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95f47813-6223-4a6f-8345-4f354f0b8e15"/>
    <ds:schemaRef ds:uri="31a38067-a042-4e0e-9037-517587b10700"/>
    <ds:schemaRef ds:uri="f0af1d65-dfd0-4b99-b523-def3a954563f"/>
    <ds:schemaRef ds:uri="ea909525-6dd5-47d7-9eed-71e77e5cedc6"/>
    <ds:schemaRef ds:uri="f9175001-c430-4d57-adde-c1c10539e9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UR_2021</vt:lpstr>
      <vt:lpstr>R1_2021</vt:lpstr>
      <vt:lpstr>R2_2021</vt:lpstr>
      <vt:lpstr>Seasonal_2021</vt:lpstr>
      <vt:lpstr>'R1_2021'!Print_Area</vt:lpstr>
      <vt:lpstr>'R2_2021'!Print_Area</vt:lpstr>
      <vt:lpstr>Seasonal_2021!Print_Area</vt:lpstr>
      <vt:lpstr>UR_2021!Print_Area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Susan</dc:creator>
  <cp:lastModifiedBy>Janet Sakauye</cp:lastModifiedBy>
  <cp:lastPrinted>2020-08-26T18:08:32Z</cp:lastPrinted>
  <dcterms:created xsi:type="dcterms:W3CDTF">2020-08-13T03:57:02Z</dcterms:created>
  <dcterms:modified xsi:type="dcterms:W3CDTF">2020-09-01T19:52:59Z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67900</vt:r8>
  </property>
</Properties>
</file>