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80" windowWidth="18880" windowHeight="13240"/>
  </bookViews>
  <sheets>
    <sheet name="UPDATED App.2-JA_OM&amp;A_Summary_A" sheetId="1" r:id="rId1"/>
  </sheets>
  <calcPr calcId="145621"/>
</workbook>
</file>

<file path=xl/calcChain.xml><?xml version="1.0" encoding="utf-8"?>
<calcChain xmlns="http://schemas.openxmlformats.org/spreadsheetml/2006/main">
  <c r="Z34" i="1" l="1"/>
  <c r="P34" i="1"/>
  <c r="Z33" i="1"/>
  <c r="Y33" i="1"/>
  <c r="X33" i="1"/>
  <c r="W33" i="1"/>
  <c r="V33" i="1"/>
  <c r="U33" i="1"/>
  <c r="T33" i="1"/>
  <c r="S33" i="1"/>
  <c r="Q33" i="1"/>
  <c r="P33" i="1"/>
  <c r="Z32" i="1"/>
  <c r="Y32" i="1"/>
  <c r="X32" i="1"/>
  <c r="W32" i="1"/>
  <c r="V32" i="1"/>
  <c r="U32" i="1"/>
  <c r="T32" i="1"/>
  <c r="S32" i="1"/>
  <c r="Q32" i="1"/>
  <c r="P32" i="1"/>
  <c r="Z31" i="1"/>
  <c r="Y31" i="1"/>
  <c r="X31" i="1"/>
  <c r="W31" i="1"/>
  <c r="V31" i="1"/>
  <c r="U31" i="1"/>
  <c r="T31" i="1"/>
  <c r="S31" i="1"/>
  <c r="Q31" i="1"/>
  <c r="P31" i="1"/>
  <c r="Z30" i="1"/>
  <c r="Y30" i="1"/>
  <c r="X30" i="1"/>
  <c r="W30" i="1"/>
  <c r="V30" i="1"/>
  <c r="U30" i="1"/>
  <c r="T30" i="1"/>
  <c r="S30" i="1"/>
  <c r="Q30" i="1"/>
  <c r="P30" i="1"/>
  <c r="Z29" i="1"/>
  <c r="Y29" i="1"/>
  <c r="Y34" i="1" s="1"/>
  <c r="X29" i="1"/>
  <c r="X34" i="1" s="1"/>
  <c r="W29" i="1"/>
  <c r="W34" i="1" s="1"/>
  <c r="V29" i="1"/>
  <c r="V34" i="1" s="1"/>
  <c r="U29" i="1"/>
  <c r="U34" i="1" s="1"/>
  <c r="T29" i="1"/>
  <c r="T34" i="1" s="1"/>
  <c r="S29" i="1"/>
  <c r="S34" i="1" s="1"/>
  <c r="Q29" i="1"/>
  <c r="Q34" i="1" s="1"/>
  <c r="Q35" i="1" s="1"/>
  <c r="P29" i="1"/>
  <c r="Q28" i="1"/>
  <c r="P28" i="1"/>
  <c r="K22" i="1"/>
  <c r="G22" i="1"/>
  <c r="L21" i="1"/>
  <c r="L23" i="1" s="1"/>
  <c r="K21" i="1"/>
  <c r="K24" i="1" s="1"/>
  <c r="J21" i="1"/>
  <c r="J22" i="1" s="1"/>
  <c r="I21" i="1"/>
  <c r="I22" i="1" s="1"/>
  <c r="H21" i="1"/>
  <c r="H22" i="1" s="1"/>
  <c r="G21" i="1"/>
  <c r="G24" i="1" s="1"/>
  <c r="G25" i="1" s="1"/>
  <c r="F21" i="1"/>
  <c r="F24" i="1" s="1"/>
  <c r="F25" i="1" s="1"/>
  <c r="E21" i="1"/>
  <c r="E24" i="1" s="1"/>
  <c r="E25" i="1" s="1"/>
  <c r="D21" i="1"/>
  <c r="D24" i="1" s="1"/>
  <c r="D25" i="1" s="1"/>
  <c r="C21" i="1"/>
  <c r="C24" i="1" s="1"/>
  <c r="C25" i="1" s="1"/>
  <c r="B21" i="1"/>
  <c r="C22" i="1" s="1"/>
  <c r="AB17" i="1"/>
  <c r="AB19" i="1" s="1"/>
  <c r="V17" i="1"/>
  <c r="U17" i="1"/>
  <c r="T17" i="1"/>
  <c r="S17" i="1"/>
  <c r="Q17" i="1"/>
  <c r="Q19" i="1" s="1"/>
  <c r="P17" i="1"/>
  <c r="P19" i="1" s="1"/>
  <c r="AB16" i="1"/>
  <c r="AA16" i="1"/>
  <c r="Z16" i="1"/>
  <c r="Y16" i="1"/>
  <c r="X16" i="1"/>
  <c r="W16" i="1"/>
  <c r="V16" i="1"/>
  <c r="U16" i="1"/>
  <c r="T16" i="1"/>
  <c r="S16" i="1"/>
  <c r="Q16" i="1"/>
  <c r="P16" i="1"/>
  <c r="R16" i="1" s="1"/>
  <c r="AB15" i="1"/>
  <c r="Z15" i="1"/>
  <c r="AA15" i="1" s="1"/>
  <c r="Y15" i="1"/>
  <c r="X15" i="1"/>
  <c r="W15" i="1"/>
  <c r="V15" i="1"/>
  <c r="U15" i="1"/>
  <c r="T15" i="1"/>
  <c r="S15" i="1"/>
  <c r="R15" i="1"/>
  <c r="Q15" i="1"/>
  <c r="P15" i="1"/>
  <c r="L15" i="1"/>
  <c r="L17" i="1" s="1"/>
  <c r="K15" i="1"/>
  <c r="K16" i="1" s="1"/>
  <c r="J15" i="1"/>
  <c r="J16" i="1" s="1"/>
  <c r="I15" i="1"/>
  <c r="I16" i="1" s="1"/>
  <c r="H15" i="1"/>
  <c r="G15" i="1"/>
  <c r="G16" i="1" s="1"/>
  <c r="F15" i="1"/>
  <c r="F16" i="1" s="1"/>
  <c r="E15" i="1"/>
  <c r="E16" i="1" s="1"/>
  <c r="D15" i="1"/>
  <c r="C15" i="1"/>
  <c r="C16" i="1" s="1"/>
  <c r="B15" i="1"/>
  <c r="AB14" i="1"/>
  <c r="Z14" i="1"/>
  <c r="AA14" i="1" s="1"/>
  <c r="Y14" i="1"/>
  <c r="X14" i="1"/>
  <c r="W14" i="1"/>
  <c r="V14" i="1"/>
  <c r="U14" i="1"/>
  <c r="T14" i="1"/>
  <c r="S14" i="1"/>
  <c r="R14" i="1"/>
  <c r="Q14" i="1"/>
  <c r="P14" i="1"/>
  <c r="AB13" i="1"/>
  <c r="AA13" i="1"/>
  <c r="Z13" i="1"/>
  <c r="Y13" i="1"/>
  <c r="X13" i="1"/>
  <c r="W13" i="1"/>
  <c r="V13" i="1"/>
  <c r="U13" i="1"/>
  <c r="T13" i="1"/>
  <c r="S13" i="1"/>
  <c r="Q13" i="1"/>
  <c r="R13" i="1" s="1"/>
  <c r="P13" i="1"/>
  <c r="AB12" i="1"/>
  <c r="Z12" i="1"/>
  <c r="AA12" i="1" s="1"/>
  <c r="Y12" i="1"/>
  <c r="X12" i="1"/>
  <c r="W12" i="1"/>
  <c r="V12" i="1"/>
  <c r="U12" i="1"/>
  <c r="T12" i="1"/>
  <c r="S12" i="1"/>
  <c r="Q12" i="1"/>
  <c r="P12" i="1"/>
  <c r="R12" i="1" s="1"/>
  <c r="AC11" i="1"/>
  <c r="AB11" i="1"/>
  <c r="Z11" i="1"/>
  <c r="AB10" i="1"/>
  <c r="Z10" i="1"/>
  <c r="Z35" i="1" s="1"/>
  <c r="Y10" i="1"/>
  <c r="Y35" i="1" s="1"/>
  <c r="X10" i="1"/>
  <c r="X35" i="1" s="1"/>
  <c r="W10" i="1"/>
  <c r="V10" i="1"/>
  <c r="V20" i="1" s="1"/>
  <c r="T10" i="1"/>
  <c r="T20" i="1" s="1"/>
  <c r="F10" i="1"/>
  <c r="U10" i="1" s="1"/>
  <c r="E10" i="1"/>
  <c r="D10" i="1"/>
  <c r="S10" i="1" s="1"/>
  <c r="C10" i="1"/>
  <c r="S21" i="1" l="1"/>
  <c r="S20" i="1"/>
  <c r="T21" i="1"/>
  <c r="S35" i="1"/>
  <c r="S19" i="1"/>
  <c r="AC24" i="1"/>
  <c r="U20" i="1"/>
  <c r="U35" i="1"/>
  <c r="V21" i="1"/>
  <c r="U19" i="1"/>
  <c r="L25" i="1"/>
  <c r="K25" i="1"/>
  <c r="Z17" i="1"/>
  <c r="R17" i="1"/>
  <c r="R19" i="1" s="1"/>
  <c r="T19" i="1"/>
  <c r="U21" i="1"/>
  <c r="D22" i="1"/>
  <c r="L22" i="1"/>
  <c r="H16" i="1"/>
  <c r="D16" i="1"/>
  <c r="E22" i="1"/>
  <c r="H24" i="1"/>
  <c r="T35" i="1"/>
  <c r="L16" i="1"/>
  <c r="V19" i="1"/>
  <c r="W21" i="1"/>
  <c r="F22" i="1"/>
  <c r="I24" i="1"/>
  <c r="J24" i="1"/>
  <c r="V35" i="1"/>
  <c r="AA11" i="1"/>
  <c r="W35" i="1"/>
  <c r="Z19" i="1"/>
  <c r="AB20" i="1" s="1"/>
  <c r="AB21" i="1" s="1"/>
  <c r="AC17" i="1" l="1"/>
  <c r="AC19" i="1" s="1"/>
  <c r="X17" i="1"/>
  <c r="X19" i="1" s="1"/>
  <c r="I25" i="1"/>
  <c r="W17" i="1"/>
  <c r="W19" i="1" s="1"/>
  <c r="W20" i="1" s="1"/>
  <c r="H25" i="1"/>
  <c r="J25" i="1"/>
  <c r="Y17" i="1"/>
  <c r="Y19" i="1" s="1"/>
  <c r="AB25" i="1" l="1"/>
  <c r="AB22" i="1"/>
  <c r="Z20" i="1"/>
  <c r="Z21" i="1" s="1"/>
  <c r="Y20" i="1"/>
  <c r="Y21" i="1" s="1"/>
  <c r="X20" i="1"/>
  <c r="X21" i="1" s="1"/>
  <c r="AB23" i="1" s="1"/>
  <c r="AA17" i="1"/>
  <c r="AA19" i="1" s="1"/>
</calcChain>
</file>

<file path=xl/sharedStrings.xml><?xml version="1.0" encoding="utf-8"?>
<sst xmlns="http://schemas.openxmlformats.org/spreadsheetml/2006/main" count="101" uniqueCount="69">
  <si>
    <t>EB-2019-0261</t>
  </si>
  <si>
    <t>Last Rebasing Year</t>
  </si>
  <si>
    <t>Column</t>
  </si>
  <si>
    <t>Settlement Proposal</t>
  </si>
  <si>
    <t>B</t>
  </si>
  <si>
    <t>ae</t>
  </si>
  <si>
    <t>Attachment 12</t>
  </si>
  <si>
    <t>D</t>
  </si>
  <si>
    <t>ah</t>
  </si>
  <si>
    <t>TO BE UPDATED AT THE DRAFT RATE ORDER STAGE</t>
  </si>
  <si>
    <t>G</t>
  </si>
  <si>
    <t>ak</t>
  </si>
  <si>
    <t>M</t>
  </si>
  <si>
    <t>aq</t>
  </si>
  <si>
    <t>P</t>
  </si>
  <si>
    <t>at</t>
  </si>
  <si>
    <t>S</t>
  </si>
  <si>
    <t>aw</t>
  </si>
  <si>
    <t>Appendix 2-JA</t>
  </si>
  <si>
    <t>V</t>
  </si>
  <si>
    <t>az</t>
  </si>
  <si>
    <r>
      <t xml:space="preserve">Summary of </t>
    </r>
    <r>
      <rPr>
        <b/>
        <u/>
        <sz val="14"/>
        <color rgb="FFFF0000"/>
        <rFont val="Arial"/>
      </rPr>
      <t>Recoverable</t>
    </r>
    <r>
      <rPr>
        <b/>
        <sz val="14"/>
        <rFont val="Arial"/>
      </rPr>
      <t xml:space="preserve"> OM&amp;A Expenses</t>
    </r>
  </si>
  <si>
    <t>2016 Last Rebasing Year OEB Approved</t>
  </si>
  <si>
    <t>2016 Last Rebasing Year Actuals</t>
  </si>
  <si>
    <t>2013 Actuals</t>
  </si>
  <si>
    <t>2014 Actuals</t>
  </si>
  <si>
    <t>2015 Actuals</t>
  </si>
  <si>
    <t>2017 Actuals</t>
  </si>
  <si>
    <t>2018 Actuals</t>
  </si>
  <si>
    <t>2019 Actuals</t>
  </si>
  <si>
    <t>2020 Bridge Year *</t>
  </si>
  <si>
    <t>2021 Test Year **</t>
  </si>
  <si>
    <t>Last Rebasing Year 2016 OEB Approved</t>
  </si>
  <si>
    <t>Last Rebasing Year 2016 Actuals</t>
  </si>
  <si>
    <t>Variance 2016 OEB Approved - 2016 Actuals</t>
  </si>
  <si>
    <t>Reporting Basis</t>
  </si>
  <si>
    <t>MIFRS</t>
  </si>
  <si>
    <t>Operations</t>
  </si>
  <si>
    <t xml:space="preserve">Maintenance </t>
  </si>
  <si>
    <t>Maintenance</t>
  </si>
  <si>
    <t xml:space="preserve">Billing and Collecting </t>
  </si>
  <si>
    <t>SubTotal</t>
  </si>
  <si>
    <t xml:space="preserve">Community Relations </t>
  </si>
  <si>
    <t>%Change (year over year)</t>
  </si>
  <si>
    <t xml:space="preserve">Administrative and General </t>
  </si>
  <si>
    <t>%Change (Test Year vs 
Last Rebasing Year - Actual)</t>
  </si>
  <si>
    <t xml:space="preserve">Total OM&amp;A Expenses </t>
  </si>
  <si>
    <t>Billing and Collecting</t>
  </si>
  <si>
    <t>Adjustments for Total non-recoverable items (from Appendices 2-JA and 2-JB)</t>
  </si>
  <si>
    <t>Community Relations</t>
  </si>
  <si>
    <t xml:space="preserve">Total Recoverable OM&amp;A Expenses </t>
  </si>
  <si>
    <t>Administrative and General</t>
  </si>
  <si>
    <t xml:space="preserve">Variance from previous year </t>
  </si>
  <si>
    <t xml:space="preserve">Percent change (year over year) </t>
  </si>
  <si>
    <t xml:space="preserve">Percent Change:                                                    Test year vs. Most Current Actual </t>
  </si>
  <si>
    <t>Simple average of % variance for all years</t>
  </si>
  <si>
    <t>Total</t>
  </si>
  <si>
    <t>Compound Annual Growth Rate for all years</t>
  </si>
  <si>
    <t>Compound Growth Rate                                                            (2019 vs. 2016 Actuals)</t>
  </si>
  <si>
    <t>Hydro Ottawa Notes:</t>
  </si>
  <si>
    <t>2012 Actuals</t>
  </si>
  <si>
    <t>2020 Bridge Year</t>
  </si>
  <si>
    <t>2021 Test Year</t>
  </si>
  <si>
    <t>*    2020 Bridge Year based on Q2 2020 Forecast, as per the response to undertaking JT 1.24</t>
  </si>
  <si>
    <t>**   2021 Test Year OM&amp;A reduced by $3,322,656 on an envelope basis as per Settlement Proposal</t>
  </si>
  <si>
    <t>Note:</t>
  </si>
  <si>
    <t>1     Historical actuals going back to the last cost of service application are required to be entered by the applicant.</t>
  </si>
  <si>
    <t>2     Recoverable OM&amp;A that is included on these tables should be identical to the recoverable OM&amp;A that is shown for the corresponding periods on Appendix 2-JB.</t>
  </si>
  <si>
    <t>September 18,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</si>
</sst>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mm\ d\,\ yyyy"/>
    <numFmt numFmtId="165" formatCode="_-&quot;$&quot;* #,##0_-;\-&quot;$&quot;* #,##0_-;_-&quot;$&quot;* &quot;-&quot;??_-;_-@"/>
    <numFmt numFmtId="166" formatCode="0.0%"/>
    <numFmt numFmtId="167" formatCode="_-* #,##0_-;\-* #,##0_-;_-* &quot;-&quot;??_-;_-@"/>
    <numFmt numFmtId="168" formatCode="&quot;$&quot;#,##0"/>
  </numFmts>
  <fonts count="21" x14ac:knownFonts="1">
    <font>
      <sz val="10"/>
      <color rgb="FF000000"/>
      <name val="Arial"/>
    </font>
    <font>
      <sz val="10"/>
      <color theme="1"/>
      <name val="Arial"/>
    </font>
    <font>
      <b/>
      <sz val="10"/>
      <name val="Arial"/>
    </font>
    <font>
      <sz val="9"/>
      <name val="Arial"/>
    </font>
    <font>
      <sz val="10"/>
      <color rgb="FFFFFFFF"/>
      <name val="Arial"/>
    </font>
    <font>
      <b/>
      <sz val="11"/>
      <color rgb="FFFF0000"/>
      <name val="Arial"/>
    </font>
    <font>
      <b/>
      <sz val="14"/>
      <color theme="1"/>
      <name val="Arial"/>
    </font>
    <font>
      <sz val="8"/>
      <name val="Arial"/>
    </font>
    <font>
      <b/>
      <sz val="10"/>
      <color theme="1"/>
      <name val="Arial"/>
    </font>
    <font>
      <sz val="9"/>
      <color theme="1"/>
      <name val="Arial"/>
    </font>
    <font>
      <b/>
      <sz val="10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b/>
      <i/>
      <sz val="9"/>
      <color rgb="FFFF0000"/>
      <name val="Arial"/>
    </font>
    <font>
      <b/>
      <sz val="9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sz val="8"/>
      <color theme="1"/>
      <name val="Arial"/>
    </font>
    <font>
      <sz val="10"/>
      <name val="Arial"/>
    </font>
    <font>
      <b/>
      <u/>
      <sz val="14"/>
      <color rgb="FFFF0000"/>
      <name val="Arial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BFBFBF"/>
        <bgColor rgb="FFBFBFBF"/>
      </patternFill>
    </fill>
    <fill>
      <patternFill patternType="solid">
        <fgColor rgb="FFFFF2CC"/>
        <bgColor rgb="FFFFF2CC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</fills>
  <borders count="37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3" fillId="0" borderId="1" xfId="0" applyFont="1" applyBorder="1" applyAlignment="1">
      <alignment horizontal="right" vertical="top"/>
    </xf>
    <xf numFmtId="0" fontId="5" fillId="0" borderId="0" xfId="0" applyFont="1"/>
    <xf numFmtId="0" fontId="6" fillId="2" borderId="0" xfId="0" applyFont="1" applyFill="1"/>
    <xf numFmtId="0" fontId="1" fillId="2" borderId="0" xfId="0" applyFont="1" applyFill="1"/>
    <xf numFmtId="0" fontId="7" fillId="0" borderId="0" xfId="0" applyFont="1" applyAlignment="1">
      <alignment horizontal="right" vertical="top"/>
    </xf>
    <xf numFmtId="0" fontId="6" fillId="0" borderId="0" xfId="0" applyFont="1" applyAlignment="1"/>
    <xf numFmtId="164" fontId="7" fillId="0" borderId="2" xfId="0" applyNumberFormat="1" applyFont="1" applyBorder="1" applyAlignment="1">
      <alignment horizontal="right" vertical="top"/>
    </xf>
    <xf numFmtId="0" fontId="8" fillId="0" borderId="3" xfId="0" applyFont="1" applyBorder="1"/>
    <xf numFmtId="0" fontId="8" fillId="0" borderId="3" xfId="0" applyFont="1" applyBorder="1" applyAlignment="1"/>
    <xf numFmtId="0" fontId="8" fillId="0" borderId="0" xfId="0" applyFont="1" applyAlignment="1">
      <alignment horizontal="center"/>
    </xf>
    <xf numFmtId="0" fontId="1" fillId="0" borderId="3" xfId="0" applyFont="1" applyBorder="1" applyAlignment="1"/>
    <xf numFmtId="0" fontId="1" fillId="0" borderId="3" xfId="0" applyFont="1" applyBorder="1"/>
    <xf numFmtId="0" fontId="9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vertical="center" wrapText="1"/>
    </xf>
    <xf numFmtId="165" fontId="14" fillId="0" borderId="12" xfId="0" applyNumberFormat="1" applyFont="1" applyBorder="1" applyAlignment="1">
      <alignment vertical="center" wrapText="1"/>
    </xf>
    <xf numFmtId="165" fontId="14" fillId="3" borderId="12" xfId="0" applyNumberFormat="1" applyFont="1" applyFill="1" applyBorder="1" applyAlignment="1">
      <alignment vertical="center" wrapText="1"/>
    </xf>
    <xf numFmtId="165" fontId="14" fillId="0" borderId="13" xfId="0" applyNumberFormat="1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165" fontId="15" fillId="5" borderId="12" xfId="0" applyNumberFormat="1" applyFont="1" applyFill="1" applyBorder="1" applyAlignment="1">
      <alignment horizontal="right"/>
    </xf>
    <xf numFmtId="165" fontId="9" fillId="6" borderId="15" xfId="0" applyNumberFormat="1" applyFont="1" applyFill="1" applyBorder="1" applyAlignment="1">
      <alignment vertical="center" wrapText="1"/>
    </xf>
    <xf numFmtId="165" fontId="15" fillId="7" borderId="12" xfId="0" applyNumberFormat="1" applyFont="1" applyFill="1" applyBorder="1" applyAlignment="1">
      <alignment horizontal="right"/>
    </xf>
    <xf numFmtId="165" fontId="16" fillId="5" borderId="16" xfId="0" applyNumberFormat="1" applyFont="1" applyFill="1" applyBorder="1" applyAlignment="1">
      <alignment horizontal="right"/>
    </xf>
    <xf numFmtId="3" fontId="9" fillId="0" borderId="0" xfId="0" applyNumberFormat="1" applyFont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165" fontId="14" fillId="0" borderId="18" xfId="0" applyNumberFormat="1" applyFont="1" applyBorder="1" applyAlignment="1">
      <alignment vertical="center" wrapText="1"/>
    </xf>
    <xf numFmtId="165" fontId="14" fillId="3" borderId="18" xfId="0" applyNumberFormat="1" applyFont="1" applyFill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165" fontId="9" fillId="6" borderId="16" xfId="0" applyNumberFormat="1" applyFont="1" applyFill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5" fontId="11" fillId="0" borderId="16" xfId="0" applyNumberFormat="1" applyFont="1" applyBorder="1" applyAlignment="1">
      <alignment vertical="center" wrapText="1"/>
    </xf>
    <xf numFmtId="165" fontId="11" fillId="3" borderId="16" xfId="0" applyNumberFormat="1" applyFont="1" applyFill="1" applyBorder="1" applyAlignment="1">
      <alignment vertical="center" wrapText="1"/>
    </xf>
    <xf numFmtId="165" fontId="11" fillId="0" borderId="19" xfId="0" applyNumberFormat="1" applyFont="1" applyBorder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166" fontId="9" fillId="6" borderId="16" xfId="0" applyNumberFormat="1" applyFont="1" applyFill="1" applyBorder="1" applyAlignment="1">
      <alignment vertical="center" wrapText="1"/>
    </xf>
    <xf numFmtId="166" fontId="9" fillId="0" borderId="16" xfId="0" applyNumberFormat="1" applyFont="1" applyBorder="1" applyAlignment="1">
      <alignment vertical="center" wrapText="1"/>
    </xf>
    <xf numFmtId="166" fontId="9" fillId="3" borderId="16" xfId="0" applyNumberFormat="1" applyFont="1" applyFill="1" applyBorder="1" applyAlignment="1">
      <alignment vertical="center" wrapText="1"/>
    </xf>
    <xf numFmtId="166" fontId="9" fillId="0" borderId="19" xfId="0" applyNumberFormat="1" applyFont="1" applyBorder="1" applyAlignment="1">
      <alignment vertical="center" wrapText="1"/>
    </xf>
    <xf numFmtId="166" fontId="9" fillId="0" borderId="20" xfId="0" applyNumberFormat="1" applyFont="1" applyBorder="1" applyAlignment="1">
      <alignment vertical="center" wrapText="1"/>
    </xf>
    <xf numFmtId="166" fontId="9" fillId="0" borderId="21" xfId="0" applyNumberFormat="1" applyFont="1" applyBorder="1" applyAlignment="1">
      <alignment vertical="center" wrapText="1"/>
    </xf>
    <xf numFmtId="166" fontId="9" fillId="3" borderId="21" xfId="0" applyNumberFormat="1" applyFont="1" applyFill="1" applyBorder="1" applyAlignment="1">
      <alignment vertical="center" wrapText="1"/>
    </xf>
    <xf numFmtId="166" fontId="9" fillId="0" borderId="18" xfId="0" applyNumberFormat="1" applyFont="1" applyBorder="1" applyAlignment="1">
      <alignment vertical="center" wrapText="1"/>
    </xf>
    <xf numFmtId="165" fontId="14" fillId="0" borderId="13" xfId="0" applyNumberFormat="1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8" borderId="23" xfId="0" applyFont="1" applyFill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165" fontId="12" fillId="0" borderId="16" xfId="0" applyNumberFormat="1" applyFont="1" applyBorder="1" applyAlignment="1">
      <alignment vertical="center" wrapText="1"/>
    </xf>
    <xf numFmtId="165" fontId="12" fillId="3" borderId="16" xfId="0" applyNumberFormat="1" applyFont="1" applyFill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8" borderId="2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9" fontId="12" fillId="0" borderId="16" xfId="0" applyNumberFormat="1" applyFont="1" applyBorder="1" applyAlignment="1">
      <alignment vertical="center" wrapText="1"/>
    </xf>
    <xf numFmtId="166" fontId="12" fillId="0" borderId="16" xfId="0" applyNumberFormat="1" applyFont="1" applyBorder="1" applyAlignment="1">
      <alignment vertical="center" wrapText="1"/>
    </xf>
    <xf numFmtId="166" fontId="12" fillId="3" borderId="16" xfId="0" applyNumberFormat="1" applyFont="1" applyFill="1" applyBorder="1" applyAlignment="1">
      <alignment vertical="center" wrapText="1"/>
    </xf>
    <xf numFmtId="166" fontId="14" fillId="0" borderId="0" xfId="0" applyNumberFormat="1" applyFont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166" fontId="9" fillId="9" borderId="16" xfId="0" applyNumberFormat="1" applyFont="1" applyFill="1" applyBorder="1" applyAlignment="1">
      <alignment vertical="center" wrapText="1"/>
    </xf>
    <xf numFmtId="0" fontId="14" fillId="8" borderId="27" xfId="0" applyFont="1" applyFill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10" fontId="12" fillId="3" borderId="16" xfId="0" applyNumberFormat="1" applyFont="1" applyFill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10" fontId="1" fillId="0" borderId="0" xfId="0" applyNumberFormat="1" applyFont="1"/>
    <xf numFmtId="165" fontId="11" fillId="0" borderId="16" xfId="0" applyNumberFormat="1" applyFont="1" applyBorder="1" applyAlignment="1">
      <alignment vertical="center" wrapText="1"/>
    </xf>
    <xf numFmtId="165" fontId="11" fillId="0" borderId="19" xfId="0" applyNumberFormat="1" applyFont="1" applyBorder="1" applyAlignment="1">
      <alignment vertical="center" wrapText="1"/>
    </xf>
    <xf numFmtId="0" fontId="14" fillId="3" borderId="28" xfId="0" applyFont="1" applyFill="1" applyBorder="1" applyAlignment="1">
      <alignment vertical="center" wrapText="1"/>
    </xf>
    <xf numFmtId="166" fontId="12" fillId="0" borderId="19" xfId="0" applyNumberFormat="1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166" fontId="9" fillId="6" borderId="31" xfId="0" applyNumberFormat="1" applyFont="1" applyFill="1" applyBorder="1" applyAlignment="1">
      <alignment vertical="center" wrapText="1"/>
    </xf>
    <xf numFmtId="166" fontId="9" fillId="9" borderId="31" xfId="0" applyNumberFormat="1" applyFont="1" applyFill="1" applyBorder="1" applyAlignment="1">
      <alignment vertical="center" wrapText="1"/>
    </xf>
    <xf numFmtId="166" fontId="9" fillId="0" borderId="31" xfId="0" applyNumberFormat="1" applyFont="1" applyBorder="1" applyAlignment="1">
      <alignment vertical="center" wrapText="1"/>
    </xf>
    <xf numFmtId="166" fontId="9" fillId="3" borderId="31" xfId="0" applyNumberFormat="1" applyFont="1" applyFill="1" applyBorder="1" applyAlignment="1">
      <alignment vertical="center" wrapText="1"/>
    </xf>
    <xf numFmtId="166" fontId="9" fillId="0" borderId="32" xfId="0" applyNumberFormat="1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166" fontId="12" fillId="3" borderId="31" xfId="0" applyNumberFormat="1" applyFont="1" applyFill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7" fontId="1" fillId="0" borderId="0" xfId="0" applyNumberFormat="1" applyFont="1" applyAlignment="1">
      <alignment vertical="center" wrapText="1"/>
    </xf>
    <xf numFmtId="167" fontId="17" fillId="0" borderId="0" xfId="0" applyNumberFormat="1" applyFont="1" applyAlignment="1">
      <alignment vertical="center" wrapText="1"/>
    </xf>
    <xf numFmtId="168" fontId="1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" fillId="0" borderId="34" xfId="0" applyFont="1" applyBorder="1"/>
    <xf numFmtId="0" fontId="8" fillId="0" borderId="5" xfId="0" applyFont="1" applyBorder="1" applyAlignment="1">
      <alignment horizontal="center" vertical="center" wrapText="1"/>
    </xf>
    <xf numFmtId="0" fontId="18" fillId="0" borderId="0" xfId="0" applyFont="1" applyAlignment="1"/>
    <xf numFmtId="165" fontId="9" fillId="0" borderId="16" xfId="0" applyNumberFormat="1" applyFont="1" applyBorder="1" applyAlignment="1">
      <alignment vertical="center" wrapText="1"/>
    </xf>
    <xf numFmtId="165" fontId="9" fillId="3" borderId="16" xfId="0" applyNumberFormat="1" applyFont="1" applyFill="1" applyBorder="1" applyAlignment="1">
      <alignment vertical="center" wrapText="1"/>
    </xf>
    <xf numFmtId="165" fontId="9" fillId="0" borderId="19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166" fontId="1" fillId="0" borderId="0" xfId="0" applyNumberFormat="1" applyFont="1"/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166" fontId="9" fillId="9" borderId="35" xfId="0" applyNumberFormat="1" applyFont="1" applyFill="1" applyBorder="1" applyAlignment="1">
      <alignment vertical="center" wrapText="1"/>
    </xf>
    <xf numFmtId="0" fontId="1" fillId="0" borderId="36" xfId="0" applyFont="1" applyBorder="1"/>
    <xf numFmtId="0" fontId="1" fillId="0" borderId="0" xfId="0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0" fontId="3" fillId="0" borderId="1" xfId="0" quotePrefix="1" applyFont="1" applyFill="1" applyBorder="1" applyAlignment="1">
      <alignment horizontal="right" vertical="top"/>
    </xf>
  </cellXfs>
  <cellStyles count="1">
    <cellStyle name="Normal" xfId="0" builtinId="0"/>
  </cellStyles>
  <dxfs count="8">
    <dxf>
      <fill>
        <patternFill patternType="solid">
          <fgColor rgb="FFEAF1DD"/>
          <bgColor rgb="FFEAF1DD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EAF1DD"/>
          <bgColor rgb="FFEAF1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A1C7"/>
  </sheetPr>
  <dimension ref="A1:AQ1004"/>
  <sheetViews>
    <sheetView showGridLines="0" tabSelected="1" workbookViewId="0">
      <selection activeCell="L4" sqref="L4"/>
    </sheetView>
  </sheetViews>
  <sheetFormatPr defaultColWidth="14.453125" defaultRowHeight="15.75" customHeight="1" x14ac:dyDescent="0.25"/>
  <cols>
    <col min="1" max="1" width="29" customWidth="1"/>
    <col min="2" max="2" width="17.453125" customWidth="1"/>
    <col min="3" max="6" width="15" hidden="1" customWidth="1"/>
    <col min="7" max="9" width="15" customWidth="1"/>
    <col min="10" max="10" width="13.453125" customWidth="1"/>
    <col min="11" max="12" width="12.54296875" customWidth="1"/>
    <col min="13" max="13" width="8.54296875" customWidth="1"/>
    <col min="14" max="14" width="5.7265625" customWidth="1"/>
    <col min="15" max="15" width="27.453125" customWidth="1"/>
    <col min="16" max="18" width="13.453125" customWidth="1"/>
    <col min="19" max="22" width="13.453125" hidden="1" customWidth="1"/>
    <col min="23" max="29" width="13.453125" customWidth="1"/>
    <col min="30" max="30" width="6.54296875" customWidth="1"/>
    <col min="31" max="43" width="13.453125" customWidth="1"/>
  </cols>
  <sheetData>
    <row r="1" spans="1:43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 t="s">
        <v>0</v>
      </c>
      <c r="M1" s="4"/>
      <c r="N1" s="4" t="s">
        <v>1</v>
      </c>
      <c r="O1" s="4" t="s">
        <v>2</v>
      </c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2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5" t="s">
        <v>3</v>
      </c>
      <c r="M2" s="4"/>
      <c r="N2" s="4">
        <v>2010</v>
      </c>
      <c r="O2" s="4" t="s">
        <v>4</v>
      </c>
      <c r="P2" s="4" t="s">
        <v>5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2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5" t="s">
        <v>6</v>
      </c>
      <c r="M3" s="4"/>
      <c r="N3" s="4">
        <v>2011</v>
      </c>
      <c r="O3" s="4" t="s">
        <v>7</v>
      </c>
      <c r="P3" s="4" t="s">
        <v>8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12.75" customHeight="1" x14ac:dyDescent="0.3">
      <c r="A4" s="6" t="s">
        <v>9</v>
      </c>
      <c r="B4" s="1"/>
      <c r="C4" s="1"/>
      <c r="D4" s="1"/>
      <c r="E4" s="1"/>
      <c r="F4" s="1"/>
      <c r="G4" s="1"/>
      <c r="H4" s="1"/>
      <c r="I4" s="1"/>
      <c r="J4" s="1"/>
      <c r="K4" s="2"/>
      <c r="L4" s="120" t="s">
        <v>68</v>
      </c>
      <c r="M4" s="4"/>
      <c r="N4" s="4">
        <v>2012</v>
      </c>
      <c r="O4" s="4" t="s">
        <v>10</v>
      </c>
      <c r="P4" s="4" t="s">
        <v>11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12.75" customHeight="1" x14ac:dyDescent="0.4">
      <c r="A5" s="1"/>
      <c r="C5" s="7"/>
      <c r="D5" s="7"/>
      <c r="E5" s="8"/>
      <c r="F5" s="8"/>
      <c r="J5" s="1"/>
      <c r="K5" s="2"/>
      <c r="L5" s="9"/>
      <c r="M5" s="4"/>
      <c r="N5" s="4">
        <v>2014</v>
      </c>
      <c r="O5" s="4" t="s">
        <v>12</v>
      </c>
      <c r="P5" s="4" t="s">
        <v>13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12.75" customHeight="1" x14ac:dyDescent="0.4">
      <c r="A6" s="1"/>
      <c r="B6" s="10"/>
      <c r="C6" s="1"/>
      <c r="D6" s="1"/>
      <c r="E6" s="1"/>
      <c r="F6" s="1"/>
      <c r="G6" s="1"/>
      <c r="H6" s="1"/>
      <c r="I6" s="1"/>
      <c r="J6" s="1"/>
      <c r="K6" s="2"/>
      <c r="L6" s="11"/>
      <c r="M6" s="4"/>
      <c r="N6" s="4">
        <v>2015</v>
      </c>
      <c r="O6" s="4" t="s">
        <v>14</v>
      </c>
      <c r="P6" s="4" t="s">
        <v>15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12.75" customHeight="1" x14ac:dyDescent="0.25">
      <c r="A7" s="117" t="s">
        <v>3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4"/>
      <c r="N7" s="4">
        <v>2016</v>
      </c>
      <c r="O7" s="4" t="s">
        <v>16</v>
      </c>
      <c r="P7" s="4" t="s">
        <v>17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2.75" customHeight="1" x14ac:dyDescent="0.25">
      <c r="A8" s="117" t="s">
        <v>18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4"/>
      <c r="N8" s="4">
        <v>2017</v>
      </c>
      <c r="O8" s="4" t="s">
        <v>19</v>
      </c>
      <c r="P8" s="4" t="s">
        <v>20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ht="34.5" customHeight="1" x14ac:dyDescent="0.25">
      <c r="A9" s="117" t="s">
        <v>21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4"/>
      <c r="N9" s="4"/>
      <c r="O9" s="4"/>
      <c r="P9" s="4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12.75" customHeight="1" x14ac:dyDescent="0.3">
      <c r="A10" s="1"/>
      <c r="B10" s="1"/>
      <c r="C10" s="12" t="e">
        <f>#REF!</f>
        <v>#REF!</v>
      </c>
      <c r="D10" s="12" t="e">
        <f>#REF!-8</f>
        <v>#REF!</v>
      </c>
      <c r="E10" s="12" t="e">
        <f>#REF!-7</f>
        <v>#REF!</v>
      </c>
      <c r="F10" s="12" t="e">
        <f>#REF!-6</f>
        <v>#REF!</v>
      </c>
      <c r="G10" s="13">
        <v>2016</v>
      </c>
      <c r="H10" s="13">
        <v>2017</v>
      </c>
      <c r="I10" s="13">
        <v>2018</v>
      </c>
      <c r="J10" s="13">
        <v>2019</v>
      </c>
      <c r="K10" s="14">
        <v>2020</v>
      </c>
      <c r="L10" s="14">
        <v>2021</v>
      </c>
      <c r="M10" s="1"/>
      <c r="N10" s="1"/>
      <c r="O10" s="1"/>
      <c r="P10" s="15">
        <v>2016</v>
      </c>
      <c r="Q10" s="16"/>
      <c r="R10" s="16"/>
      <c r="S10" s="16" t="e">
        <f t="shared" ref="S10:Z10" si="0">D10</f>
        <v>#REF!</v>
      </c>
      <c r="T10" s="16" t="e">
        <f t="shared" si="0"/>
        <v>#REF!</v>
      </c>
      <c r="U10" s="16" t="e">
        <f t="shared" si="0"/>
        <v>#REF!</v>
      </c>
      <c r="V10" s="16">
        <f t="shared" si="0"/>
        <v>2016</v>
      </c>
      <c r="W10" s="16">
        <f t="shared" si="0"/>
        <v>2017</v>
      </c>
      <c r="X10" s="16">
        <f t="shared" si="0"/>
        <v>2018</v>
      </c>
      <c r="Y10" s="16">
        <f t="shared" si="0"/>
        <v>2019</v>
      </c>
      <c r="Z10" s="16">
        <f t="shared" si="0"/>
        <v>2020</v>
      </c>
      <c r="AA10" s="16"/>
      <c r="AB10" s="16">
        <f>L10</f>
        <v>2021</v>
      </c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12.75" customHeight="1" x14ac:dyDescent="0.25">
      <c r="A11" s="17"/>
      <c r="B11" s="18" t="s">
        <v>22</v>
      </c>
      <c r="C11" s="18" t="s">
        <v>23</v>
      </c>
      <c r="D11" s="18" t="s">
        <v>24</v>
      </c>
      <c r="E11" s="18" t="s">
        <v>25</v>
      </c>
      <c r="F11" s="18" t="s">
        <v>26</v>
      </c>
      <c r="G11" s="18" t="s">
        <v>23</v>
      </c>
      <c r="H11" s="18" t="s">
        <v>27</v>
      </c>
      <c r="I11" s="18" t="s">
        <v>28</v>
      </c>
      <c r="J11" s="19" t="s">
        <v>29</v>
      </c>
      <c r="K11" s="18" t="s">
        <v>30</v>
      </c>
      <c r="L11" s="20" t="s">
        <v>31</v>
      </c>
      <c r="M11" s="21"/>
      <c r="N11" s="21"/>
      <c r="O11" s="22"/>
      <c r="P11" s="23" t="s">
        <v>32</v>
      </c>
      <c r="Q11" s="23" t="s">
        <v>33</v>
      </c>
      <c r="R11" s="23" t="s">
        <v>34</v>
      </c>
      <c r="S11" s="23" t="s">
        <v>24</v>
      </c>
      <c r="T11" s="23" t="s">
        <v>25</v>
      </c>
      <c r="U11" s="23" t="s">
        <v>26</v>
      </c>
      <c r="V11" s="23" t="s">
        <v>33</v>
      </c>
      <c r="W11" s="23" t="s">
        <v>27</v>
      </c>
      <c r="X11" s="23" t="s">
        <v>28</v>
      </c>
      <c r="Y11" s="23" t="s">
        <v>29</v>
      </c>
      <c r="Z11" s="24" t="str">
        <f>CONCATENATE(Z10," Bridge Year")</f>
        <v>2020 Bridge Year</v>
      </c>
      <c r="AA11" s="24" t="str">
        <f>CONCATENATE("Variance ",Z10," Bridge vs. ",Z10-1," Actuals")</f>
        <v>Variance 2020 Bridge vs. 2019 Actuals</v>
      </c>
      <c r="AB11" s="24" t="str">
        <f>CONCATENATE(AB10," Test Year")</f>
        <v>2021 Test Year</v>
      </c>
      <c r="AC11" s="25" t="str">
        <f>CONCATENATE("Variance ",AB10," Test vs. ",AB10-1," Bridge")</f>
        <v>Variance 2021 Test vs. 2020 Bridge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ht="12.75" customHeight="1" x14ac:dyDescent="0.25">
      <c r="A12" s="26" t="s">
        <v>35</v>
      </c>
      <c r="B12" s="27" t="s">
        <v>36</v>
      </c>
      <c r="C12" s="28"/>
      <c r="D12" s="28"/>
      <c r="E12" s="28"/>
      <c r="F12" s="28"/>
      <c r="G12" s="27" t="s">
        <v>36</v>
      </c>
      <c r="H12" s="27" t="s">
        <v>36</v>
      </c>
      <c r="I12" s="27" t="s">
        <v>36</v>
      </c>
      <c r="J12" s="29" t="s">
        <v>36</v>
      </c>
      <c r="K12" s="27" t="s">
        <v>36</v>
      </c>
      <c r="L12" s="30" t="s">
        <v>36</v>
      </c>
      <c r="M12" s="21"/>
      <c r="N12" s="21"/>
      <c r="O12" s="31" t="s">
        <v>37</v>
      </c>
      <c r="P12" s="32">
        <f t="shared" ref="P12:P13" si="1">B13</f>
        <v>0</v>
      </c>
      <c r="Q12" s="32">
        <f t="shared" ref="Q12:Q13" si="2">G13</f>
        <v>18398554</v>
      </c>
      <c r="R12" s="32">
        <f t="shared" ref="R12:R17" si="3">P12-Q12</f>
        <v>-18398554</v>
      </c>
      <c r="S12" s="32">
        <f t="shared" ref="S12:Z12" si="4">D13</f>
        <v>0</v>
      </c>
      <c r="T12" s="32">
        <f t="shared" si="4"/>
        <v>0</v>
      </c>
      <c r="U12" s="32">
        <f t="shared" si="4"/>
        <v>0</v>
      </c>
      <c r="V12" s="32">
        <f t="shared" si="4"/>
        <v>18398554</v>
      </c>
      <c r="W12" s="32">
        <f t="shared" si="4"/>
        <v>18859756</v>
      </c>
      <c r="X12" s="32">
        <f t="shared" si="4"/>
        <v>20877170</v>
      </c>
      <c r="Y12" s="33">
        <f t="shared" si="4"/>
        <v>20863261</v>
      </c>
      <c r="Z12" s="32">
        <f t="shared" si="4"/>
        <v>24644463</v>
      </c>
      <c r="AA12" s="33">
        <f t="shared" ref="AA12:AA17" si="5">Z12-Y12</f>
        <v>3781202</v>
      </c>
      <c r="AB12" s="32">
        <f t="shared" ref="AB12:AB13" si="6">L13</f>
        <v>0</v>
      </c>
      <c r="AC12" s="34">
        <v>0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12.75" customHeight="1" x14ac:dyDescent="0.25">
      <c r="A13" s="35" t="s">
        <v>37</v>
      </c>
      <c r="B13" s="36"/>
      <c r="C13" s="37"/>
      <c r="D13" s="37"/>
      <c r="E13" s="37"/>
      <c r="F13" s="37"/>
      <c r="G13" s="36">
        <v>18398554</v>
      </c>
      <c r="H13" s="36">
        <v>18859756</v>
      </c>
      <c r="I13" s="38">
        <v>20877170</v>
      </c>
      <c r="J13" s="39">
        <v>20863261</v>
      </c>
      <c r="K13" s="36">
        <v>24644463</v>
      </c>
      <c r="L13" s="36">
        <v>0</v>
      </c>
      <c r="M13" s="40"/>
      <c r="N13" s="40"/>
      <c r="O13" s="41" t="s">
        <v>38</v>
      </c>
      <c r="P13" s="32">
        <f t="shared" si="1"/>
        <v>0</v>
      </c>
      <c r="Q13" s="32">
        <f t="shared" si="2"/>
        <v>9739324</v>
      </c>
      <c r="R13" s="32">
        <f t="shared" si="3"/>
        <v>-9739324</v>
      </c>
      <c r="S13" s="32">
        <f t="shared" ref="S13:Z13" si="7">D14</f>
        <v>0</v>
      </c>
      <c r="T13" s="32">
        <f t="shared" si="7"/>
        <v>0</v>
      </c>
      <c r="U13" s="42">
        <f t="shared" si="7"/>
        <v>0</v>
      </c>
      <c r="V13" s="42">
        <f t="shared" si="7"/>
        <v>9739324</v>
      </c>
      <c r="W13" s="42">
        <f t="shared" si="7"/>
        <v>10298658</v>
      </c>
      <c r="X13" s="42">
        <f t="shared" si="7"/>
        <v>9125316</v>
      </c>
      <c r="Y13" s="43">
        <f t="shared" si="7"/>
        <v>7692891</v>
      </c>
      <c r="Z13" s="42">
        <f t="shared" si="7"/>
        <v>8913667</v>
      </c>
      <c r="AA13" s="33">
        <f t="shared" si="5"/>
        <v>1220776</v>
      </c>
      <c r="AB13" s="42">
        <f t="shared" si="6"/>
        <v>0</v>
      </c>
      <c r="AC13" s="34">
        <v>0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ht="12.75" customHeight="1" x14ac:dyDescent="0.25">
      <c r="A14" s="44" t="s">
        <v>39</v>
      </c>
      <c r="B14" s="36"/>
      <c r="C14" s="45"/>
      <c r="D14" s="45"/>
      <c r="E14" s="45"/>
      <c r="F14" s="45"/>
      <c r="G14" s="36">
        <v>9739324</v>
      </c>
      <c r="H14" s="36">
        <v>10298658</v>
      </c>
      <c r="I14" s="36">
        <v>9125316</v>
      </c>
      <c r="J14" s="39">
        <v>7692891</v>
      </c>
      <c r="K14" s="36">
        <v>8913667</v>
      </c>
      <c r="L14" s="36">
        <v>0</v>
      </c>
      <c r="M14" s="40"/>
      <c r="N14" s="40"/>
      <c r="O14" s="41" t="s">
        <v>40</v>
      </c>
      <c r="P14" s="32">
        <f t="shared" ref="P14:P16" si="8">B18</f>
        <v>0</v>
      </c>
      <c r="Q14" s="32">
        <f t="shared" ref="Q14:Q16" si="9">G18</f>
        <v>12593747</v>
      </c>
      <c r="R14" s="32">
        <f t="shared" si="3"/>
        <v>-12593747</v>
      </c>
      <c r="S14" s="32">
        <f t="shared" ref="S14:Z14" si="10">D18</f>
        <v>0</v>
      </c>
      <c r="T14" s="32">
        <f t="shared" si="10"/>
        <v>0</v>
      </c>
      <c r="U14" s="42">
        <f t="shared" si="10"/>
        <v>0</v>
      </c>
      <c r="V14" s="42">
        <f t="shared" si="10"/>
        <v>12593747</v>
      </c>
      <c r="W14" s="42">
        <f t="shared" si="10"/>
        <v>12744913</v>
      </c>
      <c r="X14" s="42">
        <f t="shared" si="10"/>
        <v>11940913</v>
      </c>
      <c r="Y14" s="43">
        <f t="shared" si="10"/>
        <v>10873479</v>
      </c>
      <c r="Z14" s="42">
        <f t="shared" si="10"/>
        <v>13545402</v>
      </c>
      <c r="AA14" s="33">
        <f t="shared" si="5"/>
        <v>2671923</v>
      </c>
      <c r="AB14" s="42">
        <f t="shared" ref="AB14:AB16" si="11">L18</f>
        <v>0</v>
      </c>
      <c r="AC14" s="34">
        <v>0</v>
      </c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12.75" customHeight="1" x14ac:dyDescent="0.25">
      <c r="A15" s="46" t="s">
        <v>41</v>
      </c>
      <c r="B15" s="47">
        <f t="shared" ref="B15:L15" si="12">SUM(B13:B14)</f>
        <v>0</v>
      </c>
      <c r="C15" s="47">
        <f t="shared" si="12"/>
        <v>0</v>
      </c>
      <c r="D15" s="47">
        <f t="shared" si="12"/>
        <v>0</v>
      </c>
      <c r="E15" s="47">
        <f t="shared" si="12"/>
        <v>0</v>
      </c>
      <c r="F15" s="47">
        <f t="shared" si="12"/>
        <v>0</v>
      </c>
      <c r="G15" s="47">
        <f t="shared" si="12"/>
        <v>28137878</v>
      </c>
      <c r="H15" s="47">
        <f t="shared" si="12"/>
        <v>29158414</v>
      </c>
      <c r="I15" s="47">
        <f t="shared" si="12"/>
        <v>30002486</v>
      </c>
      <c r="J15" s="48">
        <f t="shared" si="12"/>
        <v>28556152</v>
      </c>
      <c r="K15" s="47">
        <f t="shared" si="12"/>
        <v>33558130</v>
      </c>
      <c r="L15" s="49">
        <f t="shared" si="12"/>
        <v>0</v>
      </c>
      <c r="M15" s="50"/>
      <c r="N15" s="50"/>
      <c r="O15" s="41" t="s">
        <v>42</v>
      </c>
      <c r="P15" s="32">
        <f t="shared" si="8"/>
        <v>0</v>
      </c>
      <c r="Q15" s="32">
        <f t="shared" si="9"/>
        <v>5290093</v>
      </c>
      <c r="R15" s="32">
        <f t="shared" si="3"/>
        <v>-5290093</v>
      </c>
      <c r="S15" s="32">
        <f t="shared" ref="S15:Z15" si="13">D19</f>
        <v>0</v>
      </c>
      <c r="T15" s="32">
        <f t="shared" si="13"/>
        <v>0</v>
      </c>
      <c r="U15" s="42">
        <f t="shared" si="13"/>
        <v>0</v>
      </c>
      <c r="V15" s="42">
        <f t="shared" si="13"/>
        <v>5290093</v>
      </c>
      <c r="W15" s="42">
        <f t="shared" si="13"/>
        <v>5119660</v>
      </c>
      <c r="X15" s="42">
        <f t="shared" si="13"/>
        <v>4758993</v>
      </c>
      <c r="Y15" s="43">
        <f t="shared" si="13"/>
        <v>4796400</v>
      </c>
      <c r="Z15" s="42">
        <f t="shared" si="13"/>
        <v>5225461</v>
      </c>
      <c r="AA15" s="33">
        <f t="shared" si="5"/>
        <v>429061</v>
      </c>
      <c r="AB15" s="42">
        <f t="shared" si="11"/>
        <v>0</v>
      </c>
      <c r="AC15" s="34">
        <v>0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12.75" customHeight="1" x14ac:dyDescent="0.25">
      <c r="A16" s="44" t="s">
        <v>43</v>
      </c>
      <c r="B16" s="51"/>
      <c r="C16" s="52" t="str">
        <f>IF(ISERROR((C15-B15)/B15), "", (C15-B15)/B15)</f>
        <v/>
      </c>
      <c r="D16" s="52" t="str">
        <f t="shared" ref="D16:G16" si="14">IF(ISERROR((D15-HLOOKUP(D10-1,$A$10:C25,6,FALSE))/HLOOKUP(D10-1,$A$10:C25,6,FALSE)), "", (D15-HLOOKUP(D10-1,$A$10:C25,6,FALSE))/HLOOKUP(D10-1,$A$10:C25,6,FALSE))</f>
        <v/>
      </c>
      <c r="E16" s="52" t="str">
        <f t="shared" si="14"/>
        <v/>
      </c>
      <c r="F16" s="52" t="str">
        <f t="shared" si="14"/>
        <v/>
      </c>
      <c r="G16" s="52" t="str">
        <f t="shared" si="14"/>
        <v/>
      </c>
      <c r="H16" s="52">
        <f>(H15-G15)/G15</f>
        <v>3.6269117379782514E-2</v>
      </c>
      <c r="I16" s="52">
        <f t="shared" ref="I16:K16" si="15">IF(ISERROR((I15-HLOOKUP(I10-1,$A$10:H25,6,FALSE))/HLOOKUP(I10-1,$A$10:H25,6,FALSE)), "", (I15-HLOOKUP(I10-1,$A$10:H25,6,FALSE))/HLOOKUP(I10-1,$A$10:H25,6,FALSE))</f>
        <v>2.8947802167840816E-2</v>
      </c>
      <c r="J16" s="53">
        <f t="shared" si="15"/>
        <v>-4.820713856845063E-2</v>
      </c>
      <c r="K16" s="52">
        <f t="shared" si="15"/>
        <v>0.17516288609193564</v>
      </c>
      <c r="L16" s="54">
        <f>IF(ISERROR((L15-K15)/K15), "", (L15-K15)/K15)</f>
        <v>-1</v>
      </c>
      <c r="M16" s="40"/>
      <c r="N16" s="40"/>
      <c r="O16" s="41" t="s">
        <v>44</v>
      </c>
      <c r="P16" s="32">
        <f t="shared" si="8"/>
        <v>0</v>
      </c>
      <c r="Q16" s="32">
        <f t="shared" si="9"/>
        <v>36599477</v>
      </c>
      <c r="R16" s="32">
        <f t="shared" si="3"/>
        <v>-36599477</v>
      </c>
      <c r="S16" s="32">
        <f t="shared" ref="S16:Z16" si="16">D20</f>
        <v>0</v>
      </c>
      <c r="T16" s="32">
        <f t="shared" si="16"/>
        <v>0</v>
      </c>
      <c r="U16" s="42">
        <f t="shared" si="16"/>
        <v>0</v>
      </c>
      <c r="V16" s="42">
        <f t="shared" si="16"/>
        <v>36599477</v>
      </c>
      <c r="W16" s="42">
        <f t="shared" si="16"/>
        <v>35221846</v>
      </c>
      <c r="X16" s="42">
        <f t="shared" si="16"/>
        <v>40160945</v>
      </c>
      <c r="Y16" s="43">
        <f t="shared" si="16"/>
        <v>38886829</v>
      </c>
      <c r="Z16" s="42">
        <f t="shared" si="16"/>
        <v>38016086</v>
      </c>
      <c r="AA16" s="33">
        <f t="shared" si="5"/>
        <v>-870743</v>
      </c>
      <c r="AB16" s="42">
        <f t="shared" si="11"/>
        <v>0</v>
      </c>
      <c r="AC16" s="34">
        <v>0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2.75" customHeight="1" x14ac:dyDescent="0.25">
      <c r="A17" s="44" t="s">
        <v>45</v>
      </c>
      <c r="B17" s="55"/>
      <c r="C17" s="56"/>
      <c r="D17" s="56"/>
      <c r="E17" s="56"/>
      <c r="F17" s="56"/>
      <c r="G17" s="56"/>
      <c r="H17" s="56"/>
      <c r="I17" s="56"/>
      <c r="J17" s="57"/>
      <c r="K17" s="58"/>
      <c r="L17" s="54" t="str">
        <f>IF(ISERROR((L15-C15)/C15), "", (L15-C15)/C15)</f>
        <v/>
      </c>
      <c r="M17" s="40"/>
      <c r="N17" s="40"/>
      <c r="O17" s="41" t="s">
        <v>46</v>
      </c>
      <c r="P17" s="32">
        <f>B24</f>
        <v>83105563</v>
      </c>
      <c r="Q17" s="32">
        <f>SUM(Q12:Q16)</f>
        <v>82621195</v>
      </c>
      <c r="R17" s="32">
        <f t="shared" si="3"/>
        <v>484368</v>
      </c>
      <c r="S17" s="32">
        <f t="shared" ref="S17:V17" si="17">D21</f>
        <v>0</v>
      </c>
      <c r="T17" s="32">
        <f t="shared" si="17"/>
        <v>0</v>
      </c>
      <c r="U17" s="42">
        <f t="shared" si="17"/>
        <v>0</v>
      </c>
      <c r="V17" s="42">
        <f t="shared" si="17"/>
        <v>54483317</v>
      </c>
      <c r="W17" s="42">
        <f t="shared" ref="W17:Z17" si="18">H24</f>
        <v>82244833</v>
      </c>
      <c r="X17" s="42">
        <f t="shared" si="18"/>
        <v>86863337</v>
      </c>
      <c r="Y17" s="43">
        <f t="shared" si="18"/>
        <v>83112860</v>
      </c>
      <c r="Z17" s="42">
        <f t="shared" si="18"/>
        <v>90345079</v>
      </c>
      <c r="AA17" s="33">
        <f t="shared" si="5"/>
        <v>7232219</v>
      </c>
      <c r="AB17" s="42">
        <f>L24</f>
        <v>90600000</v>
      </c>
      <c r="AC17" s="59">
        <f>AB17-Z17</f>
        <v>254921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72" customHeight="1" x14ac:dyDescent="0.25">
      <c r="A18" s="44" t="s">
        <v>47</v>
      </c>
      <c r="B18" s="36"/>
      <c r="C18" s="45"/>
      <c r="D18" s="45"/>
      <c r="E18" s="45"/>
      <c r="F18" s="45"/>
      <c r="G18" s="36">
        <v>12593747</v>
      </c>
      <c r="H18" s="36">
        <v>12744913</v>
      </c>
      <c r="I18" s="36">
        <v>11940913</v>
      </c>
      <c r="J18" s="39">
        <v>10873479</v>
      </c>
      <c r="K18" s="36">
        <v>13545402</v>
      </c>
      <c r="L18" s="36">
        <v>0</v>
      </c>
      <c r="M18" s="40"/>
      <c r="N18" s="40"/>
      <c r="O18" s="41" t="s">
        <v>48</v>
      </c>
      <c r="P18" s="32"/>
      <c r="Q18" s="60"/>
      <c r="R18" s="60"/>
      <c r="S18" s="32"/>
      <c r="T18" s="32"/>
      <c r="U18" s="60"/>
      <c r="V18" s="60"/>
      <c r="W18" s="60"/>
      <c r="X18" s="60"/>
      <c r="Y18" s="60"/>
      <c r="Z18" s="60"/>
      <c r="AA18" s="61"/>
      <c r="AB18" s="60"/>
      <c r="AC18" s="62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12.75" customHeight="1" x14ac:dyDescent="0.25">
      <c r="A19" s="44" t="s">
        <v>49</v>
      </c>
      <c r="B19" s="36"/>
      <c r="C19" s="45"/>
      <c r="D19" s="45"/>
      <c r="E19" s="45"/>
      <c r="F19" s="45"/>
      <c r="G19" s="36">
        <v>5290093</v>
      </c>
      <c r="H19" s="36">
        <v>5119660</v>
      </c>
      <c r="I19" s="36">
        <v>4758993</v>
      </c>
      <c r="J19" s="39">
        <v>4796400</v>
      </c>
      <c r="K19" s="36">
        <v>5225461</v>
      </c>
      <c r="L19" s="36">
        <v>0</v>
      </c>
      <c r="M19" s="40"/>
      <c r="N19" s="40"/>
      <c r="O19" s="41" t="s">
        <v>50</v>
      </c>
      <c r="P19" s="32">
        <f t="shared" ref="P19:R19" si="19">P17-P18</f>
        <v>83105563</v>
      </c>
      <c r="Q19" s="32">
        <f t="shared" si="19"/>
        <v>82621195</v>
      </c>
      <c r="R19" s="32">
        <f t="shared" si="19"/>
        <v>484368</v>
      </c>
      <c r="S19" s="32" t="e">
        <f t="shared" ref="S19:V19" si="20">IF(S10&lt;=#REF!, 0, S17-S18)</f>
        <v>#REF!</v>
      </c>
      <c r="T19" s="32" t="e">
        <f t="shared" si="20"/>
        <v>#REF!</v>
      </c>
      <c r="U19" s="32" t="e">
        <f t="shared" si="20"/>
        <v>#REF!</v>
      </c>
      <c r="V19" s="32" t="e">
        <f t="shared" si="20"/>
        <v>#REF!</v>
      </c>
      <c r="W19" s="32">
        <f>IF(W10&lt;=P10, 0, W17-W18)</f>
        <v>82244833</v>
      </c>
      <c r="X19" s="32">
        <f>IF(X10&lt;=P10, 0, X17-X18)</f>
        <v>86863337</v>
      </c>
      <c r="Y19" s="33">
        <f>IF(Y10&lt;=P10, 0, Y17-Y18)</f>
        <v>83112860</v>
      </c>
      <c r="Z19" s="32">
        <f>IF(Z10&lt;=P10, 0, Z17-Z18)</f>
        <v>90345079</v>
      </c>
      <c r="AA19" s="33">
        <f t="shared" ref="AA19:AC19" si="21">AA17-AA18</f>
        <v>7232219</v>
      </c>
      <c r="AB19" s="32">
        <f t="shared" si="21"/>
        <v>90600000</v>
      </c>
      <c r="AC19" s="59">
        <f t="shared" si="21"/>
        <v>254921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2.75" customHeight="1" x14ac:dyDescent="0.25">
      <c r="A20" s="44" t="s">
        <v>51</v>
      </c>
      <c r="B20" s="36"/>
      <c r="C20" s="45"/>
      <c r="D20" s="45"/>
      <c r="E20" s="45"/>
      <c r="F20" s="45"/>
      <c r="G20" s="36">
        <v>36599477</v>
      </c>
      <c r="H20" s="36">
        <v>35221846</v>
      </c>
      <c r="I20" s="36">
        <v>40160945</v>
      </c>
      <c r="J20" s="39">
        <v>38886829</v>
      </c>
      <c r="K20" s="36">
        <v>38016086</v>
      </c>
      <c r="L20" s="36">
        <v>0</v>
      </c>
      <c r="M20" s="40"/>
      <c r="N20" s="40"/>
      <c r="O20" s="41" t="s">
        <v>52</v>
      </c>
      <c r="P20" s="63"/>
      <c r="Q20" s="63"/>
      <c r="R20" s="64"/>
      <c r="S20" s="65" t="e">
        <f>IF(S10&lt;=#REF!, 0, S19-Q19)</f>
        <v>#REF!</v>
      </c>
      <c r="T20" s="65" t="e">
        <f t="shared" ref="T20:V20" si="22">IF(T10&lt;=#REF!, 0, IF(T10=#REF!+1, T19-$Q$19, T19-S19))</f>
        <v>#REF!</v>
      </c>
      <c r="U20" s="65" t="e">
        <f t="shared" si="22"/>
        <v>#REF!</v>
      </c>
      <c r="V20" s="65" t="e">
        <f t="shared" si="22"/>
        <v>#REF!</v>
      </c>
      <c r="W20" s="65">
        <f>IF(W10&lt;=P10, 0, IF(W10=P10+1, W19-$Q$19, W19-V19))</f>
        <v>-376362</v>
      </c>
      <c r="X20" s="65">
        <f>IF(X10&lt;=P10, 0, IF(X10=P10+1, X19-$Q$19, X19-W19))</f>
        <v>4618504</v>
      </c>
      <c r="Y20" s="66">
        <f>IF(Y10&lt;=P10, 0, IF(Y10=P10+1, Y19-$Q$19, Y19-X19))</f>
        <v>-3750477</v>
      </c>
      <c r="Z20" s="65">
        <f>IF(Z10&lt;=P10, 0, IF(Z10=P10+1, Z19-$Q$19, Z19-Y19))</f>
        <v>7232219</v>
      </c>
      <c r="AA20" s="64"/>
      <c r="AB20" s="65">
        <f>AB19-Z19</f>
        <v>254921</v>
      </c>
      <c r="AC20" s="67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2.75" customHeight="1" x14ac:dyDescent="0.25">
      <c r="A21" s="46" t="s">
        <v>41</v>
      </c>
      <c r="B21" s="47">
        <f t="shared" ref="B21:L21" si="23">SUM(B18:B20)</f>
        <v>0</v>
      </c>
      <c r="C21" s="47">
        <f t="shared" si="23"/>
        <v>0</v>
      </c>
      <c r="D21" s="47">
        <f t="shared" si="23"/>
        <v>0</v>
      </c>
      <c r="E21" s="47">
        <f t="shared" si="23"/>
        <v>0</v>
      </c>
      <c r="F21" s="47">
        <f t="shared" si="23"/>
        <v>0</v>
      </c>
      <c r="G21" s="47">
        <f t="shared" si="23"/>
        <v>54483317</v>
      </c>
      <c r="H21" s="47">
        <f t="shared" si="23"/>
        <v>53086419</v>
      </c>
      <c r="I21" s="47">
        <f t="shared" si="23"/>
        <v>56860851</v>
      </c>
      <c r="J21" s="48">
        <f t="shared" si="23"/>
        <v>54556708</v>
      </c>
      <c r="K21" s="47">
        <f t="shared" si="23"/>
        <v>56786949</v>
      </c>
      <c r="L21" s="49">
        <f t="shared" si="23"/>
        <v>0</v>
      </c>
      <c r="M21" s="50"/>
      <c r="N21" s="50"/>
      <c r="O21" s="41" t="s">
        <v>53</v>
      </c>
      <c r="P21" s="68"/>
      <c r="Q21" s="68"/>
      <c r="R21" s="69"/>
      <c r="S21" s="70" t="e">
        <f>IF(S10&lt;=#REF!, 0, IF(ISERROR(S20/Q19), "", S20/Q19))</f>
        <v>#REF!</v>
      </c>
      <c r="T21" s="70" t="e">
        <f t="shared" ref="T21:V21" si="24">IF(S10&lt;=#REF!, 0, IF(T10=#REF!+1, IF(ISERROR(T20/$Q$19), "", T20/$Q$19),IF(ISERROR(T20/S19), "", T20/S19)))</f>
        <v>#REF!</v>
      </c>
      <c r="U21" s="70" t="e">
        <f t="shared" si="24"/>
        <v>#REF!</v>
      </c>
      <c r="V21" s="70" t="e">
        <f t="shared" si="24"/>
        <v>#REF!</v>
      </c>
      <c r="W21" s="71">
        <f>IF(V10&lt;=P10, 0, IF(W10=P10+1, IF(ISERROR(W20/$Q$19), "", W20/$Q$19),IF(ISERROR(W20/V19), "", W20/V19)))</f>
        <v>0</v>
      </c>
      <c r="X21" s="71">
        <f>IF(W10&lt;=P10, 0, IF(X10=P10+1, IF(ISERROR(X20/$Q$19), "", X20/$Q$19),IF(ISERROR(X20/W19), "", X20/W19)))</f>
        <v>5.615555204543974E-2</v>
      </c>
      <c r="Y21" s="72">
        <f>IF(X10&lt;=P10, 0, IF(Y10=P10+1, IF(ISERROR(Y20/$Q$19), "", Y20/$Q$19),IF(ISERROR(Y20/X19), "", Y20/X19)))</f>
        <v>-4.3176754768240136E-2</v>
      </c>
      <c r="Z21" s="71">
        <f>IF(Y10&lt;=P10, 0, IF(Z10=P10+1, IF(ISERROR(Z20/$Q$19), "", Z20/$Q$19),IF(ISERROR(Z20/Y19), "", Z20/Y19)))</f>
        <v>8.701684673105943E-2</v>
      </c>
      <c r="AA21" s="73"/>
      <c r="AB21" s="71">
        <f>IF(ISERROR(AB20/Z19), "", AB20/Z19)</f>
        <v>2.821636804368725E-3</v>
      </c>
      <c r="AC21" s="74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2.75" customHeight="1" x14ac:dyDescent="0.25">
      <c r="A22" s="44" t="s">
        <v>43</v>
      </c>
      <c r="B22" s="51"/>
      <c r="C22" s="75" t="str">
        <f>IF(ISERROR((C21-B21)/B21), "", (C21-B21)/B21)</f>
        <v/>
      </c>
      <c r="D22" s="52" t="str">
        <f t="shared" ref="D22:G22" si="25">IF(ISERROR((D21-HLOOKUP(D10-1,$A$10:C25,12,FALSE))/HLOOKUP(D10-1,$A$10:C25,12,FALSE)), "", (D21-HLOOKUP(D10-1,$A$10:C25,12,FALSE))/HLOOKUP(D10-1,$A$10:C25,12,FALSE))</f>
        <v/>
      </c>
      <c r="E22" s="52" t="str">
        <f t="shared" si="25"/>
        <v/>
      </c>
      <c r="F22" s="52" t="str">
        <f t="shared" si="25"/>
        <v/>
      </c>
      <c r="G22" s="52" t="str">
        <f t="shared" si="25"/>
        <v/>
      </c>
      <c r="H22" s="52">
        <f>(H21-G21)/G21</f>
        <v>-2.5639004321267738E-2</v>
      </c>
      <c r="I22" s="52">
        <f t="shared" ref="I22:K22" si="26">IF(ISERROR((I21-HLOOKUP(I10-1,$A$10:H25,12,FALSE))/HLOOKUP(I10-1,$A$10:H25,12,FALSE)), "", (I21-HLOOKUP(I10-1,$A$10:H25,12,FALSE))/HLOOKUP(I10-1,$A$10:H25,12,FALSE))</f>
        <v>7.1099766590019944E-2</v>
      </c>
      <c r="J22" s="53">
        <f t="shared" si="26"/>
        <v>-4.0522485321227431E-2</v>
      </c>
      <c r="K22" s="52">
        <f t="shared" si="26"/>
        <v>4.0879317718363797E-2</v>
      </c>
      <c r="L22" s="54">
        <f>IF(ISERROR((L21-K21)/K21), "", (L21-K21)/K21)</f>
        <v>-1</v>
      </c>
      <c r="M22" s="40"/>
      <c r="N22" s="40"/>
      <c r="O22" s="41" t="s">
        <v>54</v>
      </c>
      <c r="P22" s="76"/>
      <c r="Q22" s="76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8">
        <f>IF(ISERROR((AB19-Y19)/Y19), "", (AB19-Y19)/Y19)</f>
        <v>9.0084013472764624E-2</v>
      </c>
      <c r="AC22" s="79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2.75" customHeight="1" x14ac:dyDescent="0.25">
      <c r="A23" s="44" t="s">
        <v>45</v>
      </c>
      <c r="B23" s="55"/>
      <c r="C23" s="56"/>
      <c r="D23" s="56"/>
      <c r="E23" s="56"/>
      <c r="F23" s="56"/>
      <c r="G23" s="56"/>
      <c r="H23" s="56"/>
      <c r="I23" s="56"/>
      <c r="J23" s="57"/>
      <c r="K23" s="58"/>
      <c r="L23" s="54" t="str">
        <f>IF(ISERROR((L21-C21)/C21), "", (L21-C21)/C21)</f>
        <v/>
      </c>
      <c r="M23" s="40"/>
      <c r="N23" s="40"/>
      <c r="O23" s="41" t="s">
        <v>55</v>
      </c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8">
        <f>IF(ISERROR(AVERAGEIF(X21:AB21,"&lt;&gt;0")),0,AVERAGEIF(X21:AB21,"&lt;&gt;0"))</f>
        <v>2.5704320203156938E-2</v>
      </c>
      <c r="AC23" s="79"/>
      <c r="AD23" s="1"/>
      <c r="AE23" s="80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2.75" customHeight="1" x14ac:dyDescent="0.25">
      <c r="A24" s="46" t="s">
        <v>56</v>
      </c>
      <c r="B24" s="81">
        <v>83105563</v>
      </c>
      <c r="C24" s="47">
        <f t="shared" ref="C24:K24" si="27">SUM(C21,C15)</f>
        <v>0</v>
      </c>
      <c r="D24" s="47">
        <f t="shared" si="27"/>
        <v>0</v>
      </c>
      <c r="E24" s="47">
        <f t="shared" si="27"/>
        <v>0</v>
      </c>
      <c r="F24" s="47">
        <f t="shared" si="27"/>
        <v>0</v>
      </c>
      <c r="G24" s="47">
        <f t="shared" si="27"/>
        <v>82621195</v>
      </c>
      <c r="H24" s="47">
        <f t="shared" si="27"/>
        <v>82244833</v>
      </c>
      <c r="I24" s="47">
        <f t="shared" si="27"/>
        <v>86863337</v>
      </c>
      <c r="J24" s="48">
        <f t="shared" si="27"/>
        <v>83112860</v>
      </c>
      <c r="K24" s="47">
        <f t="shared" si="27"/>
        <v>90345079</v>
      </c>
      <c r="L24" s="82">
        <v>90600000</v>
      </c>
      <c r="M24" s="50"/>
      <c r="N24" s="50"/>
      <c r="O24" s="41" t="s">
        <v>57</v>
      </c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83"/>
      <c r="AC24" s="84">
        <f>IF((AB19-Q19)=0, "", (AB19/Q19)^(1/(AB10-P10))-1)</f>
        <v>1.860861536192937E-2</v>
      </c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25.5" customHeight="1" x14ac:dyDescent="0.25">
      <c r="A25" s="85" t="s">
        <v>43</v>
      </c>
      <c r="B25" s="86"/>
      <c r="C25" s="87">
        <f>IF(ISERROR((C24-B24)/B24), "", (C24-B24)/B24)</f>
        <v>-1</v>
      </c>
      <c r="D25" s="88" t="str">
        <f t="shared" ref="D25:G25" si="28">IF(ISERROR((D24-HLOOKUP(D10-1,$A$10:C25,15,FALSE))/HLOOKUP(D10-1,$A$10:C25,15,FALSE)), "", (D24-HLOOKUP(D10-1,$A$10:C25,15,FALSE))/HLOOKUP(D10-1,$A$10:C25,15,FALSE))</f>
        <v/>
      </c>
      <c r="E25" s="88" t="str">
        <f t="shared" si="28"/>
        <v/>
      </c>
      <c r="F25" s="88" t="str">
        <f t="shared" si="28"/>
        <v/>
      </c>
      <c r="G25" s="88" t="str">
        <f t="shared" si="28"/>
        <v/>
      </c>
      <c r="H25" s="88">
        <f>(H24-G24)/G24</f>
        <v>-4.5552718040449552E-3</v>
      </c>
      <c r="I25" s="88">
        <f t="shared" ref="I25:K25" si="29">IF(ISERROR((I24-HLOOKUP(I10-1,$A$10:H25,15,FALSE))/HLOOKUP(I10-1,$A$10:H25,15,FALSE)), "", (I24-HLOOKUP(I10-1,$A$10:H25,15,FALSE))/HLOOKUP(I10-1,$A$10:H25,15,FALSE))</f>
        <v>5.615555204543974E-2</v>
      </c>
      <c r="J25" s="89">
        <f t="shared" si="29"/>
        <v>-4.3176754768240136E-2</v>
      </c>
      <c r="K25" s="88">
        <f t="shared" si="29"/>
        <v>8.701684673105943E-2</v>
      </c>
      <c r="L25" s="90">
        <f>IF(ISERROR((L24-K24)/K24), "", (L24-K24)/K24)</f>
        <v>2.821636804368725E-3</v>
      </c>
      <c r="M25" s="40"/>
      <c r="N25" s="40"/>
      <c r="O25" s="91" t="s">
        <v>58</v>
      </c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3">
        <f>IF((Y19-Q19)=0, "", (Y19/Q19)^(1/(AB10-2-P10))-1)</f>
        <v>1.9796895106583001E-3</v>
      </c>
      <c r="AC25" s="94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12.75" customHeight="1" x14ac:dyDescent="0.25">
      <c r="A26" s="95"/>
      <c r="B26" s="96"/>
      <c r="C26" s="96"/>
      <c r="D26" s="96"/>
      <c r="E26" s="96"/>
      <c r="F26" s="96"/>
      <c r="G26" s="96"/>
      <c r="H26" s="96"/>
      <c r="I26" s="96"/>
      <c r="J26" s="97"/>
      <c r="K26" s="97"/>
      <c r="L26" s="96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ht="12.75" customHeight="1" x14ac:dyDescent="0.25"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8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</row>
    <row r="28" spans="1:43" ht="12.75" customHeight="1" x14ac:dyDescent="0.25">
      <c r="A28" s="99" t="s">
        <v>59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35"/>
      <c r="P28" s="100" t="str">
        <f t="shared" ref="P28:Q28" si="30">B11</f>
        <v>2016 Last Rebasing Year OEB Approved</v>
      </c>
      <c r="Q28" s="100" t="str">
        <f t="shared" si="30"/>
        <v>2016 Last Rebasing Year Actuals</v>
      </c>
      <c r="R28" s="101"/>
      <c r="S28" s="102" t="s">
        <v>60</v>
      </c>
      <c r="T28" s="102" t="s">
        <v>24</v>
      </c>
      <c r="U28" s="102" t="s">
        <v>25</v>
      </c>
      <c r="V28" s="102" t="s">
        <v>26</v>
      </c>
      <c r="W28" s="18" t="s">
        <v>28</v>
      </c>
      <c r="X28" s="18" t="s">
        <v>29</v>
      </c>
      <c r="Y28" s="18" t="s">
        <v>61</v>
      </c>
      <c r="Z28" s="20" t="s">
        <v>62</v>
      </c>
      <c r="AA28" s="1"/>
      <c r="AB28" s="1"/>
      <c r="AC28" s="95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12.75" customHeight="1" x14ac:dyDescent="0.25">
      <c r="A29" s="103" t="s">
        <v>63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44" t="s">
        <v>37</v>
      </c>
      <c r="P29" s="104">
        <f t="shared" ref="P29:P30" si="31">B13</f>
        <v>0</v>
      </c>
      <c r="Q29" s="104">
        <f t="shared" ref="Q29:Q30" si="32">G13</f>
        <v>18398554</v>
      </c>
      <c r="R29" s="1"/>
      <c r="S29" s="104">
        <f t="shared" ref="S29:Z29" si="33">E13</f>
        <v>0</v>
      </c>
      <c r="T29" s="104">
        <f t="shared" si="33"/>
        <v>0</v>
      </c>
      <c r="U29" s="104">
        <f t="shared" si="33"/>
        <v>18398554</v>
      </c>
      <c r="V29" s="104">
        <f t="shared" si="33"/>
        <v>18859756</v>
      </c>
      <c r="W29" s="104">
        <f t="shared" si="33"/>
        <v>20877170</v>
      </c>
      <c r="X29" s="105">
        <f t="shared" si="33"/>
        <v>20863261</v>
      </c>
      <c r="Y29" s="104">
        <f t="shared" si="33"/>
        <v>24644463</v>
      </c>
      <c r="Z29" s="106">
        <f t="shared" si="33"/>
        <v>0</v>
      </c>
      <c r="AA29" s="1"/>
      <c r="AB29" s="1"/>
      <c r="AC29" s="95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2.75" customHeight="1" x14ac:dyDescent="0.25">
      <c r="A30" s="107" t="s">
        <v>64</v>
      </c>
      <c r="B30" s="1"/>
      <c r="C30" s="1"/>
      <c r="D30" s="1"/>
      <c r="E30" s="1"/>
      <c r="F30" s="1"/>
      <c r="G30" s="1"/>
      <c r="H30" s="1"/>
      <c r="I30" s="108"/>
      <c r="J30" s="108"/>
      <c r="K30" s="108"/>
      <c r="L30" s="108"/>
      <c r="M30" s="95"/>
      <c r="N30" s="95"/>
      <c r="O30" s="44" t="s">
        <v>39</v>
      </c>
      <c r="P30" s="104">
        <f t="shared" si="31"/>
        <v>0</v>
      </c>
      <c r="Q30" s="104">
        <f t="shared" si="32"/>
        <v>9739324</v>
      </c>
      <c r="R30" s="1"/>
      <c r="S30" s="104">
        <f t="shared" ref="S30:Z30" si="34">E14</f>
        <v>0</v>
      </c>
      <c r="T30" s="104">
        <f t="shared" si="34"/>
        <v>0</v>
      </c>
      <c r="U30" s="104">
        <f t="shared" si="34"/>
        <v>9739324</v>
      </c>
      <c r="V30" s="104">
        <f t="shared" si="34"/>
        <v>10298658</v>
      </c>
      <c r="W30" s="104">
        <f t="shared" si="34"/>
        <v>9125316</v>
      </c>
      <c r="X30" s="105">
        <f t="shared" si="34"/>
        <v>7692891</v>
      </c>
      <c r="Y30" s="104">
        <f t="shared" si="34"/>
        <v>8913667</v>
      </c>
      <c r="Z30" s="106">
        <f t="shared" si="34"/>
        <v>0</v>
      </c>
      <c r="AA30" s="1"/>
      <c r="AB30" s="1"/>
      <c r="AC30" s="95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2.75" customHeight="1" x14ac:dyDescent="0.25">
      <c r="A31" s="109"/>
      <c r="B31" s="1"/>
      <c r="C31" s="1"/>
      <c r="D31" s="1"/>
      <c r="E31" s="1"/>
      <c r="F31" s="1"/>
      <c r="G31" s="1"/>
      <c r="H31" s="1"/>
      <c r="I31" s="108"/>
      <c r="J31" s="108"/>
      <c r="K31" s="108"/>
      <c r="L31" s="108"/>
      <c r="M31" s="95"/>
      <c r="N31" s="95"/>
      <c r="O31" s="44" t="s">
        <v>47</v>
      </c>
      <c r="P31" s="104">
        <f t="shared" ref="P31:P33" si="35">B18</f>
        <v>0</v>
      </c>
      <c r="Q31" s="104">
        <f t="shared" ref="Q31:Q33" si="36">G18</f>
        <v>12593747</v>
      </c>
      <c r="R31" s="1"/>
      <c r="S31" s="104">
        <f t="shared" ref="S31:Z31" si="37">E18</f>
        <v>0</v>
      </c>
      <c r="T31" s="104">
        <f t="shared" si="37"/>
        <v>0</v>
      </c>
      <c r="U31" s="104">
        <f t="shared" si="37"/>
        <v>12593747</v>
      </c>
      <c r="V31" s="104">
        <f t="shared" si="37"/>
        <v>12744913</v>
      </c>
      <c r="W31" s="104">
        <f t="shared" si="37"/>
        <v>11940913</v>
      </c>
      <c r="X31" s="105">
        <f t="shared" si="37"/>
        <v>10873479</v>
      </c>
      <c r="Y31" s="104">
        <f t="shared" si="37"/>
        <v>13545402</v>
      </c>
      <c r="Z31" s="106">
        <f t="shared" si="37"/>
        <v>0</v>
      </c>
      <c r="AA31" s="1"/>
      <c r="AB31" s="1"/>
      <c r="AC31" s="95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2.75" customHeight="1" x14ac:dyDescent="0.25">
      <c r="A32" s="109"/>
      <c r="B32" s="1"/>
      <c r="C32" s="1"/>
      <c r="D32" s="1"/>
      <c r="E32" s="1"/>
      <c r="F32" s="1"/>
      <c r="G32" s="1"/>
      <c r="H32" s="1"/>
      <c r="I32" s="108"/>
      <c r="J32" s="108"/>
      <c r="K32" s="108"/>
      <c r="L32" s="108"/>
      <c r="M32" s="95"/>
      <c r="N32" s="95"/>
      <c r="O32" s="44" t="s">
        <v>49</v>
      </c>
      <c r="P32" s="104">
        <f t="shared" si="35"/>
        <v>0</v>
      </c>
      <c r="Q32" s="104">
        <f t="shared" si="36"/>
        <v>5290093</v>
      </c>
      <c r="R32" s="1"/>
      <c r="S32" s="104">
        <f t="shared" ref="S32:Z32" si="38">E19</f>
        <v>0</v>
      </c>
      <c r="T32" s="104">
        <f t="shared" si="38"/>
        <v>0</v>
      </c>
      <c r="U32" s="104">
        <f t="shared" si="38"/>
        <v>5290093</v>
      </c>
      <c r="V32" s="104">
        <f t="shared" si="38"/>
        <v>5119660</v>
      </c>
      <c r="W32" s="104">
        <f t="shared" si="38"/>
        <v>4758993</v>
      </c>
      <c r="X32" s="105">
        <f t="shared" si="38"/>
        <v>4796400</v>
      </c>
      <c r="Y32" s="104">
        <f t="shared" si="38"/>
        <v>5225461</v>
      </c>
      <c r="Z32" s="106">
        <f t="shared" si="38"/>
        <v>0</v>
      </c>
      <c r="AA32" s="1"/>
      <c r="AB32" s="1"/>
      <c r="AC32" s="95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2.75" customHeight="1" x14ac:dyDescent="0.25">
      <c r="A33" s="109" t="s">
        <v>65</v>
      </c>
      <c r="B33" s="1"/>
      <c r="C33" s="1"/>
      <c r="D33" s="1"/>
      <c r="E33" s="1"/>
      <c r="F33" s="1"/>
      <c r="G33" s="1"/>
      <c r="H33" s="1"/>
      <c r="I33" s="108"/>
      <c r="J33" s="108"/>
      <c r="K33" s="108"/>
      <c r="L33" s="108"/>
      <c r="M33" s="95"/>
      <c r="N33" s="95"/>
      <c r="O33" s="44" t="s">
        <v>51</v>
      </c>
      <c r="P33" s="104">
        <f t="shared" si="35"/>
        <v>0</v>
      </c>
      <c r="Q33" s="104">
        <f t="shared" si="36"/>
        <v>36599477</v>
      </c>
      <c r="R33" s="1"/>
      <c r="S33" s="104">
        <f t="shared" ref="S33:Z33" si="39">E20</f>
        <v>0</v>
      </c>
      <c r="T33" s="104">
        <f t="shared" si="39"/>
        <v>0</v>
      </c>
      <c r="U33" s="104">
        <f t="shared" si="39"/>
        <v>36599477</v>
      </c>
      <c r="V33" s="104">
        <f t="shared" si="39"/>
        <v>35221846</v>
      </c>
      <c r="W33" s="104">
        <f t="shared" si="39"/>
        <v>40160945</v>
      </c>
      <c r="X33" s="105">
        <f t="shared" si="39"/>
        <v>38886829</v>
      </c>
      <c r="Y33" s="104">
        <f t="shared" si="39"/>
        <v>38016086</v>
      </c>
      <c r="Z33" s="106">
        <f t="shared" si="39"/>
        <v>0</v>
      </c>
      <c r="AA33" s="1"/>
      <c r="AB33" s="1"/>
      <c r="AC33" s="95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2.75" customHeight="1" x14ac:dyDescent="0.25">
      <c r="A34" s="110" t="s">
        <v>66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95"/>
      <c r="N34" s="95"/>
      <c r="O34" s="46" t="s">
        <v>56</v>
      </c>
      <c r="P34" s="81">
        <f>B24</f>
        <v>83105563</v>
      </c>
      <c r="Q34" s="47">
        <f>SUM(Q29:Q33)</f>
        <v>82621195</v>
      </c>
      <c r="R34" s="1"/>
      <c r="S34" s="47">
        <f t="shared" ref="S34:Y34" si="40">SUM(S29:S33)</f>
        <v>0</v>
      </c>
      <c r="T34" s="47">
        <f t="shared" si="40"/>
        <v>0</v>
      </c>
      <c r="U34" s="47">
        <f t="shared" si="40"/>
        <v>82621195</v>
      </c>
      <c r="V34" s="47">
        <f t="shared" si="40"/>
        <v>82244833</v>
      </c>
      <c r="W34" s="47">
        <f t="shared" si="40"/>
        <v>86863337</v>
      </c>
      <c r="X34" s="48">
        <f t="shared" si="40"/>
        <v>83112860</v>
      </c>
      <c r="Y34" s="47">
        <f t="shared" si="40"/>
        <v>90345079</v>
      </c>
      <c r="Z34" s="49">
        <f>L24</f>
        <v>90600000</v>
      </c>
      <c r="AA34" s="1"/>
      <c r="AB34" s="1"/>
      <c r="AC34" s="95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12.75" customHeight="1" x14ac:dyDescent="0.25">
      <c r="A35" s="111" t="s">
        <v>67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95"/>
      <c r="N35" s="95"/>
      <c r="O35" s="85" t="s">
        <v>43</v>
      </c>
      <c r="P35" s="86"/>
      <c r="Q35" s="87">
        <f>IF(ISERROR((Q34-P34)/P34), "", (Q34-P34)/P34)</f>
        <v>-5.8283462925339908E-3</v>
      </c>
      <c r="R35" s="16"/>
      <c r="S35" s="87" t="e">
        <f>IF(S10&lt;=#REF!, 0, IF(ISERROR((S34-Q34)/Q34), "", (S34-Q34)/Q34))</f>
        <v>#REF!</v>
      </c>
      <c r="T35" s="87" t="e">
        <f t="shared" ref="T35:V35" si="41">IF(T10&lt;=#REF!,0,IF(T10=#REF!+1,IF(ISERROR((T34-$Q$34)/$Q$34),"",(T34-$Q$34)/$Q$34),IF(ISERROR((T34-S34)/S34),"",(T34-S34)/S34)))</f>
        <v>#REF!</v>
      </c>
      <c r="U35" s="87" t="e">
        <f t="shared" si="41"/>
        <v>#REF!</v>
      </c>
      <c r="V35" s="87" t="e">
        <f t="shared" si="41"/>
        <v>#REF!</v>
      </c>
      <c r="W35" s="87">
        <f>IF(W10&lt;=P10,0,IF(W10=P10+1,IF(ISERROR((W34-$Q$34)/$Q$34),"",(W34-$Q$34)/$Q$34),IF(ISERROR((W34-V34)/V34),"",(W34-V34)/V34)))</f>
        <v>5.1344476438521615E-2</v>
      </c>
      <c r="X35" s="89">
        <f>IF(X10&lt;=P10,0,IF(X10=P10+1,IF(ISERROR((X34-$Q$34)/$Q$34),"",(X34-$Q$34)/$Q$34),IF(ISERROR((X34-W34)/W34),"",(X34-W34)/W34)))</f>
        <v>-4.3176754768240136E-2</v>
      </c>
      <c r="Y35" s="89">
        <f>IF(Y10&lt;=P10,0,IF(Y10=P10+1,IF(ISERROR((Y34-$Q$34)/$Q$34),"",(Y34-$Q$34)/$Q$34),IF(ISERROR((Y34-X34)/X34),"",(Y34-X34)/X34)))</f>
        <v>8.701684673105943E-2</v>
      </c>
      <c r="Z35" s="112">
        <f>IF(Z10&lt;=P10,0,IF(Z10=P10+1,IF(ISERROR((Z34-$Q$34)/$Q$34),"",(Z34-$Q$34)/$Q$34),IF(ISERROR((Z34-Y34)/Y34),"",(Z34-Y34)/Y34)))</f>
        <v>2.821636804368725E-3</v>
      </c>
      <c r="AA35" s="113"/>
      <c r="AB35" s="1"/>
      <c r="AC35" s="95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2.75" customHeight="1" x14ac:dyDescent="0.25">
      <c r="A36" s="11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</row>
    <row r="37" spans="1:43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</row>
    <row r="38" spans="1:43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</row>
    <row r="39" spans="1:43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</row>
    <row r="40" spans="1:43" ht="12.75" customHeight="1" x14ac:dyDescent="0.2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</row>
    <row r="41" spans="1:43" ht="12.75" customHeight="1" x14ac:dyDescent="0.25"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</row>
    <row r="42" spans="1:43" ht="12.75" customHeight="1" x14ac:dyDescent="0.25"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</row>
    <row r="43" spans="1:43" ht="12.75" customHeight="1" x14ac:dyDescent="0.25"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</row>
    <row r="44" spans="1:43" ht="12.75" customHeight="1" x14ac:dyDescent="0.25"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</row>
    <row r="45" spans="1:43" ht="12.75" customHeight="1" x14ac:dyDescent="0.25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</row>
    <row r="46" spans="1:43" ht="12.75" customHeight="1" x14ac:dyDescent="0.25">
      <c r="A46" s="111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</row>
    <row r="47" spans="1:43" ht="12.75" customHeight="1" x14ac:dyDescent="0.25">
      <c r="A47" s="1"/>
      <c r="B47" s="119"/>
      <c r="C47" s="118"/>
      <c r="D47" s="118"/>
      <c r="E47" s="118"/>
      <c r="F47" s="118"/>
      <c r="G47" s="118"/>
      <c r="H47" s="118"/>
      <c r="I47" s="118"/>
      <c r="J47" s="118"/>
      <c r="K47" s="118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</row>
    <row r="48" spans="1:43" ht="12.75" customHeight="1" x14ac:dyDescent="0.25">
      <c r="A48" s="1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</row>
    <row r="49" spans="1:43" ht="12.75" customHeight="1" x14ac:dyDescent="0.25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</row>
    <row r="50" spans="1:43" ht="12.75" customHeight="1" x14ac:dyDescent="0.25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</row>
    <row r="51" spans="1:43" ht="12.75" customHeight="1" x14ac:dyDescent="0.25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</row>
    <row r="52" spans="1:43" ht="12.75" customHeight="1" x14ac:dyDescent="0.25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</row>
    <row r="53" spans="1:43" ht="12.75" customHeight="1" x14ac:dyDescent="0.25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</row>
    <row r="54" spans="1:43" ht="12.75" customHeight="1" x14ac:dyDescent="0.25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</row>
    <row r="55" spans="1:43" ht="12.75" customHeight="1" x14ac:dyDescent="0.2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</row>
    <row r="56" spans="1:43" ht="12.75" customHeight="1" x14ac:dyDescent="0.25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</row>
    <row r="57" spans="1:43" ht="12.75" customHeight="1" x14ac:dyDescent="0.25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</row>
    <row r="58" spans="1:43" ht="12.75" customHeight="1" x14ac:dyDescent="0.25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</row>
    <row r="59" spans="1:43" ht="12.75" customHeight="1" x14ac:dyDescent="0.25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</row>
    <row r="60" spans="1:43" ht="12.75" customHeight="1" x14ac:dyDescent="0.25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</row>
    <row r="61" spans="1:43" ht="12.75" customHeight="1" x14ac:dyDescent="0.25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</row>
    <row r="62" spans="1:43" ht="12.75" customHeight="1" x14ac:dyDescent="0.25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</row>
    <row r="63" spans="1:43" ht="12.75" customHeight="1" x14ac:dyDescent="0.25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</row>
    <row r="64" spans="1:43" ht="12.75" customHeight="1" x14ac:dyDescent="0.25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</row>
    <row r="65" spans="1:43" ht="12.75" customHeight="1" x14ac:dyDescent="0.25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</row>
    <row r="66" spans="1:43" ht="12.75" customHeight="1" x14ac:dyDescent="0.25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</row>
    <row r="67" spans="1:43" ht="12.75" customHeight="1" x14ac:dyDescent="0.25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</row>
    <row r="68" spans="1:43" ht="12.75" customHeight="1" x14ac:dyDescent="0.25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</row>
    <row r="69" spans="1:43" ht="12.75" customHeight="1" x14ac:dyDescent="0.25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</row>
    <row r="70" spans="1:43" ht="12.75" customHeight="1" x14ac:dyDescent="0.25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</row>
    <row r="71" spans="1:43" ht="12.75" customHeight="1" x14ac:dyDescent="0.25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</row>
    <row r="72" spans="1:43" ht="12.75" customHeight="1" x14ac:dyDescent="0.25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</row>
    <row r="73" spans="1:43" ht="12.75" customHeight="1" x14ac:dyDescent="0.25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</row>
    <row r="74" spans="1:43" ht="12.75" customHeight="1" x14ac:dyDescent="0.25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</row>
    <row r="75" spans="1:43" ht="12.75" customHeight="1" x14ac:dyDescent="0.25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</row>
    <row r="76" spans="1:43" ht="12.75" customHeight="1" x14ac:dyDescent="0.25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</row>
    <row r="77" spans="1:43" ht="12.75" customHeight="1" x14ac:dyDescent="0.25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</row>
    <row r="78" spans="1:43" ht="12.75" customHeight="1" x14ac:dyDescent="0.25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</row>
    <row r="79" spans="1:43" ht="12.75" customHeight="1" x14ac:dyDescent="0.25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</row>
    <row r="80" spans="1:43" ht="12.75" customHeight="1" x14ac:dyDescent="0.25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</row>
    <row r="81" spans="1:43" ht="12.75" customHeight="1" x14ac:dyDescent="0.25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</row>
    <row r="82" spans="1:43" ht="12.75" customHeight="1" x14ac:dyDescent="0.25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</row>
    <row r="83" spans="1:43" ht="12.75" customHeight="1" x14ac:dyDescent="0.25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</row>
    <row r="84" spans="1:43" ht="12.75" customHeight="1" x14ac:dyDescent="0.25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</row>
    <row r="85" spans="1:43" ht="12.75" customHeight="1" x14ac:dyDescent="0.25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</row>
    <row r="86" spans="1:43" ht="12.75" customHeight="1" x14ac:dyDescent="0.25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</row>
    <row r="87" spans="1:43" ht="12.75" customHeight="1" x14ac:dyDescent="0.2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</row>
    <row r="88" spans="1:43" ht="12.75" customHeight="1" x14ac:dyDescent="0.25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</row>
    <row r="89" spans="1:43" ht="12.75" customHeight="1" x14ac:dyDescent="0.25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</row>
    <row r="90" spans="1:43" ht="12.75" customHeight="1" x14ac:dyDescent="0.25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</row>
    <row r="91" spans="1:43" ht="12.75" customHeight="1" x14ac:dyDescent="0.25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</row>
    <row r="92" spans="1:43" ht="12.75" customHeight="1" x14ac:dyDescent="0.25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</row>
    <row r="93" spans="1:43" ht="12.75" customHeight="1" x14ac:dyDescent="0.25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</row>
    <row r="94" spans="1:43" ht="12.75" customHeight="1" x14ac:dyDescent="0.25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</row>
    <row r="95" spans="1:43" ht="12.75" customHeight="1" x14ac:dyDescent="0.25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</row>
    <row r="96" spans="1:43" ht="12.75" customHeight="1" x14ac:dyDescent="0.25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</row>
    <row r="97" spans="1:43" ht="12.75" customHeight="1" x14ac:dyDescent="0.25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</row>
    <row r="98" spans="1:43" ht="12.75" customHeight="1" x14ac:dyDescent="0.25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</row>
    <row r="99" spans="1:43" ht="12.75" customHeight="1" x14ac:dyDescent="0.25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</row>
    <row r="100" spans="1:43" ht="12.75" customHeight="1" x14ac:dyDescent="0.25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</row>
    <row r="101" spans="1:43" ht="12.75" customHeight="1" x14ac:dyDescent="0.25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</row>
    <row r="102" spans="1:43" ht="12.75" customHeight="1" x14ac:dyDescent="0.25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</row>
    <row r="103" spans="1:43" ht="12.75" customHeight="1" x14ac:dyDescent="0.25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</row>
    <row r="104" spans="1:43" ht="12.75" customHeight="1" x14ac:dyDescent="0.25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</row>
    <row r="105" spans="1:43" ht="12.75" customHeight="1" x14ac:dyDescent="0.25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</row>
    <row r="106" spans="1:43" ht="12.75" customHeight="1" x14ac:dyDescent="0.25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</row>
    <row r="107" spans="1:43" ht="12.75" customHeight="1" x14ac:dyDescent="0.25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</row>
    <row r="108" spans="1:43" ht="12.75" customHeight="1" x14ac:dyDescent="0.25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</row>
    <row r="109" spans="1:43" ht="12.75" customHeight="1" x14ac:dyDescent="0.25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</row>
    <row r="110" spans="1:43" ht="12.75" customHeight="1" x14ac:dyDescent="0.25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</row>
    <row r="111" spans="1:43" ht="12.75" customHeight="1" x14ac:dyDescent="0.25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</row>
    <row r="112" spans="1:43" ht="12.75" customHeight="1" x14ac:dyDescent="0.25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</row>
    <row r="113" spans="1:43" ht="12.75" customHeight="1" x14ac:dyDescent="0.25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</row>
    <row r="114" spans="1:43" ht="12.75" customHeight="1" x14ac:dyDescent="0.25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2.75" customHeight="1" x14ac:dyDescent="0.25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2.75" customHeight="1" x14ac:dyDescent="0.25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2.75" customHeight="1" x14ac:dyDescent="0.25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</row>
    <row r="599" spans="1:43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</row>
    <row r="600" spans="1:43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</row>
    <row r="601" spans="1:43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</row>
    <row r="602" spans="1:43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</row>
    <row r="603" spans="1:43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</row>
    <row r="604" spans="1:43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</row>
    <row r="605" spans="1:43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</row>
    <row r="606" spans="1:43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</row>
    <row r="607" spans="1:43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</row>
    <row r="608" spans="1:43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</row>
    <row r="609" spans="1:43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</row>
    <row r="610" spans="1:43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</row>
    <row r="611" spans="1:43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</row>
    <row r="612" spans="1:43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</row>
    <row r="613" spans="1:43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</row>
    <row r="614" spans="1:43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</row>
    <row r="615" spans="1:43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</row>
    <row r="616" spans="1:43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</row>
    <row r="617" spans="1:43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</row>
    <row r="618" spans="1:43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</row>
    <row r="619" spans="1:43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</row>
    <row r="620" spans="1:43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</row>
    <row r="621" spans="1:43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</row>
    <row r="622" spans="1:43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</row>
    <row r="623" spans="1:43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</row>
    <row r="624" spans="1:43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</row>
    <row r="625" spans="1:43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</row>
    <row r="626" spans="1:43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</row>
    <row r="627" spans="1:43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</row>
    <row r="628" spans="1:43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</row>
    <row r="629" spans="1:43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</row>
    <row r="630" spans="1:43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</row>
    <row r="631" spans="1:43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</row>
    <row r="632" spans="1:43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</row>
    <row r="633" spans="1:43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</row>
    <row r="634" spans="1:43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</row>
    <row r="635" spans="1:43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spans="1:43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</row>
    <row r="637" spans="1:43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</row>
    <row r="638" spans="1:43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</row>
    <row r="639" spans="1:43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</row>
    <row r="640" spans="1:43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</row>
    <row r="641" spans="1:43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</row>
    <row r="642" spans="1:43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</row>
    <row r="643" spans="1:43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</row>
    <row r="644" spans="1:43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</row>
    <row r="645" spans="1:43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</row>
    <row r="646" spans="1:43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</row>
    <row r="647" spans="1:43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</row>
    <row r="648" spans="1:43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</row>
    <row r="649" spans="1:43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</row>
    <row r="650" spans="1:43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spans="1:43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</row>
    <row r="652" spans="1:43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</row>
    <row r="653" spans="1:43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</row>
    <row r="654" spans="1:43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</row>
    <row r="655" spans="1:43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</row>
    <row r="656" spans="1:43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</row>
    <row r="657" spans="1:43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</row>
    <row r="658" spans="1:43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</row>
    <row r="659" spans="1:43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</row>
    <row r="660" spans="1:43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</row>
    <row r="661" spans="1:43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</row>
    <row r="662" spans="1:43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</row>
    <row r="663" spans="1:43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</row>
    <row r="664" spans="1:43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</row>
    <row r="665" spans="1:43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</row>
    <row r="666" spans="1:43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</row>
    <row r="667" spans="1:43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</row>
    <row r="668" spans="1:43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</row>
    <row r="669" spans="1:43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</row>
    <row r="670" spans="1:43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</row>
    <row r="671" spans="1:43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</row>
    <row r="672" spans="1:43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</row>
    <row r="673" spans="1:43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</row>
    <row r="674" spans="1:43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</row>
    <row r="675" spans="1:43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</row>
    <row r="676" spans="1:43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</row>
    <row r="677" spans="1:43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</row>
    <row r="678" spans="1:43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</row>
    <row r="679" spans="1:43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</row>
    <row r="680" spans="1:43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</row>
    <row r="681" spans="1:43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</row>
    <row r="682" spans="1:43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</row>
    <row r="683" spans="1:43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</row>
    <row r="684" spans="1:43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</row>
    <row r="685" spans="1:43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</row>
    <row r="686" spans="1:43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</row>
    <row r="687" spans="1:43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</row>
    <row r="688" spans="1:43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</row>
    <row r="689" spans="1:43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</row>
    <row r="690" spans="1:43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</row>
    <row r="691" spans="1:43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</row>
    <row r="692" spans="1:43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</row>
    <row r="693" spans="1:43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</row>
    <row r="694" spans="1:43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</row>
    <row r="695" spans="1:43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</row>
    <row r="696" spans="1:43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</row>
    <row r="697" spans="1:43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</row>
    <row r="698" spans="1:43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</row>
    <row r="699" spans="1:43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</row>
    <row r="700" spans="1:43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</row>
    <row r="701" spans="1:43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</row>
    <row r="702" spans="1:43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</row>
    <row r="703" spans="1:43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</row>
    <row r="704" spans="1:43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</row>
    <row r="705" spans="1:43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</row>
    <row r="706" spans="1:43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</row>
    <row r="707" spans="1:43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</row>
    <row r="708" spans="1:43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</row>
    <row r="709" spans="1:43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</row>
    <row r="710" spans="1:43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</row>
    <row r="711" spans="1:43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</row>
    <row r="712" spans="1:43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</row>
    <row r="713" spans="1:43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</row>
    <row r="714" spans="1:43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</row>
    <row r="715" spans="1:43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</row>
    <row r="716" spans="1:43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</row>
    <row r="717" spans="1:43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</row>
    <row r="718" spans="1:43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</row>
    <row r="719" spans="1:43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</row>
    <row r="720" spans="1:43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</row>
    <row r="721" spans="1:43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</row>
    <row r="722" spans="1:43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</row>
    <row r="723" spans="1:43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</row>
    <row r="724" spans="1:43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</row>
    <row r="725" spans="1:43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</row>
    <row r="726" spans="1:43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</row>
    <row r="727" spans="1:43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</row>
    <row r="728" spans="1:43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</row>
    <row r="729" spans="1:43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</row>
    <row r="730" spans="1:43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</row>
    <row r="731" spans="1:43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</row>
    <row r="732" spans="1:43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</row>
    <row r="733" spans="1:43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</row>
    <row r="734" spans="1:43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</row>
    <row r="735" spans="1:43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</row>
    <row r="736" spans="1:43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</row>
    <row r="737" spans="1:43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</row>
    <row r="738" spans="1:43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</row>
    <row r="739" spans="1:43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</row>
    <row r="740" spans="1:43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</row>
    <row r="741" spans="1:43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</row>
    <row r="742" spans="1:43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</row>
    <row r="743" spans="1:43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</row>
    <row r="744" spans="1:43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</row>
    <row r="745" spans="1:43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</row>
    <row r="746" spans="1:43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</row>
    <row r="747" spans="1:43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</row>
    <row r="748" spans="1:43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</row>
    <row r="749" spans="1:43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</row>
    <row r="750" spans="1:43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</row>
    <row r="751" spans="1:43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</row>
    <row r="752" spans="1:43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</row>
    <row r="753" spans="1:43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</row>
    <row r="754" spans="1:43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</row>
    <row r="755" spans="1:43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</row>
    <row r="756" spans="1:43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</row>
    <row r="757" spans="1:43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</row>
    <row r="758" spans="1:43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</row>
    <row r="759" spans="1:43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spans="1:43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</row>
    <row r="761" spans="1:43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</row>
    <row r="762" spans="1:43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</row>
    <row r="763" spans="1:43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</row>
    <row r="764" spans="1:43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</row>
    <row r="765" spans="1:43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</row>
    <row r="766" spans="1:43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</row>
    <row r="767" spans="1:43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</row>
    <row r="768" spans="1:43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</row>
    <row r="769" spans="1:43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spans="1:43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</row>
    <row r="771" spans="1:43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</row>
    <row r="772" spans="1:43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</row>
    <row r="773" spans="1:43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</row>
    <row r="774" spans="1:43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</row>
    <row r="775" spans="1:43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</row>
    <row r="776" spans="1:43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</row>
    <row r="777" spans="1:43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</row>
    <row r="778" spans="1:43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</row>
    <row r="779" spans="1:43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</row>
    <row r="780" spans="1:43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</row>
    <row r="781" spans="1:43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</row>
    <row r="782" spans="1:43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</row>
    <row r="783" spans="1:43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</row>
    <row r="784" spans="1:43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</row>
    <row r="785" spans="1:43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</row>
    <row r="786" spans="1:43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</row>
    <row r="787" spans="1:43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</row>
    <row r="788" spans="1:43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</row>
    <row r="789" spans="1:43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</row>
    <row r="790" spans="1:43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</row>
    <row r="791" spans="1:43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</row>
    <row r="792" spans="1:43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</row>
    <row r="793" spans="1:43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</row>
    <row r="794" spans="1:43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</row>
    <row r="795" spans="1:43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</row>
    <row r="796" spans="1:43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</row>
    <row r="797" spans="1:43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</row>
    <row r="798" spans="1:43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</row>
    <row r="799" spans="1:43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</row>
    <row r="800" spans="1:43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</row>
    <row r="801" spans="1:43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</row>
    <row r="802" spans="1:43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</row>
    <row r="803" spans="1:43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</row>
    <row r="804" spans="1:43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</row>
    <row r="805" spans="1:43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</row>
    <row r="806" spans="1:43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</row>
    <row r="807" spans="1:43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</row>
    <row r="808" spans="1:43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</row>
    <row r="809" spans="1:43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</row>
    <row r="810" spans="1:43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</row>
    <row r="811" spans="1:43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</row>
    <row r="812" spans="1:43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</row>
    <row r="813" spans="1:43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</row>
    <row r="814" spans="1:43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</row>
    <row r="815" spans="1:43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</row>
    <row r="816" spans="1:43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</row>
    <row r="817" spans="1:43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</row>
    <row r="818" spans="1:43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</row>
    <row r="819" spans="1:43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</row>
    <row r="820" spans="1:43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</row>
    <row r="821" spans="1:43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</row>
    <row r="822" spans="1:43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</row>
    <row r="823" spans="1:43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</row>
    <row r="824" spans="1:43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</row>
    <row r="825" spans="1:43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</row>
    <row r="826" spans="1:43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</row>
    <row r="827" spans="1:43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</row>
    <row r="828" spans="1:43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</row>
    <row r="829" spans="1:43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</row>
    <row r="830" spans="1:43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</row>
    <row r="831" spans="1:43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</row>
    <row r="832" spans="1:43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</row>
    <row r="833" spans="1:43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</row>
    <row r="834" spans="1:43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</row>
    <row r="835" spans="1:43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</row>
    <row r="836" spans="1:43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</row>
    <row r="837" spans="1:43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</row>
    <row r="838" spans="1:43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</row>
    <row r="839" spans="1:43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</row>
    <row r="840" spans="1:43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</row>
    <row r="841" spans="1:43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</row>
    <row r="842" spans="1:43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</row>
    <row r="843" spans="1:43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</row>
    <row r="844" spans="1:43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</row>
    <row r="845" spans="1:43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</row>
    <row r="846" spans="1:43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</row>
    <row r="847" spans="1:43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</row>
    <row r="848" spans="1:43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</row>
    <row r="849" spans="1:43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</row>
    <row r="850" spans="1:43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</row>
    <row r="851" spans="1:43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</row>
    <row r="852" spans="1:43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</row>
    <row r="853" spans="1:43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</row>
    <row r="854" spans="1:43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</row>
    <row r="855" spans="1:43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</row>
    <row r="856" spans="1:43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</row>
    <row r="857" spans="1:43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</row>
    <row r="858" spans="1:43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</row>
    <row r="859" spans="1:43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</row>
    <row r="860" spans="1:43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</row>
    <row r="861" spans="1:43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</row>
    <row r="862" spans="1:43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spans="1:43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</row>
    <row r="864" spans="1:43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</row>
    <row r="865" spans="1:43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</row>
    <row r="866" spans="1:43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</row>
    <row r="867" spans="1:43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</row>
    <row r="868" spans="1:43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</row>
    <row r="869" spans="1:43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</row>
    <row r="870" spans="1:43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</row>
    <row r="871" spans="1:43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</row>
    <row r="872" spans="1:43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</row>
    <row r="873" spans="1:43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</row>
    <row r="874" spans="1:43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</row>
    <row r="875" spans="1:43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</row>
    <row r="876" spans="1:43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</row>
    <row r="877" spans="1:43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</row>
    <row r="878" spans="1:43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</row>
    <row r="879" spans="1:43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</row>
    <row r="880" spans="1:43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</row>
    <row r="881" spans="1:43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</row>
    <row r="882" spans="1:43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</row>
    <row r="883" spans="1:43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</row>
    <row r="884" spans="1:43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</row>
    <row r="885" spans="1:43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</row>
    <row r="886" spans="1:43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</row>
    <row r="887" spans="1:43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</row>
    <row r="888" spans="1:43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</row>
    <row r="889" spans="1:43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</row>
    <row r="890" spans="1:43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</row>
    <row r="891" spans="1:43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</row>
    <row r="892" spans="1:43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</row>
    <row r="893" spans="1:43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</row>
    <row r="894" spans="1:43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</row>
    <row r="895" spans="1:43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</row>
    <row r="896" spans="1:43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</row>
    <row r="897" spans="1:43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</row>
    <row r="898" spans="1:43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</row>
    <row r="899" spans="1:43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</row>
    <row r="900" spans="1:43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</row>
    <row r="901" spans="1:43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</row>
    <row r="902" spans="1:43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</row>
    <row r="903" spans="1:43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</row>
    <row r="904" spans="1:43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</row>
    <row r="905" spans="1:43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</row>
    <row r="906" spans="1:43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</row>
    <row r="907" spans="1:43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</row>
    <row r="908" spans="1:43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</row>
    <row r="909" spans="1:43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</row>
    <row r="910" spans="1:43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</row>
    <row r="911" spans="1:43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</row>
    <row r="912" spans="1:43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</row>
    <row r="913" spans="1:43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</row>
    <row r="914" spans="1:43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</row>
    <row r="915" spans="1:43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</row>
    <row r="916" spans="1:43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</row>
    <row r="917" spans="1:43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</row>
    <row r="918" spans="1:43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</row>
    <row r="919" spans="1:43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</row>
    <row r="920" spans="1:43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</row>
    <row r="921" spans="1:43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</row>
    <row r="922" spans="1:43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</row>
    <row r="923" spans="1:43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</row>
    <row r="924" spans="1:43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</row>
    <row r="925" spans="1:43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</row>
    <row r="926" spans="1:43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</row>
    <row r="927" spans="1:43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</row>
    <row r="928" spans="1:43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</row>
    <row r="929" spans="1:43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</row>
    <row r="930" spans="1:43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</row>
    <row r="931" spans="1:43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</row>
    <row r="932" spans="1:43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</row>
    <row r="933" spans="1:43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</row>
    <row r="934" spans="1:43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</row>
    <row r="935" spans="1:43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</row>
    <row r="936" spans="1:43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</row>
    <row r="937" spans="1:43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</row>
    <row r="938" spans="1:43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</row>
    <row r="939" spans="1:43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</row>
    <row r="940" spans="1:43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</row>
    <row r="941" spans="1:43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</row>
    <row r="942" spans="1:43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</row>
    <row r="943" spans="1:43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</row>
    <row r="944" spans="1:43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</row>
    <row r="945" spans="1:43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</row>
    <row r="946" spans="1:43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</row>
    <row r="947" spans="1:43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</row>
    <row r="948" spans="1:43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</row>
    <row r="949" spans="1:43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</row>
    <row r="950" spans="1:43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</row>
    <row r="951" spans="1:43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</row>
    <row r="952" spans="1:43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</row>
    <row r="953" spans="1:43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</row>
    <row r="954" spans="1:43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</row>
    <row r="955" spans="1:43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</row>
    <row r="956" spans="1:43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</row>
    <row r="957" spans="1:43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</row>
    <row r="958" spans="1:43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</row>
    <row r="959" spans="1:43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</row>
    <row r="960" spans="1:43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</row>
    <row r="961" spans="1:43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</row>
    <row r="962" spans="1:43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</row>
    <row r="963" spans="1:43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</row>
    <row r="964" spans="1:43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</row>
    <row r="965" spans="1:43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</row>
    <row r="966" spans="1:43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</row>
    <row r="967" spans="1:43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</row>
    <row r="968" spans="1:43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</row>
    <row r="969" spans="1:43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</row>
    <row r="970" spans="1:43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</row>
    <row r="971" spans="1:43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</row>
    <row r="972" spans="1:43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</row>
    <row r="973" spans="1:43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</row>
    <row r="974" spans="1:43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</row>
    <row r="975" spans="1:43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</row>
    <row r="976" spans="1:43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</row>
    <row r="977" spans="1:43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</row>
    <row r="978" spans="1:43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</row>
    <row r="979" spans="1:43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</row>
    <row r="980" spans="1:43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</row>
    <row r="981" spans="1:43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</row>
    <row r="982" spans="1:43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</row>
    <row r="983" spans="1:43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</row>
    <row r="984" spans="1:43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</row>
    <row r="985" spans="1:43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</row>
    <row r="986" spans="1:43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</row>
    <row r="987" spans="1:43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</row>
    <row r="988" spans="1:43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</row>
    <row r="989" spans="1:43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</row>
    <row r="990" spans="1:43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</row>
    <row r="991" spans="1:43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</row>
    <row r="992" spans="1:43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</row>
    <row r="993" spans="1:43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</row>
    <row r="994" spans="1:43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</row>
    <row r="995" spans="1:43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</row>
    <row r="996" spans="1:43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</row>
    <row r="997" spans="1:43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</row>
    <row r="998" spans="1:43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</row>
    <row r="999" spans="1:43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</row>
    <row r="1000" spans="1:43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</row>
    <row r="1001" spans="1:43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</row>
    <row r="1002" spans="1:43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</row>
    <row r="1003" spans="1:43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</row>
    <row r="1004" spans="1:43" ht="12.75" customHeight="1" x14ac:dyDescent="0.25"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</row>
  </sheetData>
  <mergeCells count="4">
    <mergeCell ref="A8:L8"/>
    <mergeCell ref="A9:L9"/>
    <mergeCell ref="B47:K48"/>
    <mergeCell ref="A7:L7"/>
  </mergeCells>
  <conditionalFormatting sqref="I13:I14 I18:I20">
    <cfRule type="expression" dxfId="7" priority="1">
      <formula>$I$10&gt;=$M$1</formula>
    </cfRule>
  </conditionalFormatting>
  <conditionalFormatting sqref="H13:H14 H18:H20">
    <cfRule type="expression" dxfId="6" priority="2">
      <formula>$H$10&gt;=$M$1</formula>
    </cfRule>
  </conditionalFormatting>
  <conditionalFormatting sqref="G13:G14 G18:G20">
    <cfRule type="expression" dxfId="5" priority="3">
      <formula>$G$10&gt;=$M$1</formula>
    </cfRule>
  </conditionalFormatting>
  <conditionalFormatting sqref="F13:F14 F18:F20">
    <cfRule type="expression" dxfId="4" priority="4">
      <formula>$F$10&gt;=$M$1</formula>
    </cfRule>
  </conditionalFormatting>
  <conditionalFormatting sqref="E13:E14 E18:E20">
    <cfRule type="expression" dxfId="3" priority="5">
      <formula>$E$10&gt;=$M$1</formula>
    </cfRule>
  </conditionalFormatting>
  <conditionalFormatting sqref="D13:D14 D18:D20">
    <cfRule type="expression" dxfId="2" priority="6">
      <formula>$D$10&gt;=$M$1</formula>
    </cfRule>
  </conditionalFormatting>
  <conditionalFormatting sqref="B13:B14 B18:B20">
    <cfRule type="expression" dxfId="1" priority="7">
      <formula>$M$1=$C$10</formula>
    </cfRule>
  </conditionalFormatting>
  <conditionalFormatting sqref="C13:C14 C18:C20">
    <cfRule type="expression" dxfId="0" priority="8">
      <formula>$C$10&gt;=$M$1</formula>
    </cfRule>
  </conditionalFormatting>
  <dataValidations count="1">
    <dataValidation type="list" allowBlank="1" showErrorMessage="1" sqref="B12:L12">
      <formula1>"CGAAP,MIFRS,USGAAP,ASPE"</formula1>
    </dataValidation>
  </dataValidations>
  <printOptions horizontalCentered="1"/>
  <pageMargins left="0.26347305389221559" right="0.35129740518962072" top="0.82335329341317354" bottom="0.49423963133640553" header="0" footer="0"/>
  <pageSetup orientation="landscape"/>
  <rowBreaks count="2" manualBreakCount="2">
    <brk man="1"/>
    <brk id="37" man="1"/>
  </rowBreaks>
  <colBreaks count="3" manualBreakCount="3">
    <brk man="1"/>
    <brk id="13" man="1"/>
    <brk id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App.2-JA_OM&amp;A_Summary_A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meghanf</cp:lastModifiedBy>
  <dcterms:modified xsi:type="dcterms:W3CDTF">2020-09-18T13:51:07Z</dcterms:modified>
</cp:coreProperties>
</file>