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80" windowWidth="18880" windowHeight="13240"/>
  </bookViews>
  <sheets>
    <sheet name="App.2-OB_Debt Instruments" sheetId="1" r:id="rId1"/>
  </sheets>
  <calcPr calcId="145621"/>
</workbook>
</file>

<file path=xl/calcChain.xml><?xml version="1.0" encoding="utf-8"?>
<calcChain xmlns="http://schemas.openxmlformats.org/spreadsheetml/2006/main">
  <c r="H114" i="1" l="1"/>
  <c r="J114" i="1" s="1"/>
  <c r="H113" i="1"/>
  <c r="J113" i="1" s="1"/>
  <c r="I112" i="1"/>
  <c r="F112" i="1"/>
  <c r="K111" i="1"/>
  <c r="I111" i="1"/>
  <c r="H111" i="1"/>
  <c r="J111" i="1" s="1"/>
  <c r="F111" i="1"/>
  <c r="I108" i="1"/>
  <c r="J108" i="1" s="1"/>
  <c r="J107" i="1"/>
  <c r="I107" i="1"/>
  <c r="I106" i="1"/>
  <c r="J106" i="1" s="1"/>
  <c r="J105" i="1"/>
  <c r="I105" i="1"/>
  <c r="I97" i="1"/>
  <c r="H97" i="1"/>
  <c r="J97" i="1" s="1"/>
  <c r="J96" i="1"/>
  <c r="I96" i="1"/>
  <c r="H96" i="1"/>
  <c r="I95" i="1"/>
  <c r="J95" i="1" s="1"/>
  <c r="H95" i="1"/>
  <c r="H94" i="1"/>
  <c r="J94" i="1" s="1"/>
  <c r="J93" i="1"/>
  <c r="I93" i="1"/>
  <c r="I109" i="1" s="1"/>
  <c r="J109" i="1" s="1"/>
  <c r="H93" i="1"/>
  <c r="I92" i="1"/>
  <c r="J92" i="1" s="1"/>
  <c r="H92" i="1"/>
  <c r="H91" i="1"/>
  <c r="J91" i="1" s="1"/>
  <c r="J90" i="1"/>
  <c r="I90" i="1"/>
  <c r="H90" i="1"/>
  <c r="H89" i="1"/>
  <c r="H99" i="1" s="1"/>
  <c r="I88" i="1"/>
  <c r="H88" i="1"/>
  <c r="J88" i="1" s="1"/>
  <c r="J87" i="1"/>
  <c r="I87" i="1"/>
  <c r="I86" i="1"/>
  <c r="J86" i="1" s="1"/>
  <c r="H78" i="1"/>
  <c r="J78" i="1" s="1"/>
  <c r="H77" i="1"/>
  <c r="J77" i="1" s="1"/>
  <c r="I76" i="1"/>
  <c r="J76" i="1" s="1"/>
  <c r="H76" i="1"/>
  <c r="I75" i="1"/>
  <c r="H75" i="1"/>
  <c r="J75" i="1" s="1"/>
  <c r="H74" i="1"/>
  <c r="J74" i="1" s="1"/>
  <c r="H73" i="1"/>
  <c r="J73" i="1" s="1"/>
  <c r="I72" i="1"/>
  <c r="J72" i="1" s="1"/>
  <c r="K71" i="1"/>
  <c r="J71" i="1"/>
  <c r="I71" i="1"/>
  <c r="I70" i="1"/>
  <c r="J70" i="1" s="1"/>
  <c r="J69" i="1"/>
  <c r="I69" i="1"/>
  <c r="I68" i="1"/>
  <c r="J68" i="1" s="1"/>
  <c r="J67" i="1"/>
  <c r="I67" i="1"/>
  <c r="H61" i="1"/>
  <c r="H59" i="1"/>
  <c r="J59" i="1" s="1"/>
  <c r="J58" i="1"/>
  <c r="J57" i="1"/>
  <c r="J56" i="1"/>
  <c r="J55" i="1"/>
  <c r="J54" i="1"/>
  <c r="J53" i="1"/>
  <c r="H52" i="1"/>
  <c r="J52" i="1" s="1"/>
  <c r="H51" i="1"/>
  <c r="J51" i="1" s="1"/>
  <c r="J61" i="1" s="1"/>
  <c r="J50" i="1"/>
  <c r="H44" i="1"/>
  <c r="I44" i="1" s="1"/>
  <c r="H42" i="1"/>
  <c r="J42" i="1" s="1"/>
  <c r="J41" i="1"/>
  <c r="J40" i="1"/>
  <c r="J39" i="1"/>
  <c r="J38" i="1"/>
  <c r="J37" i="1"/>
  <c r="J36" i="1"/>
  <c r="J44" i="1" s="1"/>
  <c r="H36" i="1"/>
  <c r="J35" i="1"/>
  <c r="H22" i="1"/>
  <c r="J22" i="1" s="1"/>
  <c r="J21" i="1"/>
  <c r="J20" i="1"/>
  <c r="J19" i="1"/>
  <c r="J18" i="1"/>
  <c r="J17" i="1"/>
  <c r="J24" i="1" s="1"/>
  <c r="H17" i="1"/>
  <c r="H24" i="1" s="1"/>
  <c r="I24" i="1" s="1"/>
  <c r="J16" i="1"/>
  <c r="I61" i="1" l="1"/>
  <c r="J80" i="1"/>
  <c r="I110" i="1"/>
  <c r="J110" i="1" s="1"/>
  <c r="J116" i="1" s="1"/>
  <c r="H112" i="1"/>
  <c r="J112" i="1" s="1"/>
  <c r="H80" i="1"/>
  <c r="J89" i="1"/>
  <c r="J99" i="1" s="1"/>
  <c r="I99" i="1" s="1"/>
  <c r="H116" i="1" l="1"/>
  <c r="I116" i="1" s="1"/>
  <c r="I80" i="1"/>
</calcChain>
</file>

<file path=xl/sharedStrings.xml><?xml version="1.0" encoding="utf-8"?>
<sst xmlns="http://schemas.openxmlformats.org/spreadsheetml/2006/main" count="427" uniqueCount="67">
  <si>
    <t>EB-2019-0261</t>
  </si>
  <si>
    <t xml:space="preserve">Settlement Proposal </t>
  </si>
  <si>
    <t>Attachment 16</t>
  </si>
  <si>
    <t>Settlement Proposal</t>
  </si>
  <si>
    <t>Appendix 2-OB</t>
  </si>
  <si>
    <t>Debt Instruments</t>
  </si>
  <si>
    <t>This table must be completed for all required historical years, the bridge year and the test year.</t>
  </si>
  <si>
    <t>Year</t>
  </si>
  <si>
    <t>Historical Actual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</si>
  <si>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</si>
  <si>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</si>
  <si>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</si>
  <si>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</si>
  <si>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</si>
  <si>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</si>
  <si>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</si>
  <si>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</si>
  <si>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</si>
  <si>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</si>
  <si>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>Additional Comments, if any</t>
  </si>
  <si>
    <t>Promissory Note</t>
  </si>
  <si>
    <t>Hydo Ottawa Holding Inc.</t>
  </si>
  <si>
    <t>Affiliated</t>
  </si>
  <si>
    <t>Fixed Rate</t>
  </si>
  <si>
    <t>30 years</t>
  </si>
  <si>
    <t>$50.0M Promissory Note</t>
  </si>
  <si>
    <t>$107.185M Promissory Note</t>
  </si>
  <si>
    <t>10 years</t>
  </si>
  <si>
    <t>$260.0M, in aggregate, Promissory Notes</t>
  </si>
  <si>
    <t>$30.0M, in aggregate, Promissory Notes</t>
  </si>
  <si>
    <t>Grid Promissory Note</t>
  </si>
  <si>
    <t>on demand</t>
  </si>
  <si>
    <t>$60.0M deemed rate per cost of capital report calculation (effective 31 days)</t>
  </si>
  <si>
    <t>Total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</si>
  <si>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</si>
  <si>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</si>
  <si>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</rPr>
      <t>The Report of the Board on the Cost of Capital for Ontario's Regulated Utilities</t>
    </r>
    <r>
      <rPr>
        <sz val="10"/>
        <rFont val="Arial"/>
      </rPr>
      <t>, issued December 11, 2009, or with any subsequent update issued by the OEB.</t>
    </r>
  </si>
  <si>
    <t>Add more lines above row 12 if necessary.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</si>
  <si>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</si>
  <si>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</si>
  <si>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 xml:space="preserve">$107.185M Promissory Note </t>
  </si>
  <si>
    <t>$60.0M deemed rate per cost of capital report calculation</t>
  </si>
  <si>
    <t>$60.0M deemed rate per cost of capital report calculation (effective 61 days)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</si>
  <si>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</si>
  <si>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</si>
  <si>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>$107.185M Promissory Note (rate change on May 14, 2018)</t>
  </si>
  <si>
    <t>$30.0M, in aggregate, Promissory Notes (rate changes on June 26, 2020)</t>
  </si>
  <si>
    <t>$30.0M deemed rate per cost of capital report calculation - effective 27 days</t>
  </si>
  <si>
    <t>Bridge Year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</si>
  <si>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</si>
  <si>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</si>
  <si>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>$107.185M Promissory Note (rate changed on May 14, 2018)</t>
  </si>
  <si>
    <t>$60.0M deemed rate per cost of capital report calculation - effective 288 days</t>
  </si>
  <si>
    <t>$30.0M deemed rate per cost of capital report calculation - effective 288 days</t>
  </si>
  <si>
    <t>$30.0M deemed rate per cost of capital report calculation - effective 106 days</t>
  </si>
  <si>
    <t>$250.0M, in aggregate, Promissory Notes (effective 77 days)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</si>
  <si>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</si>
  <si>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</si>
  <si>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>$260.0M, in aggregate, Promissory Notes (rate change on February 4, 2020 due to issuance costs fully amortized)</t>
  </si>
  <si>
    <t>$30.0M, in aggregate, Promissory Notes,(rate change on June 26, 2020 as issuance costs fully amortized</t>
  </si>
  <si>
    <t>$250.0M, in aggregate, Promissory Notes</t>
  </si>
  <si>
    <t>Test Year</t>
  </si>
  <si>
    <r>
      <t xml:space="preserve">Rate (%) </t>
    </r>
    <r>
      <rPr>
        <vertAlign val="superscript"/>
        <sz val="10"/>
        <rFont val="Arial"/>
      </rPr>
      <t>2</t>
    </r>
  </si>
  <si>
    <r>
      <t xml:space="preserve">Interest ($) </t>
    </r>
    <r>
      <rPr>
        <vertAlign val="superscript"/>
        <sz val="10"/>
        <rFont val="Arial"/>
      </rPr>
      <t>1</t>
    </r>
  </si>
  <si>
    <t xml:space="preserve">$30.0M, in aggregate, Promissory Notes </t>
  </si>
  <si>
    <t>$80.0M. in aggregate, Promissory Note - effective 184 days</t>
  </si>
  <si>
    <t>September 18,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</si>
</sst>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09]d\-mmm\-yy"/>
    <numFmt numFmtId="165" formatCode="_-&quot;$&quot;* #,##0_-;\-&quot;$&quot;* #,##0_-;_-&quot;$&quot;* &quot;-&quot;??_-;_-@"/>
    <numFmt numFmtId="166" formatCode="_-&quot;$&quot;* #,##0.00_-;\-&quot;$&quot;* #,##0.00_-;_-&quot;$&quot;* &quot;-&quot;??_-;_-@"/>
    <numFmt numFmtId="167" formatCode="_(&quot;$&quot;* #,##0_);_(&quot;$&quot;* \(#,##0\);_(&quot;$&quot;* &quot;-&quot;??_);_(@_)"/>
  </numFmts>
  <fonts count="11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sz val="8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name val="Arial"/>
    </font>
    <font>
      <vertAlign val="superscript"/>
      <sz val="10"/>
      <name val="Arial"/>
    </font>
    <font>
      <i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2" borderId="3" xfId="0" applyFont="1" applyFill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7" fillId="3" borderId="3" xfId="0" applyFont="1" applyFill="1" applyBorder="1" applyAlignment="1"/>
    <xf numFmtId="0" fontId="1" fillId="3" borderId="3" xfId="0" applyFont="1" applyFill="1" applyBorder="1" applyAlignment="1"/>
    <xf numFmtId="164" fontId="7" fillId="3" borderId="3" xfId="0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/>
    <xf numFmtId="10" fontId="7" fillId="3" borderId="3" xfId="0" applyNumberFormat="1" applyFont="1" applyFill="1" applyBorder="1" applyAlignment="1">
      <alignment horizontal="right"/>
    </xf>
    <xf numFmtId="166" fontId="1" fillId="3" borderId="3" xfId="0" applyNumberFormat="1" applyFont="1" applyFill="1" applyBorder="1"/>
    <xf numFmtId="0" fontId="7" fillId="3" borderId="8" xfId="0" applyFont="1" applyFill="1" applyBorder="1" applyAlignment="1">
      <alignment horizontal="left"/>
    </xf>
    <xf numFmtId="0" fontId="7" fillId="0" borderId="3" xfId="0" applyFont="1" applyBorder="1" applyAlignment="1"/>
    <xf numFmtId="0" fontId="1" fillId="4" borderId="3" xfId="0" applyFont="1" applyFill="1" applyBorder="1" applyAlignment="1"/>
    <xf numFmtId="164" fontId="7" fillId="0" borderId="3" xfId="0" applyNumberFormat="1" applyFont="1" applyBorder="1" applyAlignment="1">
      <alignment horizontal="right"/>
    </xf>
    <xf numFmtId="165" fontId="7" fillId="0" borderId="3" xfId="0" applyNumberFormat="1" applyFont="1" applyBorder="1" applyAlignment="1"/>
    <xf numFmtId="10" fontId="7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7" fillId="0" borderId="9" xfId="0" applyFont="1" applyBorder="1" applyAlignment="1">
      <alignment horizontal="left"/>
    </xf>
    <xf numFmtId="164" fontId="7" fillId="4" borderId="3" xfId="0" applyNumberFormat="1" applyFont="1" applyFill="1" applyBorder="1" applyAlignment="1">
      <alignment horizontal="right"/>
    </xf>
    <xf numFmtId="165" fontId="7" fillId="4" borderId="3" xfId="0" applyNumberFormat="1" applyFont="1" applyFill="1" applyBorder="1" applyAlignment="1"/>
    <xf numFmtId="0" fontId="7" fillId="3" borderId="9" xfId="0" applyFont="1" applyFill="1" applyBorder="1" applyAlignment="1">
      <alignment horizontal="left" vertical="top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165" fontId="1" fillId="0" borderId="17" xfId="0" applyNumberFormat="1" applyFont="1" applyBorder="1"/>
    <xf numFmtId="10" fontId="1" fillId="0" borderId="17" xfId="0" applyNumberFormat="1" applyFont="1" applyBorder="1"/>
    <xf numFmtId="166" fontId="1" fillId="0" borderId="16" xfId="0" applyNumberFormat="1" applyFont="1" applyBorder="1"/>
    <xf numFmtId="0" fontId="1" fillId="0" borderId="18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 vertical="top"/>
    </xf>
    <xf numFmtId="0" fontId="7" fillId="0" borderId="19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165" fontId="7" fillId="4" borderId="3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/>
    <xf numFmtId="10" fontId="7" fillId="4" borderId="3" xfId="0" applyNumberFormat="1" applyFont="1" applyFill="1" applyBorder="1" applyAlignment="1">
      <alignment horizontal="right"/>
    </xf>
    <xf numFmtId="166" fontId="1" fillId="4" borderId="3" xfId="0" applyNumberFormat="1" applyFont="1" applyFill="1" applyBorder="1"/>
    <xf numFmtId="0" fontId="7" fillId="4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165" fontId="7" fillId="4" borderId="3" xfId="0" applyNumberFormat="1" applyFont="1" applyFill="1" applyBorder="1" applyAlignment="1">
      <alignment horizontal="right"/>
    </xf>
    <xf numFmtId="15" fontId="7" fillId="3" borderId="3" xfId="0" applyNumberFormat="1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167" fontId="7" fillId="3" borderId="3" xfId="0" applyNumberFormat="1" applyFont="1" applyFill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67" fontId="7" fillId="4" borderId="3" xfId="0" applyNumberFormat="1" applyFont="1" applyFill="1" applyBorder="1" applyAlignment="1">
      <alignment horizontal="right" vertical="center"/>
    </xf>
    <xf numFmtId="0" fontId="1" fillId="0" borderId="14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9" xfId="0" applyFont="1" applyBorder="1"/>
    <xf numFmtId="0" fontId="7" fillId="4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8" fillId="0" borderId="21" xfId="0" applyFont="1" applyBorder="1"/>
    <xf numFmtId="0" fontId="1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left" vertical="center" wrapText="1"/>
    </xf>
    <xf numFmtId="0" fontId="8" fillId="0" borderId="10" xfId="0" applyFont="1" applyBorder="1"/>
    <xf numFmtId="0" fontId="7" fillId="4" borderId="1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594"/>
    <pageSetUpPr fitToPage="1"/>
  </sheetPr>
  <dimension ref="A1:Z945"/>
  <sheetViews>
    <sheetView showGridLines="0" tabSelected="1" workbookViewId="0">
      <selection activeCell="B2" sqref="B2"/>
    </sheetView>
  </sheetViews>
  <sheetFormatPr defaultColWidth="14.453125" defaultRowHeight="15.75" customHeight="1" x14ac:dyDescent="0.25"/>
  <cols>
    <col min="1" max="1" width="5.54296875" customWidth="1"/>
    <col min="2" max="2" width="35.453125" customWidth="1"/>
    <col min="3" max="3" width="23.7265625" customWidth="1"/>
    <col min="4" max="4" width="15.453125" customWidth="1"/>
    <col min="5" max="5" width="14" customWidth="1"/>
    <col min="6" max="6" width="12.453125" customWidth="1"/>
    <col min="7" max="7" width="11" customWidth="1"/>
    <col min="8" max="8" width="13.453125" customWidth="1"/>
    <col min="9" max="9" width="9.54296875" customWidth="1"/>
    <col min="10" max="10" width="15.26953125" customWidth="1"/>
    <col min="11" max="11" width="66.26953125" customWidth="1"/>
    <col min="12" max="12" width="1.453125" customWidth="1"/>
    <col min="13" max="13" width="3.54296875" customWidth="1"/>
    <col min="14" max="14" width="1.54296875" customWidth="1"/>
    <col min="15" max="15" width="14" customWidth="1"/>
    <col min="16" max="16" width="2.453125" customWidth="1"/>
    <col min="17" max="26" width="9.4531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3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4" t="s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4">
      <c r="A4" s="1"/>
      <c r="B4" s="5"/>
      <c r="C4" s="6"/>
      <c r="D4" s="6"/>
      <c r="E4" s="6"/>
      <c r="F4" s="1"/>
      <c r="G4" s="1"/>
      <c r="H4" s="1"/>
      <c r="I4" s="1"/>
      <c r="J4" s="2"/>
      <c r="K4" s="85" t="s">
        <v>66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7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x14ac:dyDescent="0.4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4">
      <c r="A9" s="70" t="s">
        <v>4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6"/>
      <c r="M9" s="6"/>
      <c r="N9" s="6"/>
      <c r="O9" s="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x14ac:dyDescent="0.4">
      <c r="A10" s="70" t="s">
        <v>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0"/>
      <c r="M10" s="71"/>
      <c r="N10" s="71"/>
      <c r="O10" s="7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0"/>
      <c r="M11" s="10"/>
      <c r="N11" s="10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4">
      <c r="A12" s="72" t="s">
        <v>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10"/>
      <c r="M12" s="10"/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1" t="s">
        <v>7</v>
      </c>
      <c r="E13" s="12">
        <v>2016</v>
      </c>
      <c r="F13" s="13" t="s">
        <v>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4" t="s">
        <v>9</v>
      </c>
      <c r="B15" s="15" t="s">
        <v>10</v>
      </c>
      <c r="C15" s="15" t="s">
        <v>11</v>
      </c>
      <c r="D15" s="16" t="s">
        <v>12</v>
      </c>
      <c r="E15" s="16" t="s">
        <v>13</v>
      </c>
      <c r="F15" s="15" t="s">
        <v>14</v>
      </c>
      <c r="G15" s="16" t="s">
        <v>15</v>
      </c>
      <c r="H15" s="16" t="s">
        <v>16</v>
      </c>
      <c r="I15" s="16" t="s">
        <v>17</v>
      </c>
      <c r="J15" s="16" t="s">
        <v>18</v>
      </c>
      <c r="K15" s="17" t="s">
        <v>19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8">
        <v>1</v>
      </c>
      <c r="B16" s="19" t="s">
        <v>20</v>
      </c>
      <c r="C16" s="19" t="s">
        <v>21</v>
      </c>
      <c r="D16" s="20" t="s">
        <v>22</v>
      </c>
      <c r="E16" s="20" t="s">
        <v>23</v>
      </c>
      <c r="F16" s="21">
        <v>39071</v>
      </c>
      <c r="G16" s="19" t="s">
        <v>24</v>
      </c>
      <c r="H16" s="22">
        <v>50000000</v>
      </c>
      <c r="I16" s="23">
        <v>4.9680000000000002E-2</v>
      </c>
      <c r="J16" s="24">
        <f t="shared" ref="J16:J22" si="0">H16*I16</f>
        <v>2484000</v>
      </c>
      <c r="K16" s="25" t="s">
        <v>25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8">
        <v>2</v>
      </c>
      <c r="B17" s="26" t="s">
        <v>20</v>
      </c>
      <c r="C17" s="26" t="s">
        <v>21</v>
      </c>
      <c r="D17" s="27" t="s">
        <v>22</v>
      </c>
      <c r="E17" s="27" t="s">
        <v>23</v>
      </c>
      <c r="F17" s="28">
        <v>41408</v>
      </c>
      <c r="G17" s="26" t="s">
        <v>24</v>
      </c>
      <c r="H17" s="29">
        <f>107185000</f>
        <v>107185000</v>
      </c>
      <c r="I17" s="30">
        <v>4.1439999999999998E-2</v>
      </c>
      <c r="J17" s="31">
        <f t="shared" si="0"/>
        <v>4441746.3999999994</v>
      </c>
      <c r="K17" s="32" t="s">
        <v>26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8">
        <v>3</v>
      </c>
      <c r="B18" s="19" t="s">
        <v>20</v>
      </c>
      <c r="C18" s="19" t="s">
        <v>21</v>
      </c>
      <c r="D18" s="20" t="s">
        <v>22</v>
      </c>
      <c r="E18" s="20" t="s">
        <v>23</v>
      </c>
      <c r="F18" s="21">
        <v>42044</v>
      </c>
      <c r="G18" s="19" t="s">
        <v>27</v>
      </c>
      <c r="H18" s="22">
        <v>138667000</v>
      </c>
      <c r="I18" s="23">
        <v>2.724E-2</v>
      </c>
      <c r="J18" s="24">
        <f t="shared" si="0"/>
        <v>3777289.08</v>
      </c>
      <c r="K18" s="73" t="s">
        <v>28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8">
        <v>4</v>
      </c>
      <c r="B19" s="19" t="s">
        <v>20</v>
      </c>
      <c r="C19" s="19" t="s">
        <v>21</v>
      </c>
      <c r="D19" s="20" t="s">
        <v>22</v>
      </c>
      <c r="E19" s="20" t="s">
        <v>23</v>
      </c>
      <c r="F19" s="21">
        <v>42044</v>
      </c>
      <c r="G19" s="19" t="s">
        <v>24</v>
      </c>
      <c r="H19" s="22">
        <v>121333000</v>
      </c>
      <c r="I19" s="23">
        <v>3.7690000000000001E-2</v>
      </c>
      <c r="J19" s="24">
        <f t="shared" si="0"/>
        <v>4573040.7700000005</v>
      </c>
      <c r="K19" s="7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8">
        <v>5</v>
      </c>
      <c r="B20" s="26" t="s">
        <v>20</v>
      </c>
      <c r="C20" s="26" t="s">
        <v>21</v>
      </c>
      <c r="D20" s="27" t="s">
        <v>22</v>
      </c>
      <c r="E20" s="27" t="s">
        <v>23</v>
      </c>
      <c r="F20" s="33">
        <v>42180</v>
      </c>
      <c r="G20" s="26" t="s">
        <v>27</v>
      </c>
      <c r="H20" s="34">
        <v>15999000</v>
      </c>
      <c r="I20" s="30">
        <v>2.724E-2</v>
      </c>
      <c r="J20" s="31">
        <f t="shared" si="0"/>
        <v>435812.76</v>
      </c>
      <c r="K20" s="75" t="s">
        <v>29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8">
        <v>6</v>
      </c>
      <c r="B21" s="26" t="s">
        <v>20</v>
      </c>
      <c r="C21" s="26" t="s">
        <v>21</v>
      </c>
      <c r="D21" s="27" t="s">
        <v>22</v>
      </c>
      <c r="E21" s="27" t="s">
        <v>23</v>
      </c>
      <c r="F21" s="33">
        <v>42180</v>
      </c>
      <c r="G21" s="26" t="s">
        <v>24</v>
      </c>
      <c r="H21" s="34">
        <v>14001000</v>
      </c>
      <c r="I21" s="30">
        <v>3.7690000000000001E-2</v>
      </c>
      <c r="J21" s="31">
        <f t="shared" si="0"/>
        <v>527697.69000000006</v>
      </c>
      <c r="K21" s="7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8">
        <v>7</v>
      </c>
      <c r="B22" s="19" t="s">
        <v>30</v>
      </c>
      <c r="C22" s="19" t="s">
        <v>21</v>
      </c>
      <c r="D22" s="20" t="s">
        <v>22</v>
      </c>
      <c r="E22" s="20" t="s">
        <v>23</v>
      </c>
      <c r="F22" s="21">
        <v>42705</v>
      </c>
      <c r="G22" s="19" t="s">
        <v>31</v>
      </c>
      <c r="H22" s="22">
        <f>60000000*(31/366)</f>
        <v>5081967.2131147543</v>
      </c>
      <c r="I22" s="23">
        <v>3.7199999999999997E-2</v>
      </c>
      <c r="J22" s="24">
        <f t="shared" si="0"/>
        <v>189049.18032786885</v>
      </c>
      <c r="K22" s="35" t="s">
        <v>32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6"/>
      <c r="B23" s="37"/>
      <c r="C23" s="38"/>
      <c r="D23" s="38"/>
      <c r="E23" s="38"/>
      <c r="F23" s="37"/>
      <c r="G23" s="38"/>
      <c r="H23" s="38"/>
      <c r="I23" s="38"/>
      <c r="J23" s="37"/>
      <c r="K23" s="3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0" t="s">
        <v>33</v>
      </c>
      <c r="B24" s="41"/>
      <c r="C24" s="42"/>
      <c r="D24" s="42"/>
      <c r="E24" s="42"/>
      <c r="F24" s="41"/>
      <c r="G24" s="42"/>
      <c r="H24" s="43">
        <f>SUM(H16:H22)</f>
        <v>452266967.21311474</v>
      </c>
      <c r="I24" s="44">
        <f>IF(H24=0,"",J24/H24)</f>
        <v>3.6325084676339971E-2</v>
      </c>
      <c r="J24" s="45">
        <f>SUM(J16:J22)</f>
        <v>16428635.880327867</v>
      </c>
      <c r="K24" s="4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1"/>
      <c r="E25" s="11"/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2" t="s">
        <v>34</v>
      </c>
      <c r="B26" s="1"/>
      <c r="C26" s="1"/>
      <c r="D26" s="1"/>
      <c r="E26" s="1"/>
      <c r="F26" s="1"/>
      <c r="G26" s="1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7">
        <v>1</v>
      </c>
      <c r="B28" s="76" t="s">
        <v>35</v>
      </c>
      <c r="C28" s="71"/>
      <c r="D28" s="71"/>
      <c r="E28" s="71"/>
      <c r="F28" s="71"/>
      <c r="G28" s="71"/>
      <c r="H28" s="71"/>
      <c r="I28" s="71"/>
      <c r="J28" s="71"/>
      <c r="K28" s="7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5" x14ac:dyDescent="0.25">
      <c r="A29" s="47">
        <v>2</v>
      </c>
      <c r="B29" s="77" t="s">
        <v>36</v>
      </c>
      <c r="C29" s="71"/>
      <c r="D29" s="71"/>
      <c r="E29" s="71"/>
      <c r="F29" s="71"/>
      <c r="G29" s="71"/>
      <c r="H29" s="71"/>
      <c r="I29" s="71"/>
      <c r="J29" s="71"/>
      <c r="K29" s="7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9">
        <v>3</v>
      </c>
      <c r="B30" s="76" t="s">
        <v>37</v>
      </c>
      <c r="C30" s="71"/>
      <c r="D30" s="71"/>
      <c r="E30" s="71"/>
      <c r="F30" s="71"/>
      <c r="G30" s="71"/>
      <c r="H30" s="71"/>
      <c r="I30" s="71"/>
      <c r="J30" s="71"/>
      <c r="K30" s="7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1"/>
      <c r="E31" s="11"/>
      <c r="F31" s="1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1" t="s">
        <v>7</v>
      </c>
      <c r="E32" s="12">
        <v>2017</v>
      </c>
      <c r="F32" s="13" t="s">
        <v>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4" t="s">
        <v>9</v>
      </c>
      <c r="B34" s="15" t="s">
        <v>10</v>
      </c>
      <c r="C34" s="15" t="s">
        <v>11</v>
      </c>
      <c r="D34" s="16" t="s">
        <v>12</v>
      </c>
      <c r="E34" s="16" t="s">
        <v>13</v>
      </c>
      <c r="F34" s="15" t="s">
        <v>14</v>
      </c>
      <c r="G34" s="16" t="s">
        <v>15</v>
      </c>
      <c r="H34" s="16" t="s">
        <v>16</v>
      </c>
      <c r="I34" s="16" t="s">
        <v>38</v>
      </c>
      <c r="J34" s="16" t="s">
        <v>39</v>
      </c>
      <c r="K34" s="17" t="s">
        <v>19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8">
        <v>1</v>
      </c>
      <c r="B35" s="19" t="s">
        <v>20</v>
      </c>
      <c r="C35" s="19" t="s">
        <v>21</v>
      </c>
      <c r="D35" s="20" t="s">
        <v>22</v>
      </c>
      <c r="E35" s="20" t="s">
        <v>23</v>
      </c>
      <c r="F35" s="21">
        <v>39071</v>
      </c>
      <c r="G35" s="19" t="s">
        <v>24</v>
      </c>
      <c r="H35" s="22">
        <v>50000000</v>
      </c>
      <c r="I35" s="23">
        <v>4.9680000000000002E-2</v>
      </c>
      <c r="J35" s="24">
        <f t="shared" ref="J35:J42" si="1">H35*I35</f>
        <v>2484000</v>
      </c>
      <c r="K35" s="25" t="s">
        <v>25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8">
        <v>2</v>
      </c>
      <c r="B36" s="26" t="s">
        <v>20</v>
      </c>
      <c r="C36" s="26" t="s">
        <v>21</v>
      </c>
      <c r="D36" s="27" t="s">
        <v>22</v>
      </c>
      <c r="E36" s="27" t="s">
        <v>23</v>
      </c>
      <c r="F36" s="28">
        <v>41408</v>
      </c>
      <c r="G36" s="26" t="s">
        <v>24</v>
      </c>
      <c r="H36" s="29">
        <f>107185000</f>
        <v>107185000</v>
      </c>
      <c r="I36" s="30">
        <v>4.1439999999999998E-2</v>
      </c>
      <c r="J36" s="31">
        <f t="shared" si="1"/>
        <v>4441746.3999999994</v>
      </c>
      <c r="K36" s="32" t="s">
        <v>40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8">
        <v>3</v>
      </c>
      <c r="B37" s="19" t="s">
        <v>20</v>
      </c>
      <c r="C37" s="19" t="s">
        <v>21</v>
      </c>
      <c r="D37" s="20" t="s">
        <v>22</v>
      </c>
      <c r="E37" s="20" t="s">
        <v>23</v>
      </c>
      <c r="F37" s="21">
        <v>42044</v>
      </c>
      <c r="G37" s="19" t="s">
        <v>27</v>
      </c>
      <c r="H37" s="22">
        <v>138667000</v>
      </c>
      <c r="I37" s="23">
        <v>2.724E-2</v>
      </c>
      <c r="J37" s="24">
        <f t="shared" si="1"/>
        <v>3777289.08</v>
      </c>
      <c r="K37" s="73" t="s">
        <v>28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8">
        <v>4</v>
      </c>
      <c r="B38" s="19" t="s">
        <v>20</v>
      </c>
      <c r="C38" s="19" t="s">
        <v>21</v>
      </c>
      <c r="D38" s="20" t="s">
        <v>22</v>
      </c>
      <c r="E38" s="20" t="s">
        <v>23</v>
      </c>
      <c r="F38" s="21">
        <v>42044</v>
      </c>
      <c r="G38" s="19" t="s">
        <v>24</v>
      </c>
      <c r="H38" s="22">
        <v>121333000</v>
      </c>
      <c r="I38" s="23">
        <v>3.7690000000000001E-2</v>
      </c>
      <c r="J38" s="24">
        <f t="shared" si="1"/>
        <v>4573040.7700000005</v>
      </c>
      <c r="K38" s="7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8">
        <v>5</v>
      </c>
      <c r="B39" s="26" t="s">
        <v>20</v>
      </c>
      <c r="C39" s="26" t="s">
        <v>21</v>
      </c>
      <c r="D39" s="27" t="s">
        <v>22</v>
      </c>
      <c r="E39" s="27" t="s">
        <v>23</v>
      </c>
      <c r="F39" s="33">
        <v>42180</v>
      </c>
      <c r="G39" s="26" t="s">
        <v>27</v>
      </c>
      <c r="H39" s="34">
        <v>15999000</v>
      </c>
      <c r="I39" s="30">
        <v>2.724E-2</v>
      </c>
      <c r="J39" s="31">
        <f t="shared" si="1"/>
        <v>435812.76</v>
      </c>
      <c r="K39" s="75" t="s">
        <v>29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8">
        <v>6</v>
      </c>
      <c r="B40" s="26" t="s">
        <v>20</v>
      </c>
      <c r="C40" s="26" t="s">
        <v>21</v>
      </c>
      <c r="D40" s="27" t="s">
        <v>22</v>
      </c>
      <c r="E40" s="27" t="s">
        <v>23</v>
      </c>
      <c r="F40" s="33">
        <v>42180</v>
      </c>
      <c r="G40" s="26" t="s">
        <v>24</v>
      </c>
      <c r="H40" s="34">
        <v>14001000</v>
      </c>
      <c r="I40" s="30">
        <v>3.7690000000000001E-2</v>
      </c>
      <c r="J40" s="31">
        <f t="shared" si="1"/>
        <v>527697.69000000006</v>
      </c>
      <c r="K40" s="7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8">
        <v>7</v>
      </c>
      <c r="B41" s="19" t="s">
        <v>30</v>
      </c>
      <c r="C41" s="19" t="s">
        <v>21</v>
      </c>
      <c r="D41" s="20" t="s">
        <v>22</v>
      </c>
      <c r="E41" s="20" t="s">
        <v>23</v>
      </c>
      <c r="F41" s="21">
        <v>42705</v>
      </c>
      <c r="G41" s="19" t="s">
        <v>31</v>
      </c>
      <c r="H41" s="22">
        <v>60000000</v>
      </c>
      <c r="I41" s="23">
        <v>3.7199999999999997E-2</v>
      </c>
      <c r="J41" s="24">
        <f t="shared" si="1"/>
        <v>2232000</v>
      </c>
      <c r="K41" s="35" t="s">
        <v>41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8">
        <v>8</v>
      </c>
      <c r="B42" s="26" t="s">
        <v>30</v>
      </c>
      <c r="C42" s="26" t="s">
        <v>21</v>
      </c>
      <c r="D42" s="27" t="s">
        <v>22</v>
      </c>
      <c r="E42" s="27" t="s">
        <v>23</v>
      </c>
      <c r="F42" s="28">
        <v>43040</v>
      </c>
      <c r="G42" s="26" t="s">
        <v>31</v>
      </c>
      <c r="H42" s="29">
        <f>60000000*(61/365)</f>
        <v>10027397.260273973</v>
      </c>
      <c r="I42" s="30">
        <v>4.1200000000000001E-2</v>
      </c>
      <c r="J42" s="31">
        <f t="shared" si="1"/>
        <v>413128.76712328766</v>
      </c>
      <c r="K42" s="50" t="s">
        <v>42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6"/>
      <c r="B43" s="37"/>
      <c r="C43" s="38"/>
      <c r="D43" s="38"/>
      <c r="E43" s="38"/>
      <c r="F43" s="37"/>
      <c r="G43" s="38"/>
      <c r="H43" s="38"/>
      <c r="I43" s="38"/>
      <c r="J43" s="37"/>
      <c r="K43" s="3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40" t="s">
        <v>33</v>
      </c>
      <c r="B44" s="41"/>
      <c r="C44" s="42"/>
      <c r="D44" s="42"/>
      <c r="E44" s="42"/>
      <c r="F44" s="41"/>
      <c r="G44" s="42"/>
      <c r="H44" s="43">
        <f>SUM(H35:H42)</f>
        <v>517212397.26027399</v>
      </c>
      <c r="I44" s="44">
        <f>IF(H44=0,"",J44/H44)</f>
        <v>3.6512495769934213E-2</v>
      </c>
      <c r="J44" s="45">
        <f>SUM(J35:J42)</f>
        <v>18884715.467123289</v>
      </c>
      <c r="K44" s="4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1"/>
      <c r="E45" s="11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1"/>
      <c r="E46" s="11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1" t="s">
        <v>7</v>
      </c>
      <c r="E47" s="12">
        <v>2018</v>
      </c>
      <c r="F47" s="13" t="s">
        <v>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4" t="s">
        <v>9</v>
      </c>
      <c r="B49" s="15" t="s">
        <v>10</v>
      </c>
      <c r="C49" s="15" t="s">
        <v>11</v>
      </c>
      <c r="D49" s="16" t="s">
        <v>12</v>
      </c>
      <c r="E49" s="16" t="s">
        <v>13</v>
      </c>
      <c r="F49" s="15" t="s">
        <v>14</v>
      </c>
      <c r="G49" s="16" t="s">
        <v>15</v>
      </c>
      <c r="H49" s="16" t="s">
        <v>16</v>
      </c>
      <c r="I49" s="16" t="s">
        <v>43</v>
      </c>
      <c r="J49" s="16" t="s">
        <v>44</v>
      </c>
      <c r="K49" s="17" t="s">
        <v>19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8">
        <v>1</v>
      </c>
      <c r="B50" s="19" t="s">
        <v>20</v>
      </c>
      <c r="C50" s="19" t="s">
        <v>21</v>
      </c>
      <c r="D50" s="20" t="s">
        <v>22</v>
      </c>
      <c r="E50" s="20" t="s">
        <v>23</v>
      </c>
      <c r="F50" s="21">
        <v>39071</v>
      </c>
      <c r="G50" s="19" t="s">
        <v>24</v>
      </c>
      <c r="H50" s="22">
        <v>50000000</v>
      </c>
      <c r="I50" s="23">
        <v>4.9680000000000002E-2</v>
      </c>
      <c r="J50" s="24">
        <f t="shared" ref="J50:J59" si="2">H50*I50</f>
        <v>2484000</v>
      </c>
      <c r="K50" s="51" t="s">
        <v>25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8">
        <v>2</v>
      </c>
      <c r="B51" s="26" t="s">
        <v>20</v>
      </c>
      <c r="C51" s="26" t="s">
        <v>21</v>
      </c>
      <c r="D51" s="27" t="s">
        <v>22</v>
      </c>
      <c r="E51" s="27" t="s">
        <v>23</v>
      </c>
      <c r="F51" s="28">
        <v>41408</v>
      </c>
      <c r="G51" s="26" t="s">
        <v>24</v>
      </c>
      <c r="H51" s="29">
        <f>107185000*(133/365)</f>
        <v>39056452.05479452</v>
      </c>
      <c r="I51" s="30">
        <v>4.1439999999999998E-2</v>
      </c>
      <c r="J51" s="31">
        <f t="shared" si="2"/>
        <v>1618499.3731506849</v>
      </c>
      <c r="K51" s="78" t="s">
        <v>45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8">
        <v>3</v>
      </c>
      <c r="B52" s="26" t="s">
        <v>20</v>
      </c>
      <c r="C52" s="26" t="s">
        <v>21</v>
      </c>
      <c r="D52" s="27" t="s">
        <v>22</v>
      </c>
      <c r="E52" s="27" t="s">
        <v>23</v>
      </c>
      <c r="F52" s="28">
        <v>41408</v>
      </c>
      <c r="G52" s="26" t="s">
        <v>24</v>
      </c>
      <c r="H52" s="29">
        <f>107185000*(232/365)</f>
        <v>68128547.94520548</v>
      </c>
      <c r="I52" s="30">
        <v>3.9910000000000001E-2</v>
      </c>
      <c r="J52" s="31">
        <f t="shared" si="2"/>
        <v>2719010.3484931509</v>
      </c>
      <c r="K52" s="7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8">
        <v>4</v>
      </c>
      <c r="B53" s="19" t="s">
        <v>20</v>
      </c>
      <c r="C53" s="19" t="s">
        <v>21</v>
      </c>
      <c r="D53" s="20" t="s">
        <v>22</v>
      </c>
      <c r="E53" s="20" t="s">
        <v>23</v>
      </c>
      <c r="F53" s="21">
        <v>42044</v>
      </c>
      <c r="G53" s="19" t="s">
        <v>27</v>
      </c>
      <c r="H53" s="22">
        <v>138667000</v>
      </c>
      <c r="I53" s="23">
        <v>2.724E-2</v>
      </c>
      <c r="J53" s="24">
        <f t="shared" si="2"/>
        <v>3777289.08</v>
      </c>
      <c r="K53" s="73" t="s">
        <v>28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8">
        <v>5</v>
      </c>
      <c r="B54" s="19" t="s">
        <v>20</v>
      </c>
      <c r="C54" s="19" t="s">
        <v>21</v>
      </c>
      <c r="D54" s="20" t="s">
        <v>22</v>
      </c>
      <c r="E54" s="20" t="s">
        <v>23</v>
      </c>
      <c r="F54" s="21">
        <v>42044</v>
      </c>
      <c r="G54" s="19" t="s">
        <v>24</v>
      </c>
      <c r="H54" s="22">
        <v>121333000</v>
      </c>
      <c r="I54" s="23">
        <v>3.7690000000000001E-2</v>
      </c>
      <c r="J54" s="24">
        <f t="shared" si="2"/>
        <v>4573040.7700000005</v>
      </c>
      <c r="K54" s="74"/>
      <c r="L54" s="1"/>
      <c r="M54" s="1"/>
      <c r="N54" s="1"/>
      <c r="O54" s="1"/>
      <c r="P54" s="1"/>
      <c r="Q54" s="2"/>
      <c r="R54" s="2"/>
      <c r="S54" s="2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8">
        <v>6</v>
      </c>
      <c r="B55" s="26" t="s">
        <v>20</v>
      </c>
      <c r="C55" s="26" t="s">
        <v>21</v>
      </c>
      <c r="D55" s="27" t="s">
        <v>22</v>
      </c>
      <c r="E55" s="27" t="s">
        <v>23</v>
      </c>
      <c r="F55" s="33">
        <v>42180</v>
      </c>
      <c r="G55" s="26" t="s">
        <v>27</v>
      </c>
      <c r="H55" s="34">
        <v>15999000</v>
      </c>
      <c r="I55" s="30">
        <v>2.724E-2</v>
      </c>
      <c r="J55" s="31">
        <f t="shared" si="2"/>
        <v>435812.76</v>
      </c>
      <c r="K55" s="75" t="s">
        <v>46</v>
      </c>
      <c r="L55" s="1"/>
      <c r="M55" s="1"/>
      <c r="N55" s="1"/>
      <c r="O55" s="1"/>
      <c r="P55" s="1"/>
      <c r="Q55" s="2"/>
      <c r="R55" s="2"/>
      <c r="S55" s="2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8">
        <v>7</v>
      </c>
      <c r="B56" s="26" t="s">
        <v>20</v>
      </c>
      <c r="C56" s="26" t="s">
        <v>21</v>
      </c>
      <c r="D56" s="27" t="s">
        <v>22</v>
      </c>
      <c r="E56" s="27" t="s">
        <v>23</v>
      </c>
      <c r="F56" s="33">
        <v>42180</v>
      </c>
      <c r="G56" s="26" t="s">
        <v>24</v>
      </c>
      <c r="H56" s="34">
        <v>14001000</v>
      </c>
      <c r="I56" s="30">
        <v>3.7690000000000001E-2</v>
      </c>
      <c r="J56" s="31">
        <f t="shared" si="2"/>
        <v>527697.69000000006</v>
      </c>
      <c r="K56" s="74"/>
      <c r="L56" s="1"/>
      <c r="M56" s="1"/>
      <c r="N56" s="1"/>
      <c r="O56" s="1"/>
      <c r="P56" s="1"/>
      <c r="Q56" s="2"/>
      <c r="R56" s="2"/>
      <c r="S56" s="2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8">
        <v>8</v>
      </c>
      <c r="B57" s="19" t="s">
        <v>30</v>
      </c>
      <c r="C57" s="19" t="s">
        <v>21</v>
      </c>
      <c r="D57" s="20" t="s">
        <v>22</v>
      </c>
      <c r="E57" s="20" t="s">
        <v>23</v>
      </c>
      <c r="F57" s="21">
        <v>42705</v>
      </c>
      <c r="G57" s="19" t="s">
        <v>31</v>
      </c>
      <c r="H57" s="22">
        <v>60000000</v>
      </c>
      <c r="I57" s="23">
        <v>3.7199999999999997E-2</v>
      </c>
      <c r="J57" s="24">
        <f t="shared" si="2"/>
        <v>2232000</v>
      </c>
      <c r="K57" s="52" t="s">
        <v>41</v>
      </c>
      <c r="L57" s="1"/>
      <c r="M57" s="1"/>
      <c r="N57" s="1"/>
      <c r="O57" s="1"/>
      <c r="P57" s="1"/>
      <c r="Q57" s="48"/>
      <c r="R57" s="48"/>
      <c r="S57" s="48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8">
        <v>9</v>
      </c>
      <c r="B58" s="26" t="s">
        <v>30</v>
      </c>
      <c r="C58" s="26" t="s">
        <v>21</v>
      </c>
      <c r="D58" s="27" t="s">
        <v>22</v>
      </c>
      <c r="E58" s="27" t="s">
        <v>23</v>
      </c>
      <c r="F58" s="28">
        <v>43040</v>
      </c>
      <c r="G58" s="26" t="s">
        <v>31</v>
      </c>
      <c r="H58" s="29">
        <v>60000000</v>
      </c>
      <c r="I58" s="30">
        <v>4.1200000000000001E-2</v>
      </c>
      <c r="J58" s="31">
        <f t="shared" si="2"/>
        <v>2472000</v>
      </c>
      <c r="K58" s="53" t="s">
        <v>41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8">
        <v>10</v>
      </c>
      <c r="B59" s="19" t="s">
        <v>30</v>
      </c>
      <c r="C59" s="19" t="s">
        <v>21</v>
      </c>
      <c r="D59" s="20" t="s">
        <v>22</v>
      </c>
      <c r="E59" s="20" t="s">
        <v>23</v>
      </c>
      <c r="F59" s="21">
        <v>43439</v>
      </c>
      <c r="G59" s="19" t="s">
        <v>31</v>
      </c>
      <c r="H59" s="22">
        <f>30000000*(27/365)</f>
        <v>2219178.0821917807</v>
      </c>
      <c r="I59" s="23">
        <v>4.41E-2</v>
      </c>
      <c r="J59" s="24">
        <f t="shared" si="2"/>
        <v>97865.753424657523</v>
      </c>
      <c r="K59" s="54" t="s">
        <v>47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6"/>
      <c r="B60" s="37"/>
      <c r="C60" s="38"/>
      <c r="D60" s="38"/>
      <c r="E60" s="38"/>
      <c r="F60" s="37"/>
      <c r="G60" s="38"/>
      <c r="H60" s="38"/>
      <c r="I60" s="38"/>
      <c r="J60" s="37"/>
      <c r="K60" s="3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40" t="s">
        <v>33</v>
      </c>
      <c r="B61" s="41"/>
      <c r="C61" s="42"/>
      <c r="D61" s="42"/>
      <c r="E61" s="42"/>
      <c r="F61" s="41"/>
      <c r="G61" s="42"/>
      <c r="H61" s="43">
        <f>SUM(H50:H59)</f>
        <v>569404178.08219182</v>
      </c>
      <c r="I61" s="44">
        <f>IF(H61=0,"",J61/H61)</f>
        <v>3.6770393651811721E-2</v>
      </c>
      <c r="J61" s="45">
        <f>SUM(J50:J59)</f>
        <v>20937215.775068495</v>
      </c>
      <c r="K61" s="4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1" t="s">
        <v>7</v>
      </c>
      <c r="E64" s="12">
        <v>2019</v>
      </c>
      <c r="F64" s="13" t="s">
        <v>48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4" t="s">
        <v>9</v>
      </c>
      <c r="B66" s="15" t="s">
        <v>10</v>
      </c>
      <c r="C66" s="15" t="s">
        <v>11</v>
      </c>
      <c r="D66" s="16" t="s">
        <v>12</v>
      </c>
      <c r="E66" s="16" t="s">
        <v>13</v>
      </c>
      <c r="F66" s="15" t="s">
        <v>14</v>
      </c>
      <c r="G66" s="16" t="s">
        <v>15</v>
      </c>
      <c r="H66" s="16" t="s">
        <v>16</v>
      </c>
      <c r="I66" s="16" t="s">
        <v>49</v>
      </c>
      <c r="J66" s="16" t="s">
        <v>50</v>
      </c>
      <c r="K66" s="17" t="s">
        <v>19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8">
        <v>1</v>
      </c>
      <c r="B67" s="19" t="s">
        <v>20</v>
      </c>
      <c r="C67" s="19" t="s">
        <v>21</v>
      </c>
      <c r="D67" s="20" t="s">
        <v>22</v>
      </c>
      <c r="E67" s="20" t="s">
        <v>23</v>
      </c>
      <c r="F67" s="21">
        <v>39071</v>
      </c>
      <c r="G67" s="19" t="s">
        <v>24</v>
      </c>
      <c r="H67" s="55">
        <v>50000000</v>
      </c>
      <c r="I67" s="23">
        <f>I50</f>
        <v>4.9680000000000002E-2</v>
      </c>
      <c r="J67" s="24">
        <f t="shared" ref="J67:J78" si="3">H67*I67</f>
        <v>2484000</v>
      </c>
      <c r="K67" s="25" t="s">
        <v>25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8">
        <v>2</v>
      </c>
      <c r="B68" s="26" t="s">
        <v>20</v>
      </c>
      <c r="C68" s="26" t="s">
        <v>21</v>
      </c>
      <c r="D68" s="27" t="s">
        <v>22</v>
      </c>
      <c r="E68" s="27" t="s">
        <v>23</v>
      </c>
      <c r="F68" s="28">
        <v>41408</v>
      </c>
      <c r="G68" s="26" t="s">
        <v>24</v>
      </c>
      <c r="H68" s="56">
        <v>107185000</v>
      </c>
      <c r="I68" s="30">
        <f t="shared" ref="I68:I72" si="4">I52</f>
        <v>3.9910000000000001E-2</v>
      </c>
      <c r="J68" s="31">
        <f t="shared" si="3"/>
        <v>4277753.3500000006</v>
      </c>
      <c r="K68" s="32" t="s">
        <v>51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8">
        <v>3</v>
      </c>
      <c r="B69" s="19" t="s">
        <v>20</v>
      </c>
      <c r="C69" s="19" t="s">
        <v>21</v>
      </c>
      <c r="D69" s="20" t="s">
        <v>22</v>
      </c>
      <c r="E69" s="20" t="s">
        <v>23</v>
      </c>
      <c r="F69" s="21">
        <v>42044</v>
      </c>
      <c r="G69" s="19" t="s">
        <v>27</v>
      </c>
      <c r="H69" s="55">
        <v>138667000</v>
      </c>
      <c r="I69" s="23">
        <f t="shared" si="4"/>
        <v>2.724E-2</v>
      </c>
      <c r="J69" s="24">
        <f t="shared" si="3"/>
        <v>3777289.08</v>
      </c>
      <c r="K69" s="73" t="s">
        <v>28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8">
        <v>4</v>
      </c>
      <c r="B70" s="19" t="s">
        <v>20</v>
      </c>
      <c r="C70" s="19" t="s">
        <v>21</v>
      </c>
      <c r="D70" s="20" t="s">
        <v>22</v>
      </c>
      <c r="E70" s="20" t="s">
        <v>23</v>
      </c>
      <c r="F70" s="21">
        <v>42044</v>
      </c>
      <c r="G70" s="19" t="s">
        <v>24</v>
      </c>
      <c r="H70" s="55">
        <v>121333000</v>
      </c>
      <c r="I70" s="23">
        <f t="shared" si="4"/>
        <v>3.7690000000000001E-2</v>
      </c>
      <c r="J70" s="24">
        <f t="shared" si="3"/>
        <v>4573040.7700000005</v>
      </c>
      <c r="K70" s="7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8">
        <v>5</v>
      </c>
      <c r="B71" s="26" t="s">
        <v>20</v>
      </c>
      <c r="C71" s="26" t="s">
        <v>21</v>
      </c>
      <c r="D71" s="27" t="s">
        <v>22</v>
      </c>
      <c r="E71" s="27" t="s">
        <v>23</v>
      </c>
      <c r="F71" s="33">
        <v>42180</v>
      </c>
      <c r="G71" s="26" t="s">
        <v>27</v>
      </c>
      <c r="H71" s="57">
        <v>15999000</v>
      </c>
      <c r="I71" s="30">
        <f t="shared" si="4"/>
        <v>2.724E-2</v>
      </c>
      <c r="J71" s="31">
        <f t="shared" si="3"/>
        <v>435812.76</v>
      </c>
      <c r="K71" s="75" t="str">
        <f>K55</f>
        <v>$30.0M, in aggregate, Promissory Notes (rate changes on June 26, 2020)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8">
        <v>6</v>
      </c>
      <c r="B72" s="26" t="s">
        <v>20</v>
      </c>
      <c r="C72" s="26" t="s">
        <v>21</v>
      </c>
      <c r="D72" s="27" t="s">
        <v>22</v>
      </c>
      <c r="E72" s="27" t="s">
        <v>23</v>
      </c>
      <c r="F72" s="33">
        <v>42180</v>
      </c>
      <c r="G72" s="26" t="s">
        <v>24</v>
      </c>
      <c r="H72" s="57">
        <v>14001000</v>
      </c>
      <c r="I72" s="30">
        <f t="shared" si="4"/>
        <v>3.7690000000000001E-2</v>
      </c>
      <c r="J72" s="31">
        <f t="shared" si="3"/>
        <v>527697.69000000006</v>
      </c>
      <c r="K72" s="7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8">
        <v>7</v>
      </c>
      <c r="B73" s="19" t="s">
        <v>30</v>
      </c>
      <c r="C73" s="19" t="s">
        <v>21</v>
      </c>
      <c r="D73" s="20" t="s">
        <v>22</v>
      </c>
      <c r="E73" s="20" t="s">
        <v>23</v>
      </c>
      <c r="F73" s="21">
        <v>42705</v>
      </c>
      <c r="G73" s="19" t="s">
        <v>31</v>
      </c>
      <c r="H73" s="55">
        <f t="shared" ref="H73:H74" si="5">60000000*(288/365)</f>
        <v>47342465.753424659</v>
      </c>
      <c r="I73" s="23">
        <v>3.7199999999999997E-2</v>
      </c>
      <c r="J73" s="24">
        <f t="shared" si="3"/>
        <v>1761139.7260273972</v>
      </c>
      <c r="K73" s="35" t="s">
        <v>52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8">
        <v>8</v>
      </c>
      <c r="B74" s="58" t="s">
        <v>30</v>
      </c>
      <c r="C74" s="58" t="s">
        <v>21</v>
      </c>
      <c r="D74" s="27" t="s">
        <v>22</v>
      </c>
      <c r="E74" s="27" t="s">
        <v>23</v>
      </c>
      <c r="F74" s="33">
        <v>43040</v>
      </c>
      <c r="G74" s="58" t="s">
        <v>31</v>
      </c>
      <c r="H74" s="57">
        <f t="shared" si="5"/>
        <v>47342465.753424659</v>
      </c>
      <c r="I74" s="59">
        <v>4.1200000000000001E-2</v>
      </c>
      <c r="J74" s="60">
        <f t="shared" si="3"/>
        <v>1950509.5890410959</v>
      </c>
      <c r="K74" s="61" t="s">
        <v>52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8">
        <v>9</v>
      </c>
      <c r="B75" s="19" t="s">
        <v>30</v>
      </c>
      <c r="C75" s="19" t="s">
        <v>21</v>
      </c>
      <c r="D75" s="20" t="s">
        <v>22</v>
      </c>
      <c r="E75" s="20" t="s">
        <v>23</v>
      </c>
      <c r="F75" s="21">
        <v>43439</v>
      </c>
      <c r="G75" s="19" t="s">
        <v>31</v>
      </c>
      <c r="H75" s="55">
        <f>30000000*(288/365)</f>
        <v>23671232.87671233</v>
      </c>
      <c r="I75" s="23">
        <f>4.41%</f>
        <v>4.41E-2</v>
      </c>
      <c r="J75" s="24">
        <f t="shared" si="3"/>
        <v>1043901.3698630137</v>
      </c>
      <c r="K75" s="62" t="s">
        <v>53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8">
        <v>10</v>
      </c>
      <c r="B76" s="58" t="s">
        <v>30</v>
      </c>
      <c r="C76" s="58" t="s">
        <v>21</v>
      </c>
      <c r="D76" s="27" t="s">
        <v>22</v>
      </c>
      <c r="E76" s="27" t="s">
        <v>23</v>
      </c>
      <c r="F76" s="33">
        <v>43648</v>
      </c>
      <c r="G76" s="58" t="s">
        <v>31</v>
      </c>
      <c r="H76" s="63">
        <f>30000000*(106/365)</f>
        <v>8712328.7671232875</v>
      </c>
      <c r="I76" s="59">
        <f>3.55%</f>
        <v>3.5499999999999997E-2</v>
      </c>
      <c r="J76" s="60">
        <f t="shared" si="3"/>
        <v>309287.67123287666</v>
      </c>
      <c r="K76" s="61" t="s">
        <v>54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8">
        <v>11</v>
      </c>
      <c r="B77" s="19" t="s">
        <v>20</v>
      </c>
      <c r="C77" s="19" t="s">
        <v>21</v>
      </c>
      <c r="D77" s="20" t="s">
        <v>22</v>
      </c>
      <c r="E77" s="20" t="s">
        <v>23</v>
      </c>
      <c r="F77" s="64">
        <v>43754</v>
      </c>
      <c r="G77" s="19" t="s">
        <v>27</v>
      </c>
      <c r="H77" s="55">
        <f>250000000*0.35*(77/365)</f>
        <v>18458904.10958904</v>
      </c>
      <c r="I77" s="23">
        <v>2.6599999999999999E-2</v>
      </c>
      <c r="J77" s="24">
        <f t="shared" si="3"/>
        <v>491006.84931506845</v>
      </c>
      <c r="K77" s="73" t="s">
        <v>55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8">
        <v>12</v>
      </c>
      <c r="B78" s="19" t="s">
        <v>20</v>
      </c>
      <c r="C78" s="19" t="s">
        <v>21</v>
      </c>
      <c r="D78" s="20" t="s">
        <v>22</v>
      </c>
      <c r="E78" s="20" t="s">
        <v>23</v>
      </c>
      <c r="F78" s="64">
        <v>43754</v>
      </c>
      <c r="G78" s="19" t="s">
        <v>24</v>
      </c>
      <c r="H78" s="55">
        <f>250000000*0.65*(77/365)</f>
        <v>34280821.91780822</v>
      </c>
      <c r="I78" s="23">
        <v>3.2099999999999997E-2</v>
      </c>
      <c r="J78" s="24">
        <f t="shared" si="3"/>
        <v>1100414.3835616438</v>
      </c>
      <c r="K78" s="7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6"/>
      <c r="B79" s="37"/>
      <c r="C79" s="38"/>
      <c r="D79" s="38"/>
      <c r="E79" s="38"/>
      <c r="F79" s="37"/>
      <c r="G79" s="38"/>
      <c r="H79" s="38"/>
      <c r="I79" s="38"/>
      <c r="J79" s="37"/>
      <c r="K79" s="3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40" t="s">
        <v>33</v>
      </c>
      <c r="B80" s="41"/>
      <c r="C80" s="42"/>
      <c r="D80" s="42"/>
      <c r="E80" s="42"/>
      <c r="F80" s="41"/>
      <c r="G80" s="42"/>
      <c r="H80" s="43">
        <f>SUM(H67:H78)</f>
        <v>626993219.17808211</v>
      </c>
      <c r="I80" s="44">
        <f>IF(H80=0,"",J80/H80)</f>
        <v>3.6255341435494325E-2</v>
      </c>
      <c r="J80" s="45">
        <f>SUM(J67:J78)</f>
        <v>22731853.239041094</v>
      </c>
      <c r="K80" s="4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3"/>
      <c r="H82" s="1"/>
      <c r="I82" s="65"/>
      <c r="J82" s="1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1" t="s">
        <v>7</v>
      </c>
      <c r="E83" s="12">
        <v>2020</v>
      </c>
      <c r="F83" s="13" t="s">
        <v>48</v>
      </c>
      <c r="G83" s="1"/>
      <c r="H83" s="1"/>
      <c r="I83" s="65"/>
      <c r="J83" s="1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4" t="s">
        <v>9</v>
      </c>
      <c r="B85" s="15" t="s">
        <v>10</v>
      </c>
      <c r="C85" s="15" t="s">
        <v>11</v>
      </c>
      <c r="D85" s="16" t="s">
        <v>12</v>
      </c>
      <c r="E85" s="16" t="s">
        <v>13</v>
      </c>
      <c r="F85" s="15" t="s">
        <v>14</v>
      </c>
      <c r="G85" s="16" t="s">
        <v>15</v>
      </c>
      <c r="H85" s="16" t="s">
        <v>16</v>
      </c>
      <c r="I85" s="16" t="s">
        <v>56</v>
      </c>
      <c r="J85" s="16" t="s">
        <v>57</v>
      </c>
      <c r="K85" s="17" t="s">
        <v>19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8">
        <v>1</v>
      </c>
      <c r="B86" s="19" t="s">
        <v>20</v>
      </c>
      <c r="C86" s="19" t="s">
        <v>21</v>
      </c>
      <c r="D86" s="20" t="s">
        <v>22</v>
      </c>
      <c r="E86" s="20" t="s">
        <v>23</v>
      </c>
      <c r="F86" s="21">
        <v>39071</v>
      </c>
      <c r="G86" s="19" t="s">
        <v>24</v>
      </c>
      <c r="H86" s="66">
        <v>50000000</v>
      </c>
      <c r="I86" s="23">
        <f>I50</f>
        <v>4.9680000000000002E-2</v>
      </c>
      <c r="J86" s="24">
        <f t="shared" ref="J86:J97" si="6">H86*I86</f>
        <v>2484000</v>
      </c>
      <c r="K86" s="25" t="s">
        <v>25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8">
        <v>2</v>
      </c>
      <c r="B87" s="26" t="s">
        <v>20</v>
      </c>
      <c r="C87" s="26" t="s">
        <v>21</v>
      </c>
      <c r="D87" s="27" t="s">
        <v>22</v>
      </c>
      <c r="E87" s="27" t="s">
        <v>23</v>
      </c>
      <c r="F87" s="28">
        <v>41408</v>
      </c>
      <c r="G87" s="26" t="s">
        <v>24</v>
      </c>
      <c r="H87" s="67">
        <v>107185000</v>
      </c>
      <c r="I87" s="30">
        <f>I52</f>
        <v>3.9910000000000001E-2</v>
      </c>
      <c r="J87" s="31">
        <f t="shared" si="6"/>
        <v>4277753.3500000006</v>
      </c>
      <c r="K87" s="32" t="s">
        <v>26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8">
        <v>3</v>
      </c>
      <c r="B88" s="19" t="s">
        <v>20</v>
      </c>
      <c r="C88" s="19" t="s">
        <v>21</v>
      </c>
      <c r="D88" s="20" t="s">
        <v>22</v>
      </c>
      <c r="E88" s="20" t="s">
        <v>23</v>
      </c>
      <c r="F88" s="21">
        <v>42044</v>
      </c>
      <c r="G88" s="19" t="s">
        <v>27</v>
      </c>
      <c r="H88" s="66">
        <f>138667000*(34/366)</f>
        <v>12881633.879781421</v>
      </c>
      <c r="I88" s="23">
        <f>I55</f>
        <v>2.724E-2</v>
      </c>
      <c r="J88" s="24">
        <f t="shared" si="6"/>
        <v>350895.70688524592</v>
      </c>
      <c r="K88" s="82" t="s">
        <v>58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8">
        <v>4</v>
      </c>
      <c r="B89" s="19" t="s">
        <v>20</v>
      </c>
      <c r="C89" s="19" t="s">
        <v>21</v>
      </c>
      <c r="D89" s="20" t="s">
        <v>22</v>
      </c>
      <c r="E89" s="20" t="s">
        <v>23</v>
      </c>
      <c r="F89" s="21">
        <v>42044</v>
      </c>
      <c r="G89" s="19" t="s">
        <v>27</v>
      </c>
      <c r="H89" s="66">
        <f>138667000*(331/366)</f>
        <v>125406494.53551912</v>
      </c>
      <c r="I89" s="23">
        <v>2.614E-2</v>
      </c>
      <c r="J89" s="24">
        <f t="shared" si="6"/>
        <v>3278125.7671584697</v>
      </c>
      <c r="K89" s="8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8">
        <v>5</v>
      </c>
      <c r="B90" s="19" t="s">
        <v>20</v>
      </c>
      <c r="C90" s="19" t="s">
        <v>21</v>
      </c>
      <c r="D90" s="20" t="s">
        <v>22</v>
      </c>
      <c r="E90" s="20" t="s">
        <v>23</v>
      </c>
      <c r="F90" s="21">
        <v>42044</v>
      </c>
      <c r="G90" s="19" t="s">
        <v>24</v>
      </c>
      <c r="H90" s="66">
        <f>121333000*(33/366)</f>
        <v>10939860.655737706</v>
      </c>
      <c r="I90" s="23">
        <f>I56</f>
        <v>3.7690000000000001E-2</v>
      </c>
      <c r="J90" s="24">
        <f t="shared" si="6"/>
        <v>412323.34811475413</v>
      </c>
      <c r="K90" s="8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8">
        <v>6</v>
      </c>
      <c r="B91" s="19" t="s">
        <v>20</v>
      </c>
      <c r="C91" s="19" t="s">
        <v>21</v>
      </c>
      <c r="D91" s="20" t="s">
        <v>22</v>
      </c>
      <c r="E91" s="20" t="s">
        <v>23</v>
      </c>
      <c r="F91" s="21">
        <v>42044</v>
      </c>
      <c r="G91" s="19" t="s">
        <v>24</v>
      </c>
      <c r="H91" s="66">
        <f>121333000*(332/366)</f>
        <v>110061628.41530055</v>
      </c>
      <c r="I91" s="23">
        <v>3.6389999999999999E-2</v>
      </c>
      <c r="J91" s="24">
        <f t="shared" si="6"/>
        <v>4005142.658032787</v>
      </c>
      <c r="K91" s="7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8">
        <v>7</v>
      </c>
      <c r="B92" s="26" t="s">
        <v>20</v>
      </c>
      <c r="C92" s="26" t="s">
        <v>21</v>
      </c>
      <c r="D92" s="27" t="s">
        <v>22</v>
      </c>
      <c r="E92" s="27" t="s">
        <v>23</v>
      </c>
      <c r="F92" s="33">
        <v>42180</v>
      </c>
      <c r="G92" s="26" t="s">
        <v>27</v>
      </c>
      <c r="H92" s="68">
        <f>15999000*(176/366)</f>
        <v>7693508.1967213107</v>
      </c>
      <c r="I92" s="30">
        <f>2.724%</f>
        <v>2.724E-2</v>
      </c>
      <c r="J92" s="31">
        <f t="shared" si="6"/>
        <v>209571.1632786885</v>
      </c>
      <c r="K92" s="84" t="s">
        <v>59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8">
        <v>8</v>
      </c>
      <c r="B93" s="26" t="s">
        <v>20</v>
      </c>
      <c r="C93" s="26" t="s">
        <v>21</v>
      </c>
      <c r="D93" s="27" t="s">
        <v>22</v>
      </c>
      <c r="E93" s="27" t="s">
        <v>23</v>
      </c>
      <c r="F93" s="33">
        <v>42180</v>
      </c>
      <c r="G93" s="26" t="s">
        <v>27</v>
      </c>
      <c r="H93" s="68">
        <f>15999000*(189/366)</f>
        <v>8261778.6885245908</v>
      </c>
      <c r="I93" s="30">
        <f>2.614%</f>
        <v>2.614E-2</v>
      </c>
      <c r="J93" s="31">
        <f t="shared" si="6"/>
        <v>215962.89491803281</v>
      </c>
      <c r="K93" s="8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8">
        <v>9</v>
      </c>
      <c r="B94" s="26" t="s">
        <v>20</v>
      </c>
      <c r="C94" s="26" t="s">
        <v>21</v>
      </c>
      <c r="D94" s="27" t="s">
        <v>22</v>
      </c>
      <c r="E94" s="27" t="s">
        <v>23</v>
      </c>
      <c r="F94" s="33">
        <v>42180</v>
      </c>
      <c r="G94" s="26" t="s">
        <v>24</v>
      </c>
      <c r="H94" s="68">
        <f>14001000*(176/366)</f>
        <v>6732721.3114754092</v>
      </c>
      <c r="I94" s="30">
        <v>3.7690000000000001E-2</v>
      </c>
      <c r="J94" s="31">
        <f t="shared" si="6"/>
        <v>253756.26622950818</v>
      </c>
      <c r="K94" s="8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8">
        <v>10</v>
      </c>
      <c r="B95" s="26" t="s">
        <v>20</v>
      </c>
      <c r="C95" s="26" t="s">
        <v>21</v>
      </c>
      <c r="D95" s="27" t="s">
        <v>22</v>
      </c>
      <c r="E95" s="27" t="s">
        <v>23</v>
      </c>
      <c r="F95" s="33">
        <v>42180</v>
      </c>
      <c r="G95" s="26" t="s">
        <v>24</v>
      </c>
      <c r="H95" s="68">
        <f>14001000*(189/366)</f>
        <v>7230024.590163935</v>
      </c>
      <c r="I95" s="30">
        <f>3.639%</f>
        <v>3.6389999999999999E-2</v>
      </c>
      <c r="J95" s="31">
        <f t="shared" si="6"/>
        <v>263100.5948360656</v>
      </c>
      <c r="K95" s="7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8">
        <v>11</v>
      </c>
      <c r="B96" s="19" t="s">
        <v>20</v>
      </c>
      <c r="C96" s="19" t="s">
        <v>21</v>
      </c>
      <c r="D96" s="20" t="s">
        <v>22</v>
      </c>
      <c r="E96" s="20" t="s">
        <v>23</v>
      </c>
      <c r="F96" s="64">
        <v>43754</v>
      </c>
      <c r="G96" s="19" t="s">
        <v>27</v>
      </c>
      <c r="H96" s="66">
        <f>250000000*0.35</f>
        <v>87500000</v>
      </c>
      <c r="I96" s="23">
        <f t="shared" ref="I96:I97" si="7">I77</f>
        <v>2.6599999999999999E-2</v>
      </c>
      <c r="J96" s="24">
        <f t="shared" si="6"/>
        <v>2327500</v>
      </c>
      <c r="K96" s="73" t="s">
        <v>60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8">
        <v>12</v>
      </c>
      <c r="B97" s="19" t="s">
        <v>20</v>
      </c>
      <c r="C97" s="19" t="s">
        <v>21</v>
      </c>
      <c r="D97" s="20" t="s">
        <v>22</v>
      </c>
      <c r="E97" s="20" t="s">
        <v>23</v>
      </c>
      <c r="F97" s="64">
        <v>43754</v>
      </c>
      <c r="G97" s="19" t="s">
        <v>24</v>
      </c>
      <c r="H97" s="66">
        <f>250000000*0.65</f>
        <v>162500000</v>
      </c>
      <c r="I97" s="23">
        <f t="shared" si="7"/>
        <v>3.2099999999999997E-2</v>
      </c>
      <c r="J97" s="24">
        <f t="shared" si="6"/>
        <v>5216249.9999999991</v>
      </c>
      <c r="K97" s="7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6"/>
      <c r="B98" s="37"/>
      <c r="C98" s="38"/>
      <c r="D98" s="38"/>
      <c r="E98" s="38"/>
      <c r="F98" s="37"/>
      <c r="G98" s="38"/>
      <c r="H98" s="38"/>
      <c r="I98" s="69"/>
      <c r="J98" s="37"/>
      <c r="K98" s="3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40" t="s">
        <v>33</v>
      </c>
      <c r="B99" s="41"/>
      <c r="C99" s="42"/>
      <c r="D99" s="42"/>
      <c r="E99" s="42"/>
      <c r="F99" s="41"/>
      <c r="G99" s="42"/>
      <c r="H99" s="43">
        <f>SUM(H86:H97)</f>
        <v>696392650.27322412</v>
      </c>
      <c r="I99" s="44">
        <f>IF(H99=0,"",J99/H99)</f>
        <v>3.3450068349104758E-2</v>
      </c>
      <c r="J99" s="45">
        <f>SUM(J86:J97)</f>
        <v>23294381.749453552</v>
      </c>
      <c r="K99" s="4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1" t="s">
        <v>7</v>
      </c>
      <c r="E102" s="12">
        <v>2021</v>
      </c>
      <c r="F102" s="13" t="s">
        <v>61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4" t="s">
        <v>9</v>
      </c>
      <c r="B104" s="15" t="s">
        <v>10</v>
      </c>
      <c r="C104" s="15" t="s">
        <v>11</v>
      </c>
      <c r="D104" s="16" t="s">
        <v>12</v>
      </c>
      <c r="E104" s="16" t="s">
        <v>13</v>
      </c>
      <c r="F104" s="15" t="s">
        <v>14</v>
      </c>
      <c r="G104" s="16" t="s">
        <v>15</v>
      </c>
      <c r="H104" s="16" t="s">
        <v>16</v>
      </c>
      <c r="I104" s="16" t="s">
        <v>62</v>
      </c>
      <c r="J104" s="16" t="s">
        <v>63</v>
      </c>
      <c r="K104" s="17" t="s">
        <v>19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8">
        <v>1</v>
      </c>
      <c r="B105" s="19" t="s">
        <v>20</v>
      </c>
      <c r="C105" s="19" t="s">
        <v>21</v>
      </c>
      <c r="D105" s="20" t="s">
        <v>22</v>
      </c>
      <c r="E105" s="20" t="s">
        <v>23</v>
      </c>
      <c r="F105" s="21">
        <v>39071</v>
      </c>
      <c r="G105" s="19" t="s">
        <v>24</v>
      </c>
      <c r="H105" s="55">
        <v>50000000</v>
      </c>
      <c r="I105" s="23">
        <f>I50</f>
        <v>4.9680000000000002E-2</v>
      </c>
      <c r="J105" s="24">
        <f t="shared" ref="J105:J114" si="8">H105*I105</f>
        <v>2484000</v>
      </c>
      <c r="K105" s="51" t="s">
        <v>25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8">
        <v>2</v>
      </c>
      <c r="B106" s="26" t="s">
        <v>20</v>
      </c>
      <c r="C106" s="26" t="s">
        <v>21</v>
      </c>
      <c r="D106" s="27" t="s">
        <v>22</v>
      </c>
      <c r="E106" s="27" t="s">
        <v>23</v>
      </c>
      <c r="F106" s="28">
        <v>41408</v>
      </c>
      <c r="G106" s="26" t="s">
        <v>24</v>
      </c>
      <c r="H106" s="56">
        <v>107185000</v>
      </c>
      <c r="I106" s="30">
        <f>I52</f>
        <v>3.9910000000000001E-2</v>
      </c>
      <c r="J106" s="31">
        <f t="shared" si="8"/>
        <v>4277753.3500000006</v>
      </c>
      <c r="K106" s="32" t="s">
        <v>26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8">
        <v>3</v>
      </c>
      <c r="B107" s="19" t="s">
        <v>20</v>
      </c>
      <c r="C107" s="19" t="s">
        <v>21</v>
      </c>
      <c r="D107" s="20" t="s">
        <v>22</v>
      </c>
      <c r="E107" s="20" t="s">
        <v>23</v>
      </c>
      <c r="F107" s="21">
        <v>42044</v>
      </c>
      <c r="G107" s="19" t="s">
        <v>27</v>
      </c>
      <c r="H107" s="55">
        <v>138667000</v>
      </c>
      <c r="I107" s="23">
        <f>I89</f>
        <v>2.614E-2</v>
      </c>
      <c r="J107" s="24">
        <f t="shared" si="8"/>
        <v>3624755.38</v>
      </c>
      <c r="K107" s="73" t="s">
        <v>28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8">
        <v>4</v>
      </c>
      <c r="B108" s="19" t="s">
        <v>20</v>
      </c>
      <c r="C108" s="19" t="s">
        <v>21</v>
      </c>
      <c r="D108" s="20" t="s">
        <v>22</v>
      </c>
      <c r="E108" s="20" t="s">
        <v>23</v>
      </c>
      <c r="F108" s="21">
        <v>42044</v>
      </c>
      <c r="G108" s="19" t="s">
        <v>24</v>
      </c>
      <c r="H108" s="55">
        <v>121333000</v>
      </c>
      <c r="I108" s="23">
        <f>I91</f>
        <v>3.6389999999999999E-2</v>
      </c>
      <c r="J108" s="24">
        <f t="shared" si="8"/>
        <v>4415307.87</v>
      </c>
      <c r="K108" s="7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8">
        <v>5</v>
      </c>
      <c r="B109" s="26" t="s">
        <v>20</v>
      </c>
      <c r="C109" s="26" t="s">
        <v>21</v>
      </c>
      <c r="D109" s="27" t="s">
        <v>22</v>
      </c>
      <c r="E109" s="27" t="s">
        <v>23</v>
      </c>
      <c r="F109" s="33">
        <v>42180</v>
      </c>
      <c r="G109" s="26" t="s">
        <v>27</v>
      </c>
      <c r="H109" s="57">
        <v>15999000</v>
      </c>
      <c r="I109" s="30">
        <f>I93</f>
        <v>2.614E-2</v>
      </c>
      <c r="J109" s="31">
        <f t="shared" si="8"/>
        <v>418213.86</v>
      </c>
      <c r="K109" s="75" t="s">
        <v>64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8">
        <v>6</v>
      </c>
      <c r="B110" s="26" t="s">
        <v>20</v>
      </c>
      <c r="C110" s="26" t="s">
        <v>21</v>
      </c>
      <c r="D110" s="27" t="s">
        <v>22</v>
      </c>
      <c r="E110" s="27" t="s">
        <v>23</v>
      </c>
      <c r="F110" s="33">
        <v>42180</v>
      </c>
      <c r="G110" s="26" t="s">
        <v>24</v>
      </c>
      <c r="H110" s="57">
        <v>14001000</v>
      </c>
      <c r="I110" s="30">
        <f>I95</f>
        <v>3.6389999999999999E-2</v>
      </c>
      <c r="J110" s="31">
        <f t="shared" si="8"/>
        <v>509496.38999999996</v>
      </c>
      <c r="K110" s="7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8">
        <v>7</v>
      </c>
      <c r="B111" s="19" t="s">
        <v>20</v>
      </c>
      <c r="C111" s="19" t="s">
        <v>21</v>
      </c>
      <c r="D111" s="20" t="s">
        <v>22</v>
      </c>
      <c r="E111" s="20" t="s">
        <v>23</v>
      </c>
      <c r="F111" s="21">
        <f t="shared" ref="F111:F112" si="9">F96</f>
        <v>43754</v>
      </c>
      <c r="G111" s="19" t="s">
        <v>27</v>
      </c>
      <c r="H111" s="55">
        <f t="shared" ref="H111:H112" si="10">H96</f>
        <v>87500000</v>
      </c>
      <c r="I111" s="23">
        <f t="shared" ref="I111:I112" si="11">I77</f>
        <v>2.6599999999999999E-2</v>
      </c>
      <c r="J111" s="24">
        <f t="shared" si="8"/>
        <v>2327500</v>
      </c>
      <c r="K111" s="79" t="str">
        <f>K96</f>
        <v>$250.0M, in aggregate, Promissory Notes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8">
        <v>8</v>
      </c>
      <c r="B112" s="19" t="s">
        <v>20</v>
      </c>
      <c r="C112" s="19" t="s">
        <v>21</v>
      </c>
      <c r="D112" s="20" t="s">
        <v>22</v>
      </c>
      <c r="E112" s="20" t="s">
        <v>23</v>
      </c>
      <c r="F112" s="21">
        <f t="shared" si="9"/>
        <v>43754</v>
      </c>
      <c r="G112" s="19" t="s">
        <v>24</v>
      </c>
      <c r="H112" s="55">
        <f t="shared" si="10"/>
        <v>162500000</v>
      </c>
      <c r="I112" s="23">
        <f t="shared" si="11"/>
        <v>3.2099999999999997E-2</v>
      </c>
      <c r="J112" s="24">
        <f t="shared" si="8"/>
        <v>5216249.9999999991</v>
      </c>
      <c r="K112" s="8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8">
        <v>9</v>
      </c>
      <c r="B113" s="58" t="s">
        <v>20</v>
      </c>
      <c r="C113" s="58" t="s">
        <v>21</v>
      </c>
      <c r="D113" s="27" t="s">
        <v>22</v>
      </c>
      <c r="E113" s="27" t="s">
        <v>23</v>
      </c>
      <c r="F113" s="33">
        <v>44378</v>
      </c>
      <c r="G113" s="58" t="s">
        <v>27</v>
      </c>
      <c r="H113" s="57">
        <f>80000000*0.35*(184/365)</f>
        <v>14115068.493150687</v>
      </c>
      <c r="I113" s="59">
        <v>3.0700000000000002E-2</v>
      </c>
      <c r="J113" s="60">
        <f t="shared" si="8"/>
        <v>433332.60273972614</v>
      </c>
      <c r="K113" s="81" t="s">
        <v>65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8">
        <v>10</v>
      </c>
      <c r="B114" s="58" t="s">
        <v>20</v>
      </c>
      <c r="C114" s="58" t="s">
        <v>21</v>
      </c>
      <c r="D114" s="27" t="s">
        <v>22</v>
      </c>
      <c r="E114" s="27" t="s">
        <v>23</v>
      </c>
      <c r="F114" s="33">
        <v>44378</v>
      </c>
      <c r="G114" s="58" t="s">
        <v>24</v>
      </c>
      <c r="H114" s="57">
        <f>80000000*0.65*(184/365)</f>
        <v>26213698.630136989</v>
      </c>
      <c r="I114" s="59">
        <v>3.8699999999999998E-2</v>
      </c>
      <c r="J114" s="60">
        <f t="shared" si="8"/>
        <v>1014470.1369863014</v>
      </c>
      <c r="K114" s="7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6"/>
      <c r="B115" s="37"/>
      <c r="C115" s="38"/>
      <c r="D115" s="38"/>
      <c r="E115" s="38"/>
      <c r="F115" s="37"/>
      <c r="G115" s="38"/>
      <c r="H115" s="38"/>
      <c r="I115" s="38"/>
      <c r="J115" s="37"/>
      <c r="K115" s="3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40" t="s">
        <v>33</v>
      </c>
      <c r="B116" s="41"/>
      <c r="C116" s="42"/>
      <c r="D116" s="42"/>
      <c r="E116" s="42"/>
      <c r="F116" s="41"/>
      <c r="G116" s="42"/>
      <c r="H116" s="43">
        <f>SUM(H105:H114)</f>
        <v>737513767.12328768</v>
      </c>
      <c r="I116" s="44">
        <f>IF(H116=0,"",J116/H116)</f>
        <v>3.3519482200518008E-2</v>
      </c>
      <c r="J116" s="45">
        <f>SUM(J105:J114)</f>
        <v>24721079.589726027</v>
      </c>
      <c r="K116" s="4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</sheetData>
  <mergeCells count="25">
    <mergeCell ref="K109:K110"/>
    <mergeCell ref="K111:K112"/>
    <mergeCell ref="K113:K114"/>
    <mergeCell ref="K55:K56"/>
    <mergeCell ref="K69:K70"/>
    <mergeCell ref="K71:K72"/>
    <mergeCell ref="K77:K78"/>
    <mergeCell ref="K88:K91"/>
    <mergeCell ref="K92:K95"/>
    <mergeCell ref="K96:K97"/>
    <mergeCell ref="K37:K38"/>
    <mergeCell ref="K39:K40"/>
    <mergeCell ref="K51:K52"/>
    <mergeCell ref="K53:K54"/>
    <mergeCell ref="K107:K108"/>
    <mergeCell ref="K18:K19"/>
    <mergeCell ref="K20:K21"/>
    <mergeCell ref="B28:K28"/>
    <mergeCell ref="B29:K29"/>
    <mergeCell ref="B30:K30"/>
    <mergeCell ref="A8:K8"/>
    <mergeCell ref="A9:K9"/>
    <mergeCell ref="A10:K10"/>
    <mergeCell ref="L10:O10"/>
    <mergeCell ref="A12:K12"/>
  </mergeCells>
  <dataValidations count="3">
    <dataValidation type="list" allowBlank="1" showErrorMessage="1" sqref="E13 E32 E47 E64 E83 E102">
      <formula1>"2006,2007,2008,2009,2012,2013,2014,2015,2016,2017,2018,2019,2020,2021,2022,2023,2024,2025"</formula1>
    </dataValidation>
    <dataValidation type="list" allowBlank="1" showErrorMessage="1" sqref="D16:D22 D35:D42 D50:D59 D67:D78 D86:D97 D105:D114">
      <formula1>"Affiliated,Third-Party"</formula1>
    </dataValidation>
    <dataValidation type="list" allowBlank="1" showErrorMessage="1" sqref="E16:E22 E35:E42 E50:E59 E67:E78 E86:E97 E105:E114">
      <formula1>"Fixed Rate,Variable Rate"</formula1>
    </dataValidation>
  </dataValidations>
  <pageMargins left="0.47205588822355293" right="0.50499001996007986" top="1.0209580838323353" bottom="0.62574850299401197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App.2-OB_Debt Instruments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meghanf</cp:lastModifiedBy>
  <dcterms:modified xsi:type="dcterms:W3CDTF">2020-09-18T13:56:07Z</dcterms:modified>
</cp:coreProperties>
</file>