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NREG\QRAM\Submission\Staff Questions\Post-Submission\"/>
    </mc:Choice>
  </mc:AlternateContent>
  <bookViews>
    <workbookView xWindow="0" yWindow="0" windowWidth="38400" windowHeight="16800" firstSheet="1" activeTab="8"/>
  </bookViews>
  <sheets>
    <sheet name="Info" sheetId="1" state="hidden" r:id="rId1"/>
    <sheet name="Sch. 2" sheetId="2" r:id="rId2"/>
    <sheet name="Sch. 3" sheetId="3" r:id="rId3"/>
    <sheet name="Sch. 4" sheetId="4" r:id="rId4"/>
    <sheet name="Sch. 5" sheetId="8" r:id="rId5"/>
    <sheet name="Sch. 6" sheetId="6" r:id="rId6"/>
    <sheet name="Sch. 7" sheetId="7" r:id="rId7"/>
    <sheet name="Sch. 8" sheetId="9" r:id="rId8"/>
    <sheet name="Sch. 9" sheetId="12" r:id="rId9"/>
    <sheet name="Residential Consumption Profile" sheetId="13" r:id="rId10"/>
  </sheets>
  <definedNames>
    <definedName name="ADJ0">'Sch. 5'!#REF!</definedName>
    <definedName name="_xlnm.Print_Area" localSheetId="1">'Sch. 2'!$A$1:$P$50</definedName>
    <definedName name="_xlnm.Print_Area" localSheetId="4">'Sch. 5'!$A$1:$N$49</definedName>
    <definedName name="_xlnm.Print_Area" localSheetId="7">'Sch. 8'!$A$1:$R$70</definedName>
    <definedName name="_xlnm.Print_Area" localSheetId="8">'Sch. 9'!$A$1:$E$60</definedName>
    <definedName name="solver_adj" localSheetId="4" hidden="1">'Sch. 5'!$E$17</definedName>
    <definedName name="solver_adj" localSheetId="7" hidden="1">'Sch. 8'!$L$43</definedName>
    <definedName name="solver_cvg" localSheetId="4" hidden="1">0.0001</definedName>
    <definedName name="solver_cvg" localSheetId="7" hidden="1">0.0001</definedName>
    <definedName name="solver_drv" localSheetId="4" hidden="1">1</definedName>
    <definedName name="solver_drv" localSheetId="7" hidden="1">1</definedName>
    <definedName name="solver_est" localSheetId="4" hidden="1">1</definedName>
    <definedName name="solver_est" localSheetId="7" hidden="1">1</definedName>
    <definedName name="solver_itr" localSheetId="4" hidden="1">100</definedName>
    <definedName name="solver_itr" localSheetId="7" hidden="1">100</definedName>
    <definedName name="solver_lin" localSheetId="4" hidden="1">2</definedName>
    <definedName name="solver_lin" localSheetId="7" hidden="1">2</definedName>
    <definedName name="solver_neg" localSheetId="4" hidden="1">2</definedName>
    <definedName name="solver_neg" localSheetId="7" hidden="1">2</definedName>
    <definedName name="solver_num" localSheetId="4" hidden="1">0</definedName>
    <definedName name="solver_num" localSheetId="7" hidden="1">0</definedName>
    <definedName name="solver_nwt" localSheetId="4" hidden="1">1</definedName>
    <definedName name="solver_nwt" localSheetId="7" hidden="1">1</definedName>
    <definedName name="solver_opt" localSheetId="4" hidden="1">'Sch. 5'!$L$41</definedName>
    <definedName name="solver_opt" localSheetId="7" hidden="1">'Sch. 8'!$Q$65</definedName>
    <definedName name="solver_pre" localSheetId="4" hidden="1">0.000001</definedName>
    <definedName name="solver_pre" localSheetId="7" hidden="1">0.000001</definedName>
    <definedName name="solver_scl" localSheetId="4" hidden="1">2</definedName>
    <definedName name="solver_scl" localSheetId="7" hidden="1">2</definedName>
    <definedName name="solver_sho" localSheetId="4" hidden="1">2</definedName>
    <definedName name="solver_sho" localSheetId="7" hidden="1">2</definedName>
    <definedName name="solver_tim" localSheetId="4" hidden="1">100</definedName>
    <definedName name="solver_tim" localSheetId="7" hidden="1">100</definedName>
    <definedName name="solver_tol" localSheetId="4" hidden="1">0.05</definedName>
    <definedName name="solver_tol" localSheetId="7" hidden="1">0.05</definedName>
    <definedName name="solver_typ" localSheetId="4" hidden="1">3</definedName>
    <definedName name="solver_typ" localSheetId="7" hidden="1">1</definedName>
    <definedName name="solver_val" localSheetId="4" hidden="1">0</definedName>
    <definedName name="solver_val" localSheetId="7" hidden="1">0</definedName>
  </definedNames>
  <calcPr calcId="162913"/>
</workbook>
</file>

<file path=xl/calcChain.xml><?xml version="1.0" encoding="utf-8"?>
<calcChain xmlns="http://schemas.openxmlformats.org/spreadsheetml/2006/main">
  <c r="H17" i="8" l="1"/>
  <c r="M41" i="6" l="1"/>
  <c r="L41" i="6"/>
  <c r="K41" i="6"/>
  <c r="J41" i="6"/>
  <c r="I41" i="6"/>
  <c r="H41" i="6"/>
  <c r="G41" i="6"/>
  <c r="F41" i="6"/>
  <c r="E41" i="6"/>
  <c r="D41" i="6"/>
  <c r="C41" i="6"/>
  <c r="B41" i="6"/>
  <c r="M21" i="6"/>
  <c r="L21" i="6"/>
  <c r="K21" i="6"/>
  <c r="J21" i="6"/>
  <c r="I21" i="6"/>
  <c r="H21" i="6"/>
  <c r="G21" i="6"/>
  <c r="F21" i="6"/>
  <c r="E21" i="6"/>
  <c r="D21" i="6"/>
  <c r="C21" i="6"/>
  <c r="B21" i="6"/>
  <c r="E19" i="8"/>
  <c r="E21" i="8"/>
  <c r="E23" i="8"/>
  <c r="E25" i="8"/>
  <c r="E27" i="8"/>
  <c r="E29" i="8"/>
  <c r="E31" i="8"/>
  <c r="E33" i="8"/>
  <c r="E35" i="8" s="1"/>
  <c r="E37" i="8" s="1"/>
  <c r="E39" i="8" s="1"/>
  <c r="N39" i="3"/>
  <c r="N38" i="3"/>
  <c r="N37" i="3"/>
  <c r="K41" i="3"/>
  <c r="G41" i="3"/>
  <c r="C41" i="3"/>
  <c r="N36" i="3"/>
  <c r="M41" i="3"/>
  <c r="L41" i="3"/>
  <c r="J41" i="3"/>
  <c r="I41" i="3"/>
  <c r="H41" i="3"/>
  <c r="F41" i="3"/>
  <c r="E41" i="3"/>
  <c r="D41" i="3"/>
  <c r="B41" i="3"/>
  <c r="N41" i="3" s="1"/>
  <c r="N19" i="3"/>
  <c r="N18" i="3"/>
  <c r="M21" i="3"/>
  <c r="I21" i="3"/>
  <c r="E21" i="3"/>
  <c r="N17" i="3"/>
  <c r="J21" i="3"/>
  <c r="F21" i="3"/>
  <c r="N16" i="3"/>
  <c r="L21" i="3"/>
  <c r="K21" i="3"/>
  <c r="H21" i="3"/>
  <c r="G21" i="3"/>
  <c r="N15" i="3"/>
  <c r="N21" i="3" s="1"/>
  <c r="N35" i="3" l="1"/>
  <c r="B37" i="12" l="1"/>
  <c r="B21" i="12"/>
  <c r="B20" i="12"/>
  <c r="M7" i="13"/>
  <c r="L7" i="13"/>
  <c r="K7" i="13"/>
  <c r="J7" i="13"/>
  <c r="I7" i="13"/>
  <c r="H7" i="13"/>
  <c r="G7" i="13"/>
  <c r="F7" i="13"/>
  <c r="E7" i="13"/>
  <c r="D7" i="13"/>
  <c r="C7" i="13"/>
  <c r="B7" i="13"/>
  <c r="M6" i="13"/>
  <c r="M8" i="13" s="1"/>
  <c r="L6" i="13"/>
  <c r="L8" i="13" s="1"/>
  <c r="K6" i="13"/>
  <c r="K8" i="13" s="1"/>
  <c r="J6" i="13"/>
  <c r="J8" i="13" s="1"/>
  <c r="I6" i="13"/>
  <c r="I8" i="13" s="1"/>
  <c r="H6" i="13"/>
  <c r="H8" i="13" s="1"/>
  <c r="G6" i="13"/>
  <c r="G8" i="13" s="1"/>
  <c r="F6" i="13"/>
  <c r="F8" i="13" s="1"/>
  <c r="E6" i="13"/>
  <c r="E8" i="13" s="1"/>
  <c r="D6" i="13"/>
  <c r="D8" i="13" s="1"/>
  <c r="C6" i="13"/>
  <c r="C8" i="13" s="1"/>
  <c r="B6" i="13"/>
  <c r="B8" i="13" s="1"/>
  <c r="M4" i="13"/>
  <c r="L4" i="13"/>
  <c r="K4" i="13"/>
  <c r="J4" i="13"/>
  <c r="I4" i="13"/>
  <c r="H4" i="13"/>
  <c r="G4" i="13"/>
  <c r="F4" i="13"/>
  <c r="E4" i="13"/>
  <c r="D4" i="13"/>
  <c r="C4" i="13"/>
  <c r="B4" i="13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A10" i="8"/>
  <c r="A10" i="2"/>
  <c r="A10" i="9"/>
  <c r="B36" i="12" l="1"/>
  <c r="C20" i="12"/>
  <c r="C36" i="12"/>
  <c r="B49" i="8" l="1"/>
  <c r="N2" i="8" l="1"/>
  <c r="R2" i="9"/>
  <c r="B31" i="12"/>
  <c r="C54" i="12" l="1"/>
  <c r="C21" i="12" l="1"/>
  <c r="C37" i="12"/>
  <c r="C57" i="12"/>
  <c r="E21" i="12" l="1"/>
  <c r="D21" i="12"/>
  <c r="C47" i="12"/>
  <c r="C30" i="12" l="1"/>
  <c r="B30" i="12"/>
  <c r="B35" i="12"/>
  <c r="F17" i="8"/>
  <c r="G17" i="8" l="1"/>
  <c r="F45" i="8" l="1"/>
  <c r="D5" i="1" l="1"/>
  <c r="D4" i="1"/>
  <c r="C5" i="1"/>
  <c r="A10" i="6" s="1"/>
  <c r="C4" i="1"/>
  <c r="E37" i="12" l="1"/>
  <c r="D37" i="12"/>
  <c r="R49" i="9" l="1"/>
  <c r="B49" i="9" l="1"/>
  <c r="A49" i="9" l="1"/>
  <c r="N2" i="3" l="1"/>
  <c r="B12" i="3" s="1"/>
  <c r="F19" i="8" l="1"/>
  <c r="G19" i="8" s="1"/>
  <c r="F65" i="9"/>
  <c r="F63" i="9"/>
  <c r="F61" i="9"/>
  <c r="B45" i="9"/>
  <c r="E53" i="9"/>
  <c r="F37" i="9"/>
  <c r="E29" i="9"/>
  <c r="M29" i="9" s="1"/>
  <c r="F27" i="9"/>
  <c r="E25" i="9"/>
  <c r="M25" i="9" s="1"/>
  <c r="E23" i="9"/>
  <c r="M23" i="9" s="1"/>
  <c r="F23" i="9"/>
  <c r="G23" i="9" s="1"/>
  <c r="F21" i="9"/>
  <c r="F19" i="9"/>
  <c r="R65" i="9"/>
  <c r="R63" i="9"/>
  <c r="R61" i="9"/>
  <c r="R59" i="9"/>
  <c r="R57" i="9"/>
  <c r="R55" i="9"/>
  <c r="R53" i="9"/>
  <c r="R51" i="9"/>
  <c r="R47" i="9"/>
  <c r="R45" i="9"/>
  <c r="A65" i="9"/>
  <c r="A63" i="9"/>
  <c r="A61" i="9"/>
  <c r="A59" i="9"/>
  <c r="A57" i="9"/>
  <c r="A55" i="9"/>
  <c r="A53" i="9"/>
  <c r="A51" i="9"/>
  <c r="A47" i="9"/>
  <c r="A45" i="9"/>
  <c r="R43" i="9"/>
  <c r="A43" i="9"/>
  <c r="A41" i="9"/>
  <c r="R39" i="9"/>
  <c r="A39" i="9"/>
  <c r="R37" i="9"/>
  <c r="A37" i="9"/>
  <c r="R35" i="9"/>
  <c r="A35" i="9"/>
  <c r="R33" i="9"/>
  <c r="A33" i="9"/>
  <c r="R31" i="9"/>
  <c r="A31" i="9"/>
  <c r="R29" i="9"/>
  <c r="A29" i="9"/>
  <c r="R27" i="9"/>
  <c r="A27" i="9"/>
  <c r="R25" i="9"/>
  <c r="A25" i="9"/>
  <c r="R23" i="9"/>
  <c r="J23" i="9"/>
  <c r="B23" i="9"/>
  <c r="A23" i="9"/>
  <c r="R21" i="9"/>
  <c r="J21" i="9"/>
  <c r="B21" i="9"/>
  <c r="A21" i="9"/>
  <c r="R19" i="9"/>
  <c r="O19" i="9" s="1"/>
  <c r="P19" i="9" s="1"/>
  <c r="J19" i="9"/>
  <c r="B19" i="9"/>
  <c r="A19" i="9"/>
  <c r="R41" i="9"/>
  <c r="L45" i="9"/>
  <c r="L47" i="9" s="1"/>
  <c r="L49" i="9" s="1"/>
  <c r="L51" i="9" s="1"/>
  <c r="L53" i="9" s="1"/>
  <c r="L55" i="9" s="1"/>
  <c r="L57" i="9" s="1"/>
  <c r="L59" i="9" s="1"/>
  <c r="L61" i="9" s="1"/>
  <c r="L63" i="9" s="1"/>
  <c r="L65" i="9" s="1"/>
  <c r="A10" i="7"/>
  <c r="E1" i="12"/>
  <c r="E2" i="12"/>
  <c r="E3" i="12"/>
  <c r="C15" i="12" s="1"/>
  <c r="B19" i="12"/>
  <c r="C19" i="12"/>
  <c r="C35" i="12"/>
  <c r="B46" i="12"/>
  <c r="B47" i="12"/>
  <c r="Q1" i="9"/>
  <c r="R3" i="9"/>
  <c r="J43" i="9"/>
  <c r="N1" i="8"/>
  <c r="N3" i="8"/>
  <c r="O1" i="7"/>
  <c r="P2" i="2"/>
  <c r="C12" i="3" s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P3" i="2"/>
  <c r="N3" i="7" s="1"/>
  <c r="N1" i="6"/>
  <c r="O1" i="4"/>
  <c r="A10" i="4"/>
  <c r="N1" i="3"/>
  <c r="A10" i="3"/>
  <c r="N1" i="2"/>
  <c r="E27" i="9"/>
  <c r="M27" i="9" s="1"/>
  <c r="E33" i="9"/>
  <c r="M33" i="9" s="1"/>
  <c r="F49" i="9"/>
  <c r="F45" i="9"/>
  <c r="F43" i="9"/>
  <c r="F41" i="9"/>
  <c r="E35" i="9"/>
  <c r="G35" i="9" s="1"/>
  <c r="E43" i="9"/>
  <c r="M43" i="9" s="1"/>
  <c r="E21" i="9"/>
  <c r="F29" i="9"/>
  <c r="B43" i="9"/>
  <c r="E45" i="9"/>
  <c r="E41" i="9"/>
  <c r="F39" i="9"/>
  <c r="B61" i="9"/>
  <c r="E65" i="9"/>
  <c r="E63" i="9"/>
  <c r="E49" i="9"/>
  <c r="E19" i="9"/>
  <c r="M19" i="9" s="1"/>
  <c r="E39" i="9"/>
  <c r="M39" i="9" s="1"/>
  <c r="E31" i="9"/>
  <c r="M31" i="9" s="1"/>
  <c r="F31" i="9"/>
  <c r="F25" i="9"/>
  <c r="B65" i="9"/>
  <c r="B63" i="9"/>
  <c r="B51" i="9"/>
  <c r="E57" i="9"/>
  <c r="B53" i="9"/>
  <c r="F53" i="9"/>
  <c r="B59" i="9"/>
  <c r="F59" i="9"/>
  <c r="E59" i="9"/>
  <c r="B57" i="9"/>
  <c r="F51" i="9"/>
  <c r="E51" i="9"/>
  <c r="F55" i="9"/>
  <c r="E55" i="9"/>
  <c r="B55" i="9"/>
  <c r="F47" i="9"/>
  <c r="E47" i="9"/>
  <c r="N42" i="2"/>
  <c r="F46" i="2" s="1"/>
  <c r="F57" i="9"/>
  <c r="E37" i="9"/>
  <c r="M37" i="9" s="1"/>
  <c r="B47" i="9"/>
  <c r="E61" i="9"/>
  <c r="G25" i="9" l="1"/>
  <c r="G21" i="9"/>
  <c r="H21" i="9" s="1"/>
  <c r="N3" i="6"/>
  <c r="G65" i="9"/>
  <c r="H65" i="9" s="1"/>
  <c r="G53" i="9"/>
  <c r="M35" i="9"/>
  <c r="M21" i="9"/>
  <c r="D19" i="12"/>
  <c r="H23" i="9"/>
  <c r="G41" i="9"/>
  <c r="G47" i="9"/>
  <c r="H47" i="9" s="1"/>
  <c r="G61" i="9"/>
  <c r="H61" i="9" s="1"/>
  <c r="G55" i="9"/>
  <c r="H55" i="9" s="1"/>
  <c r="N3" i="3"/>
  <c r="N3" i="4"/>
  <c r="E19" i="12"/>
  <c r="D35" i="12"/>
  <c r="E35" i="12"/>
  <c r="C31" i="12"/>
  <c r="M51" i="9"/>
  <c r="M63" i="9"/>
  <c r="M57" i="9"/>
  <c r="M49" i="9"/>
  <c r="M47" i="9"/>
  <c r="M53" i="9"/>
  <c r="G45" i="9"/>
  <c r="H45" i="9" s="1"/>
  <c r="G43" i="9"/>
  <c r="H43" i="9" s="1"/>
  <c r="M41" i="9"/>
  <c r="G29" i="9"/>
  <c r="G59" i="9"/>
  <c r="H59" i="9" s="1"/>
  <c r="G37" i="9"/>
  <c r="G51" i="9"/>
  <c r="H51" i="9" s="1"/>
  <c r="M55" i="9"/>
  <c r="G33" i="9"/>
  <c r="G39" i="9"/>
  <c r="M65" i="9"/>
  <c r="G63" i="9"/>
  <c r="H63" i="9" s="1"/>
  <c r="M61" i="9"/>
  <c r="M59" i="9"/>
  <c r="G57" i="9"/>
  <c r="H57" i="9" s="1"/>
  <c r="H53" i="9"/>
  <c r="G49" i="9"/>
  <c r="H49" i="9" s="1"/>
  <c r="M45" i="9"/>
  <c r="G31" i="9"/>
  <c r="G27" i="9"/>
  <c r="G19" i="9"/>
  <c r="H19" i="9" s="1"/>
  <c r="I19" i="9" s="1"/>
  <c r="K19" i="9" s="1"/>
  <c r="N19" i="9" s="1"/>
  <c r="N36" i="6"/>
  <c r="N18" i="6"/>
  <c r="N37" i="6"/>
  <c r="N16" i="6"/>
  <c r="N17" i="6"/>
  <c r="N38" i="6"/>
  <c r="N39" i="6"/>
  <c r="N15" i="6"/>
  <c r="N19" i="6"/>
  <c r="N35" i="6"/>
  <c r="F21" i="8"/>
  <c r="G21" i="8" s="1"/>
  <c r="J49" i="9"/>
  <c r="B41" i="8"/>
  <c r="M41" i="8"/>
  <c r="J45" i="9"/>
  <c r="C41" i="8"/>
  <c r="B17" i="12"/>
  <c r="J47" i="9"/>
  <c r="N2" i="4"/>
  <c r="C12" i="4"/>
  <c r="E12" i="4"/>
  <c r="D12" i="4"/>
  <c r="N2" i="7"/>
  <c r="N2" i="6"/>
  <c r="B12" i="6"/>
  <c r="C12" i="6" s="1"/>
  <c r="D12" i="6" s="1"/>
  <c r="E12" i="7" s="1"/>
  <c r="C17" i="12" l="1"/>
  <c r="C23" i="12" s="1"/>
  <c r="B23" i="12"/>
  <c r="I21" i="9"/>
  <c r="K21" i="9" s="1"/>
  <c r="N21" i="9" s="1"/>
  <c r="N41" i="6"/>
  <c r="N21" i="6"/>
  <c r="F23" i="8"/>
  <c r="G23" i="8" s="1"/>
  <c r="D41" i="8"/>
  <c r="B33" i="12"/>
  <c r="B39" i="12" s="1"/>
  <c r="E20" i="12"/>
  <c r="D12" i="7"/>
  <c r="C12" i="7"/>
  <c r="F12" i="4"/>
  <c r="E12" i="6"/>
  <c r="F12" i="6" s="1"/>
  <c r="O21" i="9"/>
  <c r="P21" i="9" s="1"/>
  <c r="Q19" i="9"/>
  <c r="I23" i="9"/>
  <c r="C33" i="12" l="1"/>
  <c r="C39" i="12" s="1"/>
  <c r="F25" i="8"/>
  <c r="G25" i="8" s="1"/>
  <c r="C25" i="12"/>
  <c r="D20" i="12"/>
  <c r="J51" i="9"/>
  <c r="F12" i="7"/>
  <c r="G12" i="4"/>
  <c r="G12" i="7"/>
  <c r="G12" i="6"/>
  <c r="O23" i="9"/>
  <c r="P23" i="9" s="1"/>
  <c r="Q21" i="9"/>
  <c r="J41" i="9"/>
  <c r="J39" i="9"/>
  <c r="J37" i="9"/>
  <c r="J35" i="9"/>
  <c r="J33" i="9"/>
  <c r="J29" i="9"/>
  <c r="J27" i="9"/>
  <c r="J25" i="9"/>
  <c r="K23" i="9" s="1"/>
  <c r="N23" i="9" s="1"/>
  <c r="J31" i="9" l="1"/>
  <c r="F27" i="8"/>
  <c r="G27" i="8" s="1"/>
  <c r="D36" i="12"/>
  <c r="E36" i="12"/>
  <c r="C41" i="12"/>
  <c r="J53" i="9"/>
  <c r="H12" i="4"/>
  <c r="H12" i="7"/>
  <c r="H12" i="6"/>
  <c r="Q23" i="9"/>
  <c r="O25" i="9"/>
  <c r="P25" i="9" s="1"/>
  <c r="B37" i="9"/>
  <c r="H37" i="9" s="1"/>
  <c r="B35" i="9"/>
  <c r="H35" i="9" s="1"/>
  <c r="B31" i="9"/>
  <c r="H31" i="9" s="1"/>
  <c r="B39" i="9"/>
  <c r="H39" i="9" s="1"/>
  <c r="F29" i="8" l="1"/>
  <c r="G29" i="8" s="1"/>
  <c r="J55" i="9"/>
  <c r="I12" i="4"/>
  <c r="I12" i="7"/>
  <c r="I12" i="6"/>
  <c r="C42" i="2"/>
  <c r="B33" i="9"/>
  <c r="H33" i="9" s="1"/>
  <c r="B29" i="9"/>
  <c r="H29" i="9" s="1"/>
  <c r="B27" i="9"/>
  <c r="H27" i="9" s="1"/>
  <c r="B41" i="9"/>
  <c r="H41" i="9" s="1"/>
  <c r="E23" i="12" l="1"/>
  <c r="D23" i="12"/>
  <c r="D25" i="12" s="1"/>
  <c r="B25" i="12"/>
  <c r="E25" i="12" s="1"/>
  <c r="E39" i="12"/>
  <c r="D39" i="12"/>
  <c r="D41" i="12" s="1"/>
  <c r="B41" i="12"/>
  <c r="E41" i="12" s="1"/>
  <c r="F31" i="8"/>
  <c r="G31" i="8" s="1"/>
  <c r="J57" i="9"/>
  <c r="J12" i="4"/>
  <c r="J12" i="6"/>
  <c r="J12" i="7"/>
  <c r="F33" i="8" l="1"/>
  <c r="G33" i="8" s="1"/>
  <c r="J59" i="9"/>
  <c r="K12" i="4"/>
  <c r="K12" i="6"/>
  <c r="K12" i="7"/>
  <c r="D42" i="2"/>
  <c r="E42" i="2" s="1"/>
  <c r="B25" i="9"/>
  <c r="H25" i="9" s="1"/>
  <c r="I25" i="9" s="1"/>
  <c r="F35" i="8" l="1"/>
  <c r="G35" i="8" s="1"/>
  <c r="J61" i="9"/>
  <c r="L12" i="4"/>
  <c r="L12" i="7"/>
  <c r="L12" i="6"/>
  <c r="I27" i="9"/>
  <c r="K25" i="9"/>
  <c r="N25" i="9" s="1"/>
  <c r="F39" i="8" l="1"/>
  <c r="G39" i="8" s="1"/>
  <c r="F37" i="8"/>
  <c r="G37" i="8" s="1"/>
  <c r="J63" i="9"/>
  <c r="M12" i="4"/>
  <c r="N12" i="4"/>
  <c r="M12" i="6"/>
  <c r="N12" i="7" s="1"/>
  <c r="M12" i="7"/>
  <c r="O27" i="9"/>
  <c r="P27" i="9" s="1"/>
  <c r="Q25" i="9"/>
  <c r="K27" i="9"/>
  <c r="N27" i="9" s="1"/>
  <c r="I29" i="9"/>
  <c r="H42" i="2"/>
  <c r="J65" i="9" l="1"/>
  <c r="G41" i="8"/>
  <c r="Q27" i="9"/>
  <c r="O29" i="9"/>
  <c r="P29" i="9" s="1"/>
  <c r="K29" i="9"/>
  <c r="N29" i="9" s="1"/>
  <c r="I31" i="9"/>
  <c r="Q29" i="9" l="1"/>
  <c r="O31" i="9"/>
  <c r="P31" i="9" s="1"/>
  <c r="I33" i="9"/>
  <c r="K31" i="9"/>
  <c r="N31" i="9" s="1"/>
  <c r="Q31" i="9" l="1"/>
  <c r="O33" i="9"/>
  <c r="P33" i="9" s="1"/>
  <c r="K33" i="9"/>
  <c r="N33" i="9" s="1"/>
  <c r="I35" i="9"/>
  <c r="Q33" i="9" l="1"/>
  <c r="O35" i="9"/>
  <c r="P35" i="9" s="1"/>
  <c r="K35" i="9"/>
  <c r="N35" i="9" s="1"/>
  <c r="I37" i="9"/>
  <c r="Q35" i="9" l="1"/>
  <c r="O37" i="9"/>
  <c r="P37" i="9" s="1"/>
  <c r="I39" i="9"/>
  <c r="K37" i="9"/>
  <c r="N37" i="9" s="1"/>
  <c r="I41" i="9" l="1"/>
  <c r="K39" i="9"/>
  <c r="N39" i="9" s="1"/>
  <c r="Q37" i="9"/>
  <c r="O39" i="9"/>
  <c r="P39" i="9" s="1"/>
  <c r="O41" i="9" l="1"/>
  <c r="P41" i="9" s="1"/>
  <c r="Q39" i="9"/>
  <c r="K41" i="9"/>
  <c r="N41" i="9" s="1"/>
  <c r="I43" i="9"/>
  <c r="I45" i="9" l="1"/>
  <c r="K43" i="9"/>
  <c r="N43" i="9" s="1"/>
  <c r="O43" i="9"/>
  <c r="P43" i="9" s="1"/>
  <c r="Q41" i="9"/>
  <c r="I42" i="2" l="1"/>
  <c r="E48" i="8" s="1"/>
  <c r="Q43" i="9"/>
  <c r="O45" i="9"/>
  <c r="P45" i="9" s="1"/>
  <c r="L42" i="2"/>
  <c r="J42" i="2"/>
  <c r="I47" i="9"/>
  <c r="K45" i="9"/>
  <c r="N45" i="9" s="1"/>
  <c r="I17" i="8" l="1"/>
  <c r="I19" i="8"/>
  <c r="M42" i="2"/>
  <c r="K42" i="2"/>
  <c r="E49" i="8" s="1"/>
  <c r="I49" i="9"/>
  <c r="K47" i="9"/>
  <c r="N47" i="9" s="1"/>
  <c r="O47" i="9"/>
  <c r="P47" i="9" s="1"/>
  <c r="Q45" i="9"/>
  <c r="J17" i="8" l="1"/>
  <c r="L17" i="8" s="1"/>
  <c r="K17" i="8"/>
  <c r="H19" i="8"/>
  <c r="I21" i="8" s="1"/>
  <c r="K21" i="8" s="1"/>
  <c r="K19" i="8"/>
  <c r="K49" i="9"/>
  <c r="N49" i="9" s="1"/>
  <c r="I51" i="9"/>
  <c r="O49" i="9"/>
  <c r="P49" i="9" s="1"/>
  <c r="Q47" i="9"/>
  <c r="G47" i="2"/>
  <c r="F45" i="2"/>
  <c r="F47" i="2" s="1"/>
  <c r="J19" i="8" l="1"/>
  <c r="H21" i="8"/>
  <c r="J21" i="8"/>
  <c r="L19" i="8"/>
  <c r="Q49" i="9"/>
  <c r="O51" i="9"/>
  <c r="P51" i="9" s="1"/>
  <c r="K51" i="9"/>
  <c r="N51" i="9" s="1"/>
  <c r="I53" i="9"/>
  <c r="I23" i="8" l="1"/>
  <c r="K23" i="8" s="1"/>
  <c r="H23" i="8"/>
  <c r="L21" i="8"/>
  <c r="Q51" i="9"/>
  <c r="O53" i="9"/>
  <c r="P53" i="9" s="1"/>
  <c r="K53" i="9"/>
  <c r="N53" i="9" s="1"/>
  <c r="I55" i="9"/>
  <c r="H25" i="8" l="1"/>
  <c r="I25" i="8"/>
  <c r="K25" i="8" s="1"/>
  <c r="J23" i="8"/>
  <c r="Q53" i="9"/>
  <c r="O55" i="9"/>
  <c r="P55" i="9" s="1"/>
  <c r="K55" i="9"/>
  <c r="N55" i="9" s="1"/>
  <c r="I57" i="9"/>
  <c r="L23" i="8" l="1"/>
  <c r="J25" i="8"/>
  <c r="L25" i="8" s="1"/>
  <c r="I27" i="8"/>
  <c r="K27" i="8" s="1"/>
  <c r="H27" i="8"/>
  <c r="Q55" i="9"/>
  <c r="O57" i="9"/>
  <c r="P57" i="9" s="1"/>
  <c r="I59" i="9"/>
  <c r="K57" i="9"/>
  <c r="N57" i="9" s="1"/>
  <c r="J27" i="8" l="1"/>
  <c r="L27" i="8" s="1"/>
  <c r="H29" i="8"/>
  <c r="I29" i="8"/>
  <c r="K29" i="8" s="1"/>
  <c r="Q57" i="9"/>
  <c r="O59" i="9"/>
  <c r="P59" i="9" s="1"/>
  <c r="I61" i="9"/>
  <c r="K59" i="9"/>
  <c r="N59" i="9" s="1"/>
  <c r="I31" i="8" l="1"/>
  <c r="K31" i="8" s="1"/>
  <c r="H31" i="8"/>
  <c r="J29" i="8"/>
  <c r="O61" i="9"/>
  <c r="P61" i="9" s="1"/>
  <c r="Q59" i="9"/>
  <c r="I63" i="9"/>
  <c r="K61" i="9"/>
  <c r="N61" i="9" s="1"/>
  <c r="J31" i="8" l="1"/>
  <c r="L31" i="8" s="1"/>
  <c r="H33" i="8"/>
  <c r="I33" i="8"/>
  <c r="K33" i="8" s="1"/>
  <c r="L29" i="8"/>
  <c r="Q61" i="9"/>
  <c r="O63" i="9"/>
  <c r="P63" i="9" s="1"/>
  <c r="I65" i="9"/>
  <c r="K65" i="9" s="1"/>
  <c r="K63" i="9"/>
  <c r="N63" i="9" s="1"/>
  <c r="H35" i="8" l="1"/>
  <c r="I35" i="8"/>
  <c r="K35" i="8" s="1"/>
  <c r="J33" i="8"/>
  <c r="Q63" i="9"/>
  <c r="N65" i="9"/>
  <c r="O65" i="9"/>
  <c r="P65" i="9" s="1"/>
  <c r="J35" i="8" l="1"/>
  <c r="L35" i="8" s="1"/>
  <c r="H37" i="8"/>
  <c r="I37" i="8"/>
  <c r="K37" i="8" s="1"/>
  <c r="L33" i="8"/>
  <c r="Q65" i="9"/>
  <c r="I39" i="8" l="1"/>
  <c r="K39" i="8" s="1"/>
  <c r="K41" i="8" s="1"/>
  <c r="H39" i="8"/>
  <c r="H41" i="8" s="1"/>
  <c r="J37" i="8"/>
  <c r="I41" i="8" l="1"/>
  <c r="J39" i="8"/>
  <c r="J41" i="8" s="1"/>
  <c r="L37" i="8"/>
  <c r="L39" i="8" l="1"/>
  <c r="L41" i="8" s="1"/>
  <c r="G46" i="8" s="1"/>
  <c r="F44" i="8" l="1"/>
  <c r="F46" i="8" s="1"/>
</calcChain>
</file>

<file path=xl/sharedStrings.xml><?xml version="1.0" encoding="utf-8"?>
<sst xmlns="http://schemas.openxmlformats.org/spreadsheetml/2006/main" count="382" uniqueCount="145">
  <si>
    <t>Date</t>
  </si>
  <si>
    <t>Board File Number</t>
  </si>
  <si>
    <t xml:space="preserve"> 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</si>
  <si>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</si>
  <si>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</si>
  <si>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</si>
  <si>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</si>
  <si>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</si>
  <si>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</si>
  <si>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</si>
  <si>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</si>
  <si>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</si>
  <si>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</si>
  <si>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</si>
  <si>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</si>
  <si>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</si>
  <si>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</si>
  <si>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</si>
  <si>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</si>
  <si>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</si>
  <si>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</si>
  <si>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</si>
  <si>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</si>
  <si>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</si>
  <si>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</si>
  <si>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(1)</t>
  </si>
  <si>
    <t>(2)</t>
  </si>
  <si>
    <t>PGCVA Balance per M*3 Purchased ($/M*3)</t>
  </si>
  <si>
    <t>Forecast Average Residential Consumption per Customer</t>
  </si>
  <si>
    <t>Estimated Impact on Average Residential Customer</t>
  </si>
  <si>
    <t>Schedule 3</t>
  </si>
  <si>
    <t>COMPOSITION AND COST OF GAS BY SUPPLY SOURCE</t>
  </si>
  <si>
    <t>Volumes (m3)</t>
  </si>
  <si>
    <t>Price ($/m3)</t>
  </si>
  <si>
    <t>Total Gas Cost ($)</t>
  </si>
  <si>
    <t>Schedule 4</t>
  </si>
  <si>
    <t>ACTUAL AND FORECAST GAS PRICES</t>
  </si>
  <si>
    <t>($/GJ)</t>
  </si>
  <si>
    <t>Heat Value</t>
  </si>
  <si>
    <t>(GJ/103m3)</t>
  </si>
  <si>
    <t>Schedule 5</t>
  </si>
  <si>
    <t>Schedule 6</t>
  </si>
  <si>
    <t>Schedule 7</t>
  </si>
  <si>
    <t>FORECAST GAS PRICES</t>
  </si>
  <si>
    <t>Schedule 8</t>
  </si>
  <si>
    <t>PURCHASED GAS COMMODITY VARIANCE ACCOUNT</t>
  </si>
  <si>
    <t>(WITH CHANGE IN REFERENCE PRICE)</t>
  </si>
  <si>
    <t>Direct</t>
  </si>
  <si>
    <t>System</t>
  </si>
  <si>
    <t>Throughput</t>
  </si>
  <si>
    <t>Sales</t>
  </si>
  <si>
    <t>Deemed</t>
  </si>
  <si>
    <t>Inventory</t>
  </si>
  <si>
    <t>Cumulative</t>
  </si>
  <si>
    <t>GPRA</t>
  </si>
  <si>
    <t>Volume</t>
  </si>
  <si>
    <t>U.F.G.</t>
  </si>
  <si>
    <t>+ U.F.G.</t>
  </si>
  <si>
    <t>Balance</t>
  </si>
  <si>
    <t>Revaluation</t>
  </si>
  <si>
    <t>Rate</t>
  </si>
  <si>
    <t>Recovery</t>
  </si>
  <si>
    <t>A</t>
  </si>
  <si>
    <t>B</t>
  </si>
  <si>
    <t>C</t>
  </si>
  <si>
    <t>D=B-C</t>
  </si>
  <si>
    <t>E</t>
  </si>
  <si>
    <t>F=D+E</t>
  </si>
  <si>
    <t>G=A-F</t>
  </si>
  <si>
    <t>H</t>
  </si>
  <si>
    <t>I</t>
  </si>
  <si>
    <t>J</t>
  </si>
  <si>
    <t>K</t>
  </si>
  <si>
    <t>L=KxD</t>
  </si>
  <si>
    <t>M</t>
  </si>
  <si>
    <t>N</t>
  </si>
  <si>
    <t>O</t>
  </si>
  <si>
    <t>P=M+O</t>
  </si>
  <si>
    <t>Quarter</t>
  </si>
  <si>
    <t>Starting</t>
  </si>
  <si>
    <t>$</t>
  </si>
  <si>
    <t>Percent</t>
  </si>
  <si>
    <t>Change</t>
  </si>
  <si>
    <t>Average Residential Consumption for Quarter</t>
  </si>
  <si>
    <t>Monthly Charges</t>
  </si>
  <si>
    <t>Delivery Charges</t>
  </si>
  <si>
    <t>Total Commodity Charges</t>
  </si>
  <si>
    <t>Total Customer Charges</t>
  </si>
  <si>
    <t>RESIDENTIAL BILL COMPARISONS</t>
  </si>
  <si>
    <t>ANNUAL BILL IMPACT</t>
  </si>
  <si>
    <t>Average Residential Consumption</t>
  </si>
  <si>
    <t>QUARTERLY BILL IMPACT</t>
  </si>
  <si>
    <t/>
  </si>
  <si>
    <t>EPCOR NATURAL GAS LIMITED PARTNERSHIP</t>
  </si>
  <si>
    <t>GAS PURCHASE REBALANCING ACCOUNT</t>
  </si>
  <si>
    <t>Monthly Charge</t>
  </si>
  <si>
    <t>RATES USED (1)</t>
  </si>
  <si>
    <t>EGI Heat Value</t>
  </si>
  <si>
    <t>Schedule 9</t>
  </si>
  <si>
    <t>(1) Rates shown do not include any rate riders or carbon charges.</t>
  </si>
  <si>
    <t>Dawn Day Ahead Index</t>
  </si>
  <si>
    <t>AECO 5A</t>
  </si>
  <si>
    <t>Dawn Fixed Price</t>
  </si>
  <si>
    <t>Spot purchase</t>
  </si>
  <si>
    <t>Spot sale</t>
  </si>
  <si>
    <t>Spot Purchase</t>
  </si>
  <si>
    <t>Spot Sale</t>
  </si>
  <si>
    <t>Historical Period</t>
  </si>
  <si>
    <t>Projected Period</t>
  </si>
  <si>
    <t>Schedule 2</t>
  </si>
  <si>
    <t>Delivery Charge - first 100 m3</t>
  </si>
  <si>
    <t>Delivery Charge - next 400 m3</t>
  </si>
  <si>
    <t>Delivery Charge - after 500 m3</t>
  </si>
  <si>
    <t>Upstream Charges - Recovery</t>
  </si>
  <si>
    <t>Upstream Charges - Tport Storage</t>
  </si>
  <si>
    <t>Upstream Charges</t>
  </si>
  <si>
    <t>No residential consumption expected until October 2020</t>
  </si>
  <si>
    <t>Gas Supply Charge</t>
  </si>
  <si>
    <t>EB-2020-0206</t>
  </si>
  <si>
    <t>EB-2019-0264</t>
  </si>
  <si>
    <t>Actual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</si>
  <si>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</si>
  <si>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</si>
  <si>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</si>
  <si>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</si>
  <si>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</si>
  <si>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</si>
  <si>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</si>
  <si>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</si>
  <si>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</si>
  <si>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</si>
  <si>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</si>
  <si>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</si>
  <si>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(1) Includes</t>
  </si>
  <si>
    <t xml:space="preserve"> year-to-date balance of </t>
  </si>
  <si>
    <t xml:space="preserve">     (See Schedule 2)</t>
  </si>
  <si>
    <t>(2) Includes</t>
  </si>
  <si>
    <t>Consumption (GJ)</t>
  </si>
  <si>
    <t>Consumption (m3)</t>
  </si>
  <si>
    <t>Tier 1</t>
  </si>
  <si>
    <t>Tier 2</t>
  </si>
  <si>
    <t>Over</t>
  </si>
  <si>
    <t>PURCHASED GAS COMMODITY VARIANCE ACCOUNT - PROJECTED BALANCE</t>
  </si>
  <si>
    <t>Residential Customer Consumption Profile</t>
  </si>
  <si>
    <t>Sept,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</si>
</sst>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7" formatCode="&quot;$&quot;#,##0.00_);\(&quot;$&quot;#,##0.00\)"/>
    <numFmt numFmtId="43" formatCode="_(* #,##0.00_);_(* \(#,##0.00\);_(* &quot;-&quot;??_);_(@_)"/>
    <numFmt numFmtId="164" formatCode=";;;"/>
    <numFmt numFmtId="165" formatCode="#,##0.000000_);\(#,##0.000000\)"/>
    <numFmt numFmtId="166" formatCode="#,##0.0_);\(#,##0.0\)"/>
    <numFmt numFmtId="167" formatCode="0.000000_)"/>
    <numFmt numFmtId="168" formatCode="0.0_)"/>
    <numFmt numFmtId="169" formatCode="0.00_)"/>
    <numFmt numFmtId="170" formatCode="&quot;$&quot;#,##0.000000_);\(&quot;$&quot;#,##0.000000\)"/>
    <numFmt numFmtId="171" formatCode="mmm\-yy_)"/>
    <numFmt numFmtId="172" formatCode="#,##0.000_);\(#,##0.000\)"/>
    <numFmt numFmtId="173" formatCode="#,##0.0000000_);\(#,##0.0000000\)"/>
    <numFmt numFmtId="174" formatCode="dd\-mmm\-yy_)"/>
    <numFmt numFmtId="175" formatCode="0.0%"/>
    <numFmt numFmtId="176" formatCode="0.000000"/>
    <numFmt numFmtId="177" formatCode="#,##0.0"/>
    <numFmt numFmtId="178" formatCode="0.0"/>
    <numFmt numFmtId="179" formatCode="#,##0;\(#,##0\)"/>
    <numFmt numFmtId="180" formatCode="mmmm\,\ yyyy"/>
    <numFmt numFmtId="181" formatCode="mmmm"/>
    <numFmt numFmtId="182" formatCode="_(* #,##0_);_(* \(#,##0\);_(* &quot;-&quot;??_);_(@_)"/>
    <numFmt numFmtId="183" formatCode="_(* #,##0.000000_);_(* \(#,##0.000000\);_(* &quot;-&quot;??_);_(@_)"/>
    <numFmt numFmtId="184" formatCode="0.000"/>
  </numFmts>
  <fonts count="16" x14ac:knownFonts="1"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37" fontId="0" fillId="0" borderId="0" xfId="0" applyNumberFormat="1"/>
    <xf numFmtId="39" fontId="0" fillId="0" borderId="0" xfId="0" applyNumberFormat="1"/>
    <xf numFmtId="167" fontId="0" fillId="0" borderId="0" xfId="0" applyNumberFormat="1"/>
    <xf numFmtId="37" fontId="3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8" fillId="0" borderId="0" xfId="0" applyFont="1"/>
    <xf numFmtId="37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/>
    <xf numFmtId="7" fontId="5" fillId="0" borderId="0" xfId="0" applyNumberFormat="1" applyFont="1"/>
    <xf numFmtId="0" fontId="9" fillId="0" borderId="0" xfId="0" applyFont="1" applyProtection="1">
      <protection locked="0"/>
    </xf>
    <xf numFmtId="171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172" fontId="5" fillId="0" borderId="0" xfId="0" applyNumberFormat="1" applyFont="1"/>
    <xf numFmtId="172" fontId="9" fillId="0" borderId="0" xfId="0" applyNumberFormat="1" applyFont="1" applyProtection="1">
      <protection locked="0"/>
    </xf>
    <xf numFmtId="0" fontId="8" fillId="0" borderId="0" xfId="0" applyFont="1" applyAlignment="1">
      <alignment horizontal="centerContinuous"/>
    </xf>
    <xf numFmtId="49" fontId="5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/>
    <xf numFmtId="49" fontId="11" fillId="0" borderId="0" xfId="0" applyNumberFormat="1" applyFont="1"/>
    <xf numFmtId="0" fontId="11" fillId="0" borderId="0" xfId="0" quotePrefix="1" applyFont="1"/>
    <xf numFmtId="17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quotePrefix="1" applyFont="1"/>
    <xf numFmtId="10" fontId="11" fillId="0" borderId="0" xfId="0" applyNumberFormat="1" applyFont="1"/>
    <xf numFmtId="3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7" fontId="5" fillId="0" borderId="0" xfId="0" applyNumberFormat="1" applyFont="1" applyProtection="1">
      <protection locked="0"/>
    </xf>
    <xf numFmtId="179" fontId="5" fillId="0" borderId="0" xfId="0" applyNumberFormat="1" applyFont="1"/>
    <xf numFmtId="0" fontId="0" fillId="0" borderId="0" xfId="0" applyAlignment="1">
      <alignment horizontal="center"/>
    </xf>
    <xf numFmtId="168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177" fontId="5" fillId="0" borderId="0" xfId="0" quotePrefix="1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39" fontId="5" fillId="0" borderId="0" xfId="0" quotePrefix="1" applyNumberFormat="1" applyFont="1"/>
    <xf numFmtId="179" fontId="3" fillId="0" borderId="0" xfId="0" applyNumberFormat="1" applyFont="1"/>
    <xf numFmtId="165" fontId="3" fillId="0" borderId="0" xfId="0" applyNumberFormat="1" applyFont="1"/>
    <xf numFmtId="39" fontId="3" fillId="0" borderId="0" xfId="0" applyNumberFormat="1" applyFont="1"/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77" fontId="3" fillId="0" borderId="0" xfId="0" applyNumberFormat="1" applyFont="1" applyAlignment="1">
      <alignment horizontal="center"/>
    </xf>
    <xf numFmtId="169" fontId="5" fillId="0" borderId="0" xfId="0" applyNumberFormat="1" applyFont="1"/>
    <xf numFmtId="166" fontId="3" fillId="0" borderId="0" xfId="0" applyNumberFormat="1" applyFont="1"/>
    <xf numFmtId="176" fontId="5" fillId="0" borderId="0" xfId="0" applyNumberFormat="1" applyFont="1"/>
    <xf numFmtId="169" fontId="5" fillId="0" borderId="0" xfId="0" applyNumberFormat="1" applyFont="1" applyProtection="1">
      <protection locked="0"/>
    </xf>
    <xf numFmtId="37" fontId="5" fillId="0" borderId="0" xfId="0" applyNumberFormat="1" applyFont="1" applyProtection="1">
      <protection locked="0"/>
    </xf>
    <xf numFmtId="0" fontId="5" fillId="0" borderId="0" xfId="0" applyFont="1"/>
    <xf numFmtId="0" fontId="0" fillId="0" borderId="0" xfId="0"/>
    <xf numFmtId="0" fontId="5" fillId="0" borderId="0" xfId="0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80" fontId="5" fillId="0" borderId="0" xfId="0" applyNumberFormat="1" applyFont="1" applyProtection="1">
      <protection locked="0"/>
    </xf>
    <xf numFmtId="17" fontId="3" fillId="0" borderId="0" xfId="0" applyNumberFormat="1" applyFont="1" applyProtection="1">
      <protection locked="0"/>
    </xf>
    <xf numFmtId="17" fontId="3" fillId="0" borderId="0" xfId="0" applyNumberFormat="1" applyFont="1"/>
    <xf numFmtId="181" fontId="5" fillId="0" borderId="0" xfId="0" applyNumberFormat="1" applyFont="1" applyAlignment="1">
      <alignment horizontal="left"/>
    </xf>
    <xf numFmtId="0" fontId="5" fillId="0" borderId="0" xfId="0" applyNumberFormat="1" applyFont="1"/>
    <xf numFmtId="180" fontId="11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80" fontId="6" fillId="0" borderId="0" xfId="0" applyNumberFormat="1" applyFont="1" applyAlignment="1">
      <alignment horizontal="right"/>
    </xf>
    <xf numFmtId="18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/>
    <xf numFmtId="0" fontId="15" fillId="0" borderId="0" xfId="0" applyFont="1"/>
    <xf numFmtId="0" fontId="3" fillId="0" borderId="0" xfId="0" applyFont="1"/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0" fontId="0" fillId="0" borderId="0" xfId="0"/>
    <xf numFmtId="181" fontId="0" fillId="0" borderId="0" xfId="0" applyNumberFormat="1"/>
    <xf numFmtId="0" fontId="1" fillId="0" borderId="0" xfId="0" applyFont="1"/>
    <xf numFmtId="184" fontId="0" fillId="0" borderId="0" xfId="0" applyNumberFormat="1"/>
    <xf numFmtId="1" fontId="0" fillId="0" borderId="0" xfId="0" applyNumberFormat="1"/>
    <xf numFmtId="39" fontId="5" fillId="0" borderId="0" xfId="0" applyNumberFormat="1" applyFont="1" applyFill="1"/>
    <xf numFmtId="7" fontId="5" fillId="0" borderId="0" xfId="0" quotePrefix="1" applyNumberFormat="1" applyFont="1" applyFill="1" applyAlignment="1">
      <alignment horizontal="center"/>
    </xf>
    <xf numFmtId="0" fontId="6" fillId="0" borderId="0" xfId="0" applyFont="1" applyFill="1"/>
    <xf numFmtId="18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Continuous"/>
    </xf>
    <xf numFmtId="3" fontId="3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39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13" fillId="0" borderId="0" xfId="0" applyFont="1" applyFill="1"/>
    <xf numFmtId="177" fontId="3" fillId="0" borderId="0" xfId="0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7" fontId="5" fillId="0" borderId="0" xfId="0" applyNumberFormat="1" applyFont="1" applyFill="1"/>
    <xf numFmtId="182" fontId="5" fillId="0" borderId="0" xfId="2" applyNumberFormat="1" applyFont="1" applyFill="1"/>
    <xf numFmtId="183" fontId="5" fillId="0" borderId="0" xfId="2" applyNumberFormat="1" applyFont="1" applyFill="1"/>
    <xf numFmtId="178" fontId="5" fillId="0" borderId="0" xfId="0" applyNumberFormat="1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0" borderId="0" xfId="0" quotePrefix="1" applyFont="1" applyFill="1"/>
    <xf numFmtId="167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3" fontId="5" fillId="0" borderId="0" xfId="0" applyNumberFormat="1" applyFont="1" applyFill="1"/>
    <xf numFmtId="37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0" fontId="5" fillId="0" borderId="0" xfId="1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/>
    <xf numFmtId="168" fontId="5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68" fontId="5" fillId="0" borderId="0" xfId="0" applyNumberFormat="1" applyFont="1" applyFill="1"/>
    <xf numFmtId="170" fontId="5" fillId="0" borderId="0" xfId="0" applyNumberFormat="1" applyFont="1" applyFill="1"/>
    <xf numFmtId="164" fontId="5" fillId="0" borderId="0" xfId="0" applyNumberFormat="1" applyFont="1" applyFill="1"/>
    <xf numFmtId="166" fontId="3" fillId="0" borderId="0" xfId="0" applyNumberFormat="1" applyFont="1" applyFill="1"/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7" fontId="5" fillId="0" borderId="0" xfId="0" applyNumberFormat="1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Continuous"/>
    </xf>
    <xf numFmtId="165" fontId="5" fillId="0" borderId="0" xfId="0" applyNumberFormat="1" applyFont="1" applyFill="1" applyProtection="1">
      <protection locked="0"/>
    </xf>
    <xf numFmtId="39" fontId="5" fillId="0" borderId="0" xfId="0" applyNumberFormat="1" applyFont="1" applyFill="1" applyProtection="1">
      <protection locked="0"/>
    </xf>
    <xf numFmtId="10" fontId="0" fillId="0" borderId="0" xfId="0" applyNumberFormat="1" applyFill="1" applyAlignment="1">
      <alignment horizontal="center"/>
    </xf>
    <xf numFmtId="165" fontId="5" fillId="0" borderId="0" xfId="0" quotePrefix="1" applyNumberFormat="1" applyFont="1" applyFill="1" applyProtection="1">
      <protection locked="0"/>
    </xf>
    <xf numFmtId="0" fontId="0" fillId="0" borderId="0" xfId="0" applyFill="1" applyAlignment="1">
      <alignment horizontal="center"/>
    </xf>
    <xf numFmtId="37" fontId="8" fillId="0" borderId="0" xfId="0" applyNumberFormat="1" applyFont="1" applyFill="1"/>
    <xf numFmtId="39" fontId="8" fillId="0" borderId="0" xfId="0" applyNumberFormat="1" applyFont="1" applyFill="1"/>
    <xf numFmtId="39" fontId="8" fillId="0" borderId="0" xfId="0" applyNumberFormat="1" applyFont="1" applyFill="1" applyProtection="1">
      <protection locked="0"/>
    </xf>
    <xf numFmtId="165" fontId="0" fillId="0" borderId="0" xfId="0" applyNumberFormat="1" applyFill="1"/>
    <xf numFmtId="37" fontId="3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165" fontId="9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167" fontId="5" fillId="0" borderId="0" xfId="0" applyNumberFormat="1" applyFont="1" applyFill="1" applyProtection="1">
      <protection locked="0"/>
    </xf>
    <xf numFmtId="173" fontId="5" fillId="0" borderId="0" xfId="0" applyNumberFormat="1" applyFont="1" applyFill="1"/>
    <xf numFmtId="167" fontId="9" fillId="0" borderId="0" xfId="0" applyNumberFormat="1" applyFont="1" applyFill="1" applyProtection="1">
      <protection locked="0"/>
    </xf>
    <xf numFmtId="170" fontId="5" fillId="0" borderId="0" xfId="0" applyNumberFormat="1" applyFont="1" applyFill="1" applyProtection="1">
      <protection locked="0"/>
    </xf>
    <xf numFmtId="0" fontId="6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2" fillId="0" borderId="0" xfId="0" applyFont="1" applyFill="1" applyAlignment="1">
      <alignment horizontal="centerContinuous"/>
    </xf>
    <xf numFmtId="174" fontId="5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178" fontId="5" fillId="0" borderId="0" xfId="0" applyNumberFormat="1" applyFont="1" applyFill="1" applyAlignment="1" applyProtection="1">
      <alignment horizontal="center"/>
      <protection locked="0"/>
    </xf>
    <xf numFmtId="175" fontId="5" fillId="0" borderId="0" xfId="0" applyNumberFormat="1" applyFont="1" applyFill="1" applyAlignment="1">
      <alignment horizontal="center"/>
    </xf>
    <xf numFmtId="7" fontId="3" fillId="0" borderId="0" xfId="0" applyNumberFormat="1" applyFont="1" applyFill="1" applyAlignment="1">
      <alignment horizontal="center"/>
    </xf>
    <xf numFmtId="175" fontId="3" fillId="0" borderId="0" xfId="0" applyNumberFormat="1" applyFont="1" applyFill="1" applyAlignment="1">
      <alignment horizontal="center"/>
    </xf>
    <xf numFmtId="175" fontId="5" fillId="0" borderId="0" xfId="0" applyNumberFormat="1" applyFont="1" applyFill="1"/>
    <xf numFmtId="0" fontId="2" fillId="0" borderId="0" xfId="0" applyFont="1" applyFill="1" applyAlignment="1" applyProtection="1">
      <alignment horizontal="centerContinuous"/>
      <protection locked="0"/>
    </xf>
    <xf numFmtId="14" fontId="0" fillId="0" borderId="0" xfId="0" applyNumberFormat="1" applyFill="1"/>
    <xf numFmtId="177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174" fontId="5" fillId="0" borderId="0" xfId="0" applyNumberFormat="1" applyFont="1" applyFill="1" applyAlignment="1">
      <alignment horizontal="center"/>
    </xf>
    <xf numFmtId="176" fontId="5" fillId="0" borderId="0" xfId="0" quotePrefix="1" applyNumberFormat="1" applyFont="1" applyFill="1"/>
    <xf numFmtId="0" fontId="5" fillId="0" borderId="0" xfId="0" quotePrefix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6" fontId="0" fillId="0" borderId="0" xfId="0" applyNumberForma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D36"/>
  <sheetViews>
    <sheetView defaultGridColor="0" colorId="22" zoomScale="87" workbookViewId="0">
      <selection activeCell="A15" sqref="A1:XFD1048576"/>
    </sheetView>
  </sheetViews>
  <sheetFormatPr defaultColWidth="12.6640625" defaultRowHeight="15" x14ac:dyDescent="0.2"/>
  <cols>
    <col min="1" max="1" width="12.77734375" customWidth="1"/>
    <col min="4" max="4" width="14.88671875" bestFit="1" customWidth="1"/>
  </cols>
  <sheetData>
    <row r="1" spans="1:4" x14ac:dyDescent="0.2">
      <c r="A1" s="9" t="s">
        <v>0</v>
      </c>
      <c r="B1" s="9"/>
      <c r="C1" s="69">
        <v>44105</v>
      </c>
    </row>
    <row r="2" spans="1:4" ht="15.75" x14ac:dyDescent="0.25">
      <c r="A2" s="9" t="s">
        <v>1</v>
      </c>
      <c r="B2" s="9"/>
      <c r="C2" s="79" t="s">
        <v>118</v>
      </c>
    </row>
    <row r="3" spans="1:4" x14ac:dyDescent="0.2">
      <c r="A3" s="9"/>
      <c r="B3" s="9"/>
      <c r="C3" s="34" t="s">
        <v>2</v>
      </c>
    </row>
    <row r="4" spans="1:4" x14ac:dyDescent="0.2">
      <c r="A4" s="9" t="s">
        <v>107</v>
      </c>
      <c r="B4" s="9"/>
      <c r="C4" s="74">
        <f>EOMONTH(C1,-13)+1</f>
        <v>43739</v>
      </c>
      <c r="D4" s="74">
        <f>(EOMONTH(C4,11))</f>
        <v>44104</v>
      </c>
    </row>
    <row r="5" spans="1:4" x14ac:dyDescent="0.2">
      <c r="A5" s="66" t="s">
        <v>108</v>
      </c>
      <c r="B5" s="9"/>
      <c r="C5" s="74">
        <f>C1</f>
        <v>44105</v>
      </c>
      <c r="D5" s="74">
        <f>(EOMONTH(C5,11))</f>
        <v>44469</v>
      </c>
    </row>
    <row r="6" spans="1:4" x14ac:dyDescent="0.2">
      <c r="A6" s="9"/>
      <c r="B6" s="9"/>
      <c r="C6" s="33"/>
    </row>
    <row r="7" spans="1:4" x14ac:dyDescent="0.2">
      <c r="A7" s="9"/>
      <c r="B7" s="9"/>
      <c r="C7" s="33"/>
    </row>
    <row r="8" spans="1:4" x14ac:dyDescent="0.2">
      <c r="A8" s="9"/>
      <c r="B8" s="9"/>
      <c r="C8" s="33"/>
    </row>
    <row r="9" spans="1:4" x14ac:dyDescent="0.2">
      <c r="A9" s="9"/>
      <c r="B9" s="9"/>
      <c r="C9" s="23"/>
    </row>
    <row r="10" spans="1:4" x14ac:dyDescent="0.2">
      <c r="A10" s="9"/>
      <c r="B10" s="9"/>
      <c r="C10" s="9"/>
    </row>
    <row r="11" spans="1:4" x14ac:dyDescent="0.2">
      <c r="A11" s="36"/>
      <c r="B11" s="9"/>
      <c r="C11" s="23"/>
    </row>
    <row r="12" spans="1:4" x14ac:dyDescent="0.2">
      <c r="A12" s="34"/>
      <c r="B12" s="9"/>
      <c r="C12" s="9"/>
    </row>
    <row r="13" spans="1:4" x14ac:dyDescent="0.2">
      <c r="A13" s="36"/>
      <c r="B13" s="9"/>
      <c r="C13" s="32"/>
    </row>
    <row r="14" spans="1:4" x14ac:dyDescent="0.2">
      <c r="A14" s="34"/>
      <c r="B14" s="9"/>
      <c r="C14" s="9"/>
    </row>
    <row r="15" spans="1:4" x14ac:dyDescent="0.2">
      <c r="A15" s="36"/>
      <c r="B15" s="9"/>
      <c r="C15" s="9"/>
    </row>
    <row r="16" spans="1:4" x14ac:dyDescent="0.2">
      <c r="A16" s="34"/>
      <c r="B16" s="9"/>
      <c r="C16" s="9"/>
    </row>
    <row r="17" spans="1:3" x14ac:dyDescent="0.2">
      <c r="A17" s="36"/>
      <c r="B17" s="9"/>
      <c r="C17" s="9"/>
    </row>
    <row r="18" spans="1:3" x14ac:dyDescent="0.2">
      <c r="A18" s="34"/>
      <c r="B18" s="9"/>
      <c r="C18" s="9"/>
    </row>
    <row r="19" spans="1:3" x14ac:dyDescent="0.2">
      <c r="A19" s="36"/>
      <c r="B19" s="9"/>
      <c r="C19" s="9"/>
    </row>
    <row r="20" spans="1:3" x14ac:dyDescent="0.2">
      <c r="A20" s="34"/>
      <c r="B20" s="9"/>
      <c r="C20" s="9"/>
    </row>
    <row r="21" spans="1:3" x14ac:dyDescent="0.2">
      <c r="A21" s="36"/>
      <c r="B21" s="9"/>
      <c r="C21" s="9"/>
    </row>
    <row r="22" spans="1:3" x14ac:dyDescent="0.2">
      <c r="A22" s="34"/>
      <c r="B22" s="9"/>
      <c r="C22" s="9"/>
    </row>
    <row r="23" spans="1:3" x14ac:dyDescent="0.2">
      <c r="A23" s="36"/>
      <c r="B23" s="9"/>
      <c r="C23" s="9"/>
    </row>
    <row r="24" spans="1:3" x14ac:dyDescent="0.2">
      <c r="A24" s="35"/>
      <c r="B24" s="9"/>
      <c r="C24" s="9"/>
    </row>
    <row r="25" spans="1:3" x14ac:dyDescent="0.2">
      <c r="A25" s="36"/>
      <c r="B25" s="9"/>
      <c r="C25" s="9"/>
    </row>
    <row r="26" spans="1:3" x14ac:dyDescent="0.2">
      <c r="A26" s="35"/>
      <c r="B26" s="9"/>
      <c r="C26" s="9"/>
    </row>
    <row r="27" spans="1:3" x14ac:dyDescent="0.2">
      <c r="A27" s="36"/>
      <c r="B27" s="9"/>
      <c r="C27" s="9"/>
    </row>
    <row r="28" spans="1:3" x14ac:dyDescent="0.2">
      <c r="A28" s="34"/>
      <c r="B28" s="9"/>
      <c r="C28" s="9"/>
    </row>
    <row r="29" spans="1:3" x14ac:dyDescent="0.2">
      <c r="A29" s="36"/>
      <c r="B29" s="9"/>
      <c r="C29" s="9"/>
    </row>
    <row r="30" spans="1:3" x14ac:dyDescent="0.2">
      <c r="A30" s="35"/>
      <c r="B30" s="9"/>
      <c r="C30" s="9"/>
    </row>
    <row r="31" spans="1:3" x14ac:dyDescent="0.2">
      <c r="A31" s="36"/>
      <c r="B31" s="9"/>
      <c r="C31" s="9"/>
    </row>
    <row r="32" spans="1:3" x14ac:dyDescent="0.2">
      <c r="A32" s="35"/>
      <c r="B32" s="9"/>
      <c r="C32" s="9"/>
    </row>
    <row r="33" spans="1:3" x14ac:dyDescent="0.2">
      <c r="A33" s="36"/>
      <c r="B33" s="9"/>
      <c r="C33" s="9"/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</sheetData>
  <phoneticPr fontId="4" type="noConversion"/>
  <printOptions horizontalCentered="1"/>
  <pageMargins left="0.23622047244094491" right="0.47244094488188981" top="0.51181102362204722" bottom="0.23622047244094491" header="0.51181102362204722" footer="0.51181102362204722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5" zoomScaleNormal="85" workbookViewId="0">
      <selection activeCell="F30" sqref="F30"/>
    </sheetView>
  </sheetViews>
  <sheetFormatPr defaultRowHeight="15" x14ac:dyDescent="0.2"/>
  <cols>
    <col min="1" max="1" width="17.33203125" customWidth="1"/>
    <col min="2" max="13" width="12" bestFit="1" customWidth="1"/>
  </cols>
  <sheetData>
    <row r="1" spans="1:13" s="83" customFormat="1" ht="15.75" x14ac:dyDescent="0.25">
      <c r="A1" s="85" t="s">
        <v>143</v>
      </c>
    </row>
    <row r="2" spans="1:13" s="83" customFormat="1" ht="15.75" x14ac:dyDescent="0.25">
      <c r="A2" s="85"/>
    </row>
    <row r="3" spans="1:13" x14ac:dyDescent="0.2">
      <c r="A3" s="83" t="s">
        <v>20</v>
      </c>
      <c r="B3" s="84">
        <v>43831</v>
      </c>
      <c r="C3" s="84">
        <f>EOMONTH(B3,0)+1</f>
        <v>43862</v>
      </c>
      <c r="D3" s="84">
        <f t="shared" ref="D3:M3" si="0">EOMONTH(C3,0)+1</f>
        <v>43891</v>
      </c>
      <c r="E3" s="84">
        <f t="shared" si="0"/>
        <v>43922</v>
      </c>
      <c r="F3" s="84">
        <f t="shared" si="0"/>
        <v>43952</v>
      </c>
      <c r="G3" s="84">
        <f t="shared" si="0"/>
        <v>43983</v>
      </c>
      <c r="H3" s="84">
        <f t="shared" si="0"/>
        <v>44013</v>
      </c>
      <c r="I3" s="84">
        <f t="shared" si="0"/>
        <v>44044</v>
      </c>
      <c r="J3" s="84">
        <f t="shared" si="0"/>
        <v>44075</v>
      </c>
      <c r="K3" s="84">
        <f t="shared" si="0"/>
        <v>44105</v>
      </c>
      <c r="L3" s="84">
        <f t="shared" si="0"/>
        <v>44136</v>
      </c>
      <c r="M3" s="84">
        <f t="shared" si="0"/>
        <v>44166</v>
      </c>
    </row>
    <row r="4" spans="1:13" x14ac:dyDescent="0.2">
      <c r="A4" s="83" t="s">
        <v>137</v>
      </c>
      <c r="B4" s="86">
        <f t="shared" ref="B4:M4" si="1">B5*0.03889</f>
        <v>12.30183420417994</v>
      </c>
      <c r="C4" s="86">
        <f t="shared" si="1"/>
        <v>12.343604286450082</v>
      </c>
      <c r="D4" s="86">
        <f t="shared" si="1"/>
        <v>10.452421205322711</v>
      </c>
      <c r="E4" s="86">
        <f t="shared" si="1"/>
        <v>7.6022101443610337</v>
      </c>
      <c r="F4" s="86">
        <f t="shared" si="1"/>
        <v>4.8861748500348039</v>
      </c>
      <c r="G4" s="86">
        <f t="shared" si="1"/>
        <v>2.9955410783799961</v>
      </c>
      <c r="H4" s="86">
        <f t="shared" si="1"/>
        <v>2.3991217987464055</v>
      </c>
      <c r="I4" s="86">
        <f t="shared" si="1"/>
        <v>2.4496175722989473</v>
      </c>
      <c r="J4" s="86">
        <f t="shared" si="1"/>
        <v>3.3789025935939452</v>
      </c>
      <c r="K4" s="86">
        <f t="shared" si="1"/>
        <v>5.6731840260909339</v>
      </c>
      <c r="L4" s="86">
        <f t="shared" si="1"/>
        <v>8.2788624379880034</v>
      </c>
      <c r="M4" s="86">
        <f t="shared" si="1"/>
        <v>10.81313580255317</v>
      </c>
    </row>
    <row r="5" spans="1:13" x14ac:dyDescent="0.2">
      <c r="A5" s="83" t="s">
        <v>138</v>
      </c>
      <c r="B5" s="86">
        <v>316.3238417120067</v>
      </c>
      <c r="C5" s="86">
        <v>317.39789885446339</v>
      </c>
      <c r="D5" s="86">
        <v>268.76886616926487</v>
      </c>
      <c r="E5" s="86">
        <v>195.47981857446732</v>
      </c>
      <c r="F5" s="86">
        <v>125.64090640356913</v>
      </c>
      <c r="G5" s="86">
        <v>77.025998415530879</v>
      </c>
      <c r="H5" s="86">
        <v>61.689940826598239</v>
      </c>
      <c r="I5" s="86">
        <v>62.988366477216438</v>
      </c>
      <c r="J5" s="86">
        <v>86.883584304292754</v>
      </c>
      <c r="K5" s="86">
        <v>145.87770702213766</v>
      </c>
      <c r="L5" s="86">
        <v>212.87895186392396</v>
      </c>
      <c r="M5" s="86">
        <v>278.04411937652787</v>
      </c>
    </row>
    <row r="6" spans="1:13" x14ac:dyDescent="0.2">
      <c r="A6" s="83" t="s">
        <v>139</v>
      </c>
      <c r="B6" s="87">
        <f>MIN(100,B5)</f>
        <v>100</v>
      </c>
      <c r="C6" s="87">
        <f t="shared" ref="C6:M6" si="2">MIN(100,C5)</f>
        <v>100</v>
      </c>
      <c r="D6" s="87">
        <f t="shared" si="2"/>
        <v>100</v>
      </c>
      <c r="E6" s="87">
        <f t="shared" si="2"/>
        <v>100</v>
      </c>
      <c r="F6" s="87">
        <f t="shared" si="2"/>
        <v>100</v>
      </c>
      <c r="G6" s="86">
        <f t="shared" si="2"/>
        <v>77.025998415530879</v>
      </c>
      <c r="H6" s="86">
        <f t="shared" si="2"/>
        <v>61.689940826598239</v>
      </c>
      <c r="I6" s="86">
        <f t="shared" si="2"/>
        <v>62.988366477216438</v>
      </c>
      <c r="J6" s="86">
        <f t="shared" si="2"/>
        <v>86.883584304292754</v>
      </c>
      <c r="K6" s="87">
        <f t="shared" si="2"/>
        <v>100</v>
      </c>
      <c r="L6" s="87">
        <f t="shared" si="2"/>
        <v>100</v>
      </c>
      <c r="M6" s="87">
        <f t="shared" si="2"/>
        <v>100</v>
      </c>
    </row>
    <row r="7" spans="1:13" x14ac:dyDescent="0.2">
      <c r="A7" s="83" t="s">
        <v>140</v>
      </c>
      <c r="B7" s="86">
        <f>MAX(MIN(B5,300+100)-100,0)</f>
        <v>216.3238417120067</v>
      </c>
      <c r="C7" s="86">
        <f t="shared" ref="C7:M7" si="3">MAX(MIN(C5,300+100)-100,0)</f>
        <v>217.39789885446339</v>
      </c>
      <c r="D7" s="86">
        <f t="shared" si="3"/>
        <v>168.76886616926487</v>
      </c>
      <c r="E7" s="86">
        <f t="shared" si="3"/>
        <v>95.479818574467316</v>
      </c>
      <c r="F7" s="86">
        <f t="shared" si="3"/>
        <v>25.640906403569133</v>
      </c>
      <c r="G7" s="87">
        <f t="shared" si="3"/>
        <v>0</v>
      </c>
      <c r="H7" s="87">
        <f t="shared" si="3"/>
        <v>0</v>
      </c>
      <c r="I7" s="87">
        <f t="shared" si="3"/>
        <v>0</v>
      </c>
      <c r="J7" s="87">
        <f t="shared" si="3"/>
        <v>0</v>
      </c>
      <c r="K7" s="86">
        <f t="shared" si="3"/>
        <v>45.877707022137656</v>
      </c>
      <c r="L7" s="86">
        <f t="shared" si="3"/>
        <v>112.87895186392396</v>
      </c>
      <c r="M7" s="86">
        <f t="shared" si="3"/>
        <v>178.04411937652787</v>
      </c>
    </row>
    <row r="8" spans="1:13" x14ac:dyDescent="0.2">
      <c r="A8" s="83" t="s">
        <v>141</v>
      </c>
      <c r="B8" s="87">
        <f>MAX(B5-B6-B7,0)</f>
        <v>0</v>
      </c>
      <c r="C8" s="87">
        <f t="shared" ref="C8:M8" si="4">MAX(C5-C6-C7,0)</f>
        <v>0</v>
      </c>
      <c r="D8" s="87">
        <f t="shared" si="4"/>
        <v>0</v>
      </c>
      <c r="E8" s="87">
        <f t="shared" si="4"/>
        <v>0</v>
      </c>
      <c r="F8" s="87">
        <f t="shared" si="4"/>
        <v>0</v>
      </c>
      <c r="G8" s="87">
        <f t="shared" si="4"/>
        <v>0</v>
      </c>
      <c r="H8" s="87">
        <f t="shared" si="4"/>
        <v>0</v>
      </c>
      <c r="I8" s="87">
        <f t="shared" si="4"/>
        <v>0</v>
      </c>
      <c r="J8" s="87">
        <f t="shared" si="4"/>
        <v>0</v>
      </c>
      <c r="K8" s="87">
        <f t="shared" si="4"/>
        <v>0</v>
      </c>
      <c r="L8" s="87">
        <f t="shared" si="4"/>
        <v>0</v>
      </c>
      <c r="M8" s="87">
        <f t="shared" si="4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3"/>
  <sheetViews>
    <sheetView defaultGridColor="0" topLeftCell="A16" colorId="22" zoomScale="87" workbookViewId="0">
      <selection activeCell="K45" sqref="K45"/>
    </sheetView>
  </sheetViews>
  <sheetFormatPr defaultColWidth="9.77734375" defaultRowHeight="15" x14ac:dyDescent="0.2"/>
  <cols>
    <col min="4" max="4" width="12.109375" customWidth="1"/>
    <col min="5" max="5" width="10.21875" bestFit="1" customWidth="1"/>
    <col min="6" max="6" width="10.88671875" customWidth="1"/>
    <col min="7" max="7" width="10.77734375" customWidth="1"/>
    <col min="8" max="9" width="12.77734375" customWidth="1"/>
    <col min="10" max="10" width="10.33203125" bestFit="1" customWidth="1"/>
    <col min="11" max="11" width="10.33203125" customWidth="1"/>
    <col min="12" max="12" width="13.33203125" customWidth="1"/>
    <col min="13" max="13" width="11.44140625" customWidth="1"/>
    <col min="14" max="14" width="12.109375" customWidth="1"/>
    <col min="15" max="15" width="2.6640625" customWidth="1"/>
    <col min="16" max="16" width="13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  <c r="O1" s="10"/>
    </row>
    <row r="2" spans="1:16" ht="15.75" x14ac:dyDescent="0.25">
      <c r="A2" s="7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P2" s="77">
        <f>Info!$C$1</f>
        <v>44105</v>
      </c>
    </row>
    <row r="3" spans="1:16" ht="15.75" x14ac:dyDescent="0.25">
      <c r="A3" s="9"/>
      <c r="B3" s="9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P3" s="75" t="str">
        <f>Info!$C$2</f>
        <v>EB-2020-0206</v>
      </c>
    </row>
    <row r="4" spans="1:16" ht="15.75" x14ac:dyDescent="0.25">
      <c r="A4" s="9"/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 t="s">
        <v>2</v>
      </c>
      <c r="P4" s="78" t="s">
        <v>109</v>
      </c>
    </row>
    <row r="5" spans="1:16" ht="15.75" x14ac:dyDescent="0.25">
      <c r="A5" s="9"/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</row>
    <row r="6" spans="1:16" ht="15.75" x14ac:dyDescent="0.25">
      <c r="A6" s="132" t="s">
        <v>93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x14ac:dyDescent="0.25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5.75" x14ac:dyDescent="0.25">
      <c r="A8" s="130" t="s">
        <v>142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15.75" x14ac:dyDescent="0.2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15.75" x14ac:dyDescent="0.25">
      <c r="A10" s="133" t="str">
        <f>"HISTORICAL TWELVE MONTH PERIOD - "&amp;UPPER(TEXT(Info!$C$4,"mmmm, yyyy"))&amp;" TO "&amp;UPPER(TEXT(Info!$D$4,"mmmm, yyyy"))</f>
        <v>HISTORICAL TWELVE MONTH PERIOD - OCTOBER, 2019 TO SEPTEMBER, 2020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1:16" ht="15.75" x14ac:dyDescent="0.25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9"/>
    </row>
    <row r="12" spans="1:16" x14ac:dyDescent="0.2">
      <c r="A12" s="9"/>
      <c r="B12" s="9"/>
      <c r="C12" s="9"/>
      <c r="D12" s="9"/>
      <c r="E12" s="14" t="s">
        <v>3</v>
      </c>
      <c r="F12" s="9"/>
      <c r="G12" s="9"/>
      <c r="H12" s="9"/>
      <c r="I12" s="9"/>
      <c r="J12" s="9"/>
      <c r="K12" s="9"/>
      <c r="L12" s="9"/>
      <c r="M12" s="14" t="s">
        <v>4</v>
      </c>
      <c r="N12" s="14" t="s">
        <v>5</v>
      </c>
      <c r="O12" s="14"/>
      <c r="P12" s="9"/>
    </row>
    <row r="13" spans="1:16" x14ac:dyDescent="0.2">
      <c r="A13" s="9"/>
      <c r="B13" s="9"/>
      <c r="C13" s="14" t="s">
        <v>6</v>
      </c>
      <c r="D13" s="9"/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10</v>
      </c>
      <c r="K13" s="14" t="s">
        <v>11</v>
      </c>
      <c r="L13" s="14" t="s">
        <v>4</v>
      </c>
      <c r="M13" s="14" t="s">
        <v>11</v>
      </c>
      <c r="N13" s="14" t="s">
        <v>12</v>
      </c>
      <c r="O13" s="14"/>
      <c r="P13" s="11" t="s">
        <v>10</v>
      </c>
    </row>
    <row r="14" spans="1:16" x14ac:dyDescent="0.2">
      <c r="A14" s="9"/>
      <c r="B14" s="9"/>
      <c r="C14" s="14" t="s">
        <v>13</v>
      </c>
      <c r="D14" s="9"/>
      <c r="E14" s="14" t="s">
        <v>14</v>
      </c>
      <c r="F14" s="14" t="s">
        <v>14</v>
      </c>
      <c r="G14" s="14" t="s">
        <v>15</v>
      </c>
      <c r="H14" s="14" t="s">
        <v>16</v>
      </c>
      <c r="I14" s="14" t="s">
        <v>16</v>
      </c>
      <c r="J14" s="14" t="s">
        <v>17</v>
      </c>
      <c r="K14" s="14" t="s">
        <v>17</v>
      </c>
      <c r="L14" s="14" t="s">
        <v>16</v>
      </c>
      <c r="M14" s="14" t="s">
        <v>16</v>
      </c>
      <c r="N14" s="14" t="s">
        <v>18</v>
      </c>
      <c r="O14" s="14"/>
      <c r="P14" s="11" t="s">
        <v>17</v>
      </c>
    </row>
    <row r="15" spans="1:16" x14ac:dyDescent="0.2">
      <c r="A15" s="4" t="s">
        <v>19</v>
      </c>
      <c r="B15" s="4" t="s">
        <v>20</v>
      </c>
      <c r="C15" s="38" t="s">
        <v>21</v>
      </c>
      <c r="D15" s="38" t="s">
        <v>22</v>
      </c>
      <c r="E15" s="38" t="s">
        <v>23</v>
      </c>
      <c r="F15" s="38" t="s">
        <v>23</v>
      </c>
      <c r="G15" s="38" t="s">
        <v>23</v>
      </c>
      <c r="H15" s="38" t="s">
        <v>21</v>
      </c>
      <c r="I15" s="38" t="s">
        <v>21</v>
      </c>
      <c r="J15" s="38" t="s">
        <v>21</v>
      </c>
      <c r="K15" s="38" t="s">
        <v>21</v>
      </c>
      <c r="L15" s="38" t="s">
        <v>21</v>
      </c>
      <c r="M15" s="38" t="s">
        <v>21</v>
      </c>
      <c r="N15" s="38" t="s">
        <v>24</v>
      </c>
      <c r="O15" s="38"/>
      <c r="P15" s="49" t="s">
        <v>60</v>
      </c>
    </row>
    <row r="16" spans="1:16" x14ac:dyDescent="0.2">
      <c r="A16" s="9"/>
      <c r="B16" s="9"/>
      <c r="C16" s="16"/>
      <c r="D16" s="9"/>
      <c r="E16" s="9"/>
      <c r="F16" s="9"/>
      <c r="G16" s="9"/>
      <c r="H16" s="9"/>
      <c r="I16" s="11"/>
      <c r="J16" s="9"/>
      <c r="K16" s="11"/>
      <c r="L16" s="9"/>
      <c r="M16" s="9"/>
      <c r="N16" s="9"/>
      <c r="O16" s="9"/>
      <c r="P16" s="9"/>
    </row>
    <row r="17" spans="1:16" x14ac:dyDescent="0.2">
      <c r="A17" s="80"/>
      <c r="B17" s="9"/>
      <c r="C17" s="16"/>
      <c r="D17" s="9"/>
      <c r="E17" s="9"/>
      <c r="F17" s="9"/>
      <c r="G17" s="9"/>
      <c r="H17" s="9"/>
      <c r="I17" s="17"/>
      <c r="J17" s="9"/>
      <c r="K17" s="17"/>
      <c r="L17" s="9"/>
      <c r="M17" s="9"/>
      <c r="N17" s="9"/>
      <c r="O17" s="9"/>
      <c r="P17" s="9"/>
    </row>
    <row r="18" spans="1:16" x14ac:dyDescent="0.2">
      <c r="A18" s="48" t="s">
        <v>120</v>
      </c>
      <c r="B18" s="72" t="s">
        <v>121</v>
      </c>
      <c r="C18" s="48">
        <v>0</v>
      </c>
      <c r="D18" s="48">
        <v>0</v>
      </c>
      <c r="E18" s="18">
        <v>0</v>
      </c>
      <c r="F18" s="18">
        <v>0.11511399999999999</v>
      </c>
      <c r="G18" s="18">
        <v>0.11511399999999999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37">
        <v>0</v>
      </c>
      <c r="O18" s="50"/>
      <c r="P18" s="51">
        <v>2.18E-2</v>
      </c>
    </row>
    <row r="19" spans="1:16" x14ac:dyDescent="0.2">
      <c r="A19" s="42"/>
      <c r="B19" s="72"/>
      <c r="C19" s="44"/>
      <c r="D19" s="16"/>
      <c r="E19" s="18"/>
      <c r="F19" s="18"/>
      <c r="G19" s="18"/>
      <c r="H19" s="19"/>
      <c r="I19" s="52"/>
      <c r="J19" s="19"/>
      <c r="K19" s="19"/>
      <c r="L19" s="19"/>
      <c r="M19" s="19"/>
      <c r="N19" s="47"/>
      <c r="O19" s="47"/>
      <c r="P19" s="14"/>
    </row>
    <row r="20" spans="1:16" x14ac:dyDescent="0.2">
      <c r="A20" s="48" t="s">
        <v>120</v>
      </c>
      <c r="B20" s="72" t="s">
        <v>122</v>
      </c>
      <c r="C20" s="48">
        <v>0</v>
      </c>
      <c r="D20" s="48">
        <v>0</v>
      </c>
      <c r="E20" s="18">
        <v>0</v>
      </c>
      <c r="F20" s="18">
        <v>0.11511399999999999</v>
      </c>
      <c r="G20" s="18">
        <v>0.11511399999999999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37">
        <v>0</v>
      </c>
      <c r="O20" s="50"/>
      <c r="P20" s="51">
        <v>2.18E-2</v>
      </c>
    </row>
    <row r="21" spans="1:16" x14ac:dyDescent="0.2">
      <c r="A21" s="42"/>
      <c r="B21" s="72"/>
      <c r="C21" s="53"/>
      <c r="D21" s="8"/>
      <c r="E21" s="54"/>
      <c r="F21" s="18"/>
      <c r="G21" s="18"/>
      <c r="H21" s="55"/>
      <c r="I21" s="55"/>
      <c r="J21" s="55"/>
      <c r="K21" s="55"/>
      <c r="L21" s="55"/>
      <c r="M21" s="55"/>
      <c r="N21" s="56"/>
      <c r="O21" s="56"/>
      <c r="P21" s="14"/>
    </row>
    <row r="22" spans="1:16" x14ac:dyDescent="0.2">
      <c r="A22" s="48" t="s">
        <v>120</v>
      </c>
      <c r="B22" s="72" t="s">
        <v>123</v>
      </c>
      <c r="C22" s="48">
        <v>0</v>
      </c>
      <c r="D22" s="48">
        <v>0</v>
      </c>
      <c r="E22" s="18">
        <v>0</v>
      </c>
      <c r="F22" s="18">
        <v>0.11511399999999999</v>
      </c>
      <c r="G22" s="18">
        <v>0.11511399999999999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37">
        <v>0</v>
      </c>
      <c r="O22" s="50"/>
      <c r="P22" s="51">
        <v>2.18E-2</v>
      </c>
    </row>
    <row r="23" spans="1:16" x14ac:dyDescent="0.2">
      <c r="A23" s="42"/>
      <c r="B23" s="72"/>
      <c r="C23" s="44"/>
      <c r="D23" s="16"/>
      <c r="E23" s="20"/>
      <c r="F23" s="20"/>
      <c r="G23" s="20"/>
      <c r="H23" s="19"/>
      <c r="I23" s="9"/>
      <c r="J23" s="9"/>
      <c r="K23" s="9"/>
      <c r="L23" s="9"/>
      <c r="M23" s="9"/>
      <c r="N23" s="46"/>
      <c r="O23" s="46"/>
      <c r="P23" s="14"/>
    </row>
    <row r="24" spans="1:16" x14ac:dyDescent="0.2">
      <c r="A24" s="48" t="s">
        <v>120</v>
      </c>
      <c r="B24" s="48" t="s">
        <v>124</v>
      </c>
      <c r="C24" s="48">
        <v>0</v>
      </c>
      <c r="D24" s="48">
        <v>0</v>
      </c>
      <c r="E24" s="18">
        <v>0</v>
      </c>
      <c r="F24" s="18">
        <v>0.11511399999999999</v>
      </c>
      <c r="G24" s="18">
        <v>0.11511399999999999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37">
        <v>0</v>
      </c>
      <c r="O24" s="37"/>
      <c r="P24" s="67">
        <v>2.18E-2</v>
      </c>
    </row>
    <row r="25" spans="1:16" x14ac:dyDescent="0.2">
      <c r="A25" s="42"/>
      <c r="B25" s="44"/>
      <c r="C25" s="44"/>
      <c r="D25" s="16"/>
      <c r="E25" s="18"/>
      <c r="F25" s="18"/>
      <c r="G25" s="18"/>
      <c r="H25" s="19"/>
      <c r="I25" s="19"/>
      <c r="J25" s="19"/>
      <c r="K25" s="19"/>
      <c r="L25" s="19"/>
      <c r="M25" s="19"/>
      <c r="N25" s="47"/>
      <c r="O25" s="47"/>
      <c r="P25" s="67"/>
    </row>
    <row r="26" spans="1:16" x14ac:dyDescent="0.2">
      <c r="A26" s="48" t="s">
        <v>120</v>
      </c>
      <c r="B26" s="48" t="s">
        <v>125</v>
      </c>
      <c r="C26" s="48">
        <v>0</v>
      </c>
      <c r="D26" s="48">
        <v>0</v>
      </c>
      <c r="E26" s="18">
        <v>0</v>
      </c>
      <c r="F26" s="18">
        <v>0.11511399999999999</v>
      </c>
      <c r="G26" s="18">
        <v>0.11511399999999999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37">
        <v>0</v>
      </c>
      <c r="O26" s="37"/>
      <c r="P26" s="67">
        <v>2.18E-2</v>
      </c>
    </row>
    <row r="27" spans="1:16" x14ac:dyDescent="0.2">
      <c r="A27" s="42"/>
      <c r="B27" s="53"/>
      <c r="C27" s="53"/>
      <c r="D27" s="8"/>
      <c r="E27" s="54"/>
      <c r="F27" s="18"/>
      <c r="G27" s="18"/>
      <c r="H27" s="55"/>
      <c r="I27" s="55"/>
      <c r="J27" s="55"/>
      <c r="K27" s="55"/>
      <c r="L27" s="55"/>
      <c r="M27" s="55"/>
      <c r="N27" s="56"/>
      <c r="O27" s="56"/>
      <c r="P27" s="68"/>
    </row>
    <row r="28" spans="1:16" x14ac:dyDescent="0.2">
      <c r="A28" s="48" t="s">
        <v>120</v>
      </c>
      <c r="B28" s="48" t="s">
        <v>126</v>
      </c>
      <c r="C28" s="48">
        <v>0</v>
      </c>
      <c r="D28" s="48">
        <v>0</v>
      </c>
      <c r="E28" s="18">
        <v>0</v>
      </c>
      <c r="F28" s="18">
        <v>0.11511399999999999</v>
      </c>
      <c r="G28" s="18">
        <v>0.11511399999999999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37">
        <v>0</v>
      </c>
      <c r="O28" s="37"/>
      <c r="P28" s="67">
        <v>2.18E-2</v>
      </c>
    </row>
    <row r="29" spans="1:16" x14ac:dyDescent="0.2">
      <c r="A29" s="42"/>
      <c r="B29" s="44"/>
      <c r="C29" s="44"/>
      <c r="D29" s="16"/>
      <c r="E29" s="18"/>
      <c r="F29" s="18"/>
      <c r="G29" s="18"/>
      <c r="H29" s="19"/>
      <c r="I29" s="19"/>
      <c r="J29" s="19"/>
      <c r="K29" s="19"/>
      <c r="L29" s="19"/>
      <c r="M29" s="19"/>
      <c r="N29" s="47"/>
      <c r="O29" s="47"/>
      <c r="P29" s="67"/>
    </row>
    <row r="30" spans="1:16" x14ac:dyDescent="0.2">
      <c r="A30" s="48" t="s">
        <v>120</v>
      </c>
      <c r="B30" s="48" t="s">
        <v>127</v>
      </c>
      <c r="C30" s="48">
        <v>0</v>
      </c>
      <c r="D30" s="48">
        <v>0</v>
      </c>
      <c r="E30" s="18">
        <v>0</v>
      </c>
      <c r="F30" s="18">
        <v>0.11511399999999999</v>
      </c>
      <c r="G30" s="18">
        <v>0.11511399999999999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37">
        <v>0</v>
      </c>
      <c r="O30" s="37"/>
      <c r="P30" s="67">
        <v>2.18E-2</v>
      </c>
    </row>
    <row r="31" spans="1:16" x14ac:dyDescent="0.2">
      <c r="A31" s="42"/>
      <c r="B31" s="44"/>
      <c r="C31" s="44"/>
      <c r="D31" s="16"/>
      <c r="E31" s="18"/>
      <c r="F31" s="18"/>
      <c r="G31" s="18"/>
      <c r="H31" s="19"/>
      <c r="I31" s="19"/>
      <c r="J31" s="19"/>
      <c r="K31" s="19"/>
      <c r="L31" s="19"/>
      <c r="M31" s="19"/>
      <c r="N31" s="47"/>
      <c r="O31" s="47"/>
      <c r="P31" s="67"/>
    </row>
    <row r="32" spans="1:16" x14ac:dyDescent="0.2">
      <c r="A32" s="48" t="s">
        <v>120</v>
      </c>
      <c r="B32" s="48" t="s">
        <v>128</v>
      </c>
      <c r="C32" s="48">
        <v>26085.382000000005</v>
      </c>
      <c r="D32" s="48">
        <v>303869.65376782074</v>
      </c>
      <c r="E32" s="18">
        <v>8.5844000000000004E-2</v>
      </c>
      <c r="F32" s="18">
        <v>0.11511399999999999</v>
      </c>
      <c r="G32" s="18">
        <v>2.926999999999999E-2</v>
      </c>
      <c r="H32" s="19">
        <v>8894.26</v>
      </c>
      <c r="I32" s="19">
        <v>8894.26</v>
      </c>
      <c r="J32" s="19">
        <v>0</v>
      </c>
      <c r="K32" s="19">
        <v>0</v>
      </c>
      <c r="L32" s="19">
        <v>8894.26</v>
      </c>
      <c r="M32" s="19">
        <v>8894.26</v>
      </c>
      <c r="N32" s="37">
        <v>0</v>
      </c>
      <c r="O32" s="37"/>
      <c r="P32" s="67">
        <v>2.18E-2</v>
      </c>
    </row>
    <row r="33" spans="1:16" x14ac:dyDescent="0.2">
      <c r="A33" s="42"/>
      <c r="B33" s="53"/>
      <c r="C33" s="53"/>
      <c r="D33" s="8"/>
      <c r="E33" s="54"/>
      <c r="F33" s="18"/>
      <c r="G33" s="18"/>
      <c r="H33" s="55"/>
      <c r="I33" s="55"/>
      <c r="J33" s="55"/>
      <c r="K33" s="55"/>
      <c r="L33" s="55"/>
      <c r="M33" s="55"/>
      <c r="N33" s="56"/>
      <c r="O33" s="56"/>
      <c r="P33" s="68"/>
    </row>
    <row r="34" spans="1:16" x14ac:dyDescent="0.2">
      <c r="A34" s="48" t="s">
        <v>120</v>
      </c>
      <c r="B34" s="48" t="s">
        <v>129</v>
      </c>
      <c r="C34" s="48">
        <v>51075</v>
      </c>
      <c r="D34" s="48">
        <v>572810.5906313645</v>
      </c>
      <c r="E34" s="18">
        <v>8.9165999999999995E-2</v>
      </c>
      <c r="F34" s="18">
        <v>0.11511399999999999</v>
      </c>
      <c r="G34" s="18">
        <v>2.5947999999999999E-2</v>
      </c>
      <c r="H34" s="19">
        <v>14863.29</v>
      </c>
      <c r="I34" s="19">
        <v>23757.550000000003</v>
      </c>
      <c r="J34" s="19">
        <v>16.16</v>
      </c>
      <c r="K34" s="19">
        <v>16.16</v>
      </c>
      <c r="L34" s="19">
        <v>14879.45</v>
      </c>
      <c r="M34" s="19">
        <v>23773.710000000003</v>
      </c>
      <c r="N34" s="37">
        <v>0</v>
      </c>
      <c r="O34" s="37"/>
      <c r="P34" s="67">
        <v>2.18E-2</v>
      </c>
    </row>
    <row r="35" spans="1:16" x14ac:dyDescent="0.2">
      <c r="A35" s="42"/>
      <c r="B35" s="44"/>
      <c r="C35" s="44"/>
      <c r="D35" s="16"/>
      <c r="E35" s="18"/>
      <c r="F35" s="18"/>
      <c r="G35" s="18"/>
      <c r="H35" s="55"/>
      <c r="I35" s="19"/>
      <c r="J35" s="19"/>
      <c r="K35" s="19"/>
      <c r="L35" s="19"/>
      <c r="M35" s="19"/>
      <c r="N35" s="47"/>
      <c r="O35" s="47"/>
      <c r="P35" s="67"/>
    </row>
    <row r="36" spans="1:16" x14ac:dyDescent="0.2">
      <c r="A36" s="48" t="s">
        <v>120</v>
      </c>
      <c r="B36" s="48" t="s">
        <v>130</v>
      </c>
      <c r="C36" s="48">
        <v>52777.5</v>
      </c>
      <c r="D36" s="48">
        <v>591904.27698574332</v>
      </c>
      <c r="E36" s="18">
        <v>8.9165999999999995E-2</v>
      </c>
      <c r="F36" s="18">
        <v>0.11511399999999999</v>
      </c>
      <c r="G36" s="18">
        <v>2.5947999999999999E-2</v>
      </c>
      <c r="H36" s="19">
        <v>15358.73</v>
      </c>
      <c r="I36" s="19">
        <v>39116.28</v>
      </c>
      <c r="J36" s="19">
        <v>11.28</v>
      </c>
      <c r="K36" s="19">
        <v>27.439999999999998</v>
      </c>
      <c r="L36" s="19">
        <v>15370.01</v>
      </c>
      <c r="M36" s="19">
        <v>39143.72</v>
      </c>
      <c r="N36" s="37">
        <v>0</v>
      </c>
      <c r="P36" s="67">
        <v>5.7000000000000002E-3</v>
      </c>
    </row>
    <row r="37" spans="1:16" x14ac:dyDescent="0.2">
      <c r="A37" s="42"/>
      <c r="B37" s="44"/>
      <c r="C37" s="44"/>
      <c r="D37" s="16"/>
      <c r="E37" s="18"/>
      <c r="F37" s="18"/>
      <c r="G37" s="18"/>
      <c r="H37" s="55"/>
      <c r="I37" s="19"/>
      <c r="J37" s="19"/>
      <c r="K37" s="19"/>
      <c r="L37" s="19"/>
      <c r="M37" s="19"/>
      <c r="N37" s="47"/>
      <c r="O37" s="47"/>
      <c r="P37" s="67"/>
    </row>
    <row r="38" spans="1:16" x14ac:dyDescent="0.2">
      <c r="A38" s="48" t="s">
        <v>120</v>
      </c>
      <c r="B38" s="48" t="s">
        <v>131</v>
      </c>
      <c r="C38" s="48">
        <v>63634.95</v>
      </c>
      <c r="D38" s="48">
        <v>682281.05906313646</v>
      </c>
      <c r="E38" s="18">
        <v>9.3268000000000004E-2</v>
      </c>
      <c r="F38" s="18">
        <v>0.11511399999999999</v>
      </c>
      <c r="G38" s="18">
        <v>2.184599999999999E-2</v>
      </c>
      <c r="H38" s="19">
        <v>14905.11</v>
      </c>
      <c r="I38" s="19">
        <v>54021.39</v>
      </c>
      <c r="J38" s="19">
        <v>18.579999999999998</v>
      </c>
      <c r="K38" s="19">
        <v>46.019999999999996</v>
      </c>
      <c r="L38" s="19">
        <v>14923.69</v>
      </c>
      <c r="M38" s="19">
        <v>54067.409999999996</v>
      </c>
      <c r="N38" s="37">
        <v>0</v>
      </c>
      <c r="O38" s="50"/>
      <c r="P38" s="67">
        <v>5.7000000000000002E-3</v>
      </c>
    </row>
    <row r="39" spans="1:16" x14ac:dyDescent="0.2">
      <c r="A39" s="42"/>
      <c r="B39" s="53"/>
      <c r="C39" s="53"/>
      <c r="D39" s="8"/>
      <c r="E39" s="54"/>
      <c r="F39" s="18"/>
      <c r="G39" s="18"/>
      <c r="H39" s="55"/>
      <c r="I39" s="55"/>
      <c r="J39" s="55"/>
      <c r="K39" s="55"/>
      <c r="L39" s="55"/>
      <c r="M39" s="55"/>
      <c r="N39" s="56"/>
      <c r="O39" s="56"/>
      <c r="P39" s="68"/>
    </row>
    <row r="40" spans="1:16" x14ac:dyDescent="0.2">
      <c r="A40" s="57" t="s">
        <v>7</v>
      </c>
      <c r="B40" s="57" t="s">
        <v>132</v>
      </c>
      <c r="C40" s="57">
        <v>35773.5</v>
      </c>
      <c r="D40" s="57">
        <v>381873.72708757635</v>
      </c>
      <c r="E40" s="54">
        <v>9.3678999999999998E-2</v>
      </c>
      <c r="F40" s="18">
        <v>0.11511399999999999</v>
      </c>
      <c r="G40" s="18">
        <v>2.1434999999999996E-2</v>
      </c>
      <c r="H40" s="55">
        <v>8185.46</v>
      </c>
      <c r="I40" s="55">
        <v>62206.85</v>
      </c>
      <c r="J40" s="55">
        <v>25.66</v>
      </c>
      <c r="K40" s="55">
        <v>71.679999999999993</v>
      </c>
      <c r="L40" s="55">
        <v>8211.1200000000008</v>
      </c>
      <c r="M40" s="55">
        <v>62278.53</v>
      </c>
      <c r="N40" s="58">
        <v>0</v>
      </c>
      <c r="O40" s="50"/>
      <c r="P40" s="68">
        <v>5.7000000000000002E-3</v>
      </c>
    </row>
    <row r="41" spans="1:16" x14ac:dyDescent="0.2">
      <c r="A41" s="42"/>
      <c r="B41" s="9"/>
      <c r="C41" s="16"/>
      <c r="D41" s="16"/>
      <c r="E41" s="20"/>
      <c r="F41" s="20"/>
      <c r="G41" s="20"/>
      <c r="H41" s="19"/>
      <c r="I41" s="9"/>
      <c r="J41" s="9"/>
      <c r="K41" s="9"/>
      <c r="L41" s="9"/>
      <c r="M41" s="9"/>
      <c r="N41" s="46"/>
      <c r="O41" s="46"/>
      <c r="P41" s="14"/>
    </row>
    <row r="42" spans="1:16" x14ac:dyDescent="0.2">
      <c r="A42" s="42"/>
      <c r="B42" s="9" t="s">
        <v>4</v>
      </c>
      <c r="C42" s="16">
        <f>SUM(C18:C40)</f>
        <v>229346.33199999999</v>
      </c>
      <c r="D42" s="16">
        <f>SUM(D18:D40)</f>
        <v>2532739.3075356414</v>
      </c>
      <c r="E42" s="20">
        <f>ROUND(C42/D42,6)</f>
        <v>9.0552999999999995E-2</v>
      </c>
      <c r="F42" s="20"/>
      <c r="G42" s="20"/>
      <c r="H42" s="19">
        <f>SUM(H18:H40)</f>
        <v>62206.85</v>
      </c>
      <c r="I42" s="19">
        <f>I40</f>
        <v>62206.85</v>
      </c>
      <c r="J42" s="19">
        <f>SUM(J18:J40)</f>
        <v>71.679999999999993</v>
      </c>
      <c r="K42" s="19">
        <f>K40</f>
        <v>71.679999999999993</v>
      </c>
      <c r="L42" s="19">
        <f>SUM(L18:L40)</f>
        <v>62278.530000000006</v>
      </c>
      <c r="M42" s="19">
        <f>M40</f>
        <v>62278.53</v>
      </c>
      <c r="N42" s="47">
        <f>SUM(N18:N40)</f>
        <v>0</v>
      </c>
      <c r="O42" s="47"/>
      <c r="P42" s="9"/>
    </row>
    <row r="43" spans="1:16" x14ac:dyDescent="0.2">
      <c r="A43" s="42"/>
      <c r="B43" s="9"/>
      <c r="C43" s="16"/>
      <c r="D43" s="16"/>
      <c r="E43" s="20"/>
      <c r="F43" s="20"/>
      <c r="G43" s="20"/>
      <c r="H43" s="19"/>
      <c r="I43" s="9"/>
      <c r="J43" s="9"/>
      <c r="K43" s="9"/>
      <c r="L43" s="9"/>
      <c r="M43" s="9"/>
      <c r="N43" s="9"/>
      <c r="O43" s="9"/>
      <c r="P43" s="9"/>
    </row>
    <row r="44" spans="1:16" x14ac:dyDescent="0.2">
      <c r="A44" s="9"/>
      <c r="B44" s="9"/>
      <c r="C44" s="16"/>
      <c r="D44" s="16"/>
      <c r="E44" s="20"/>
      <c r="F44" s="20"/>
      <c r="G44" s="20"/>
      <c r="H44" s="19"/>
      <c r="I44" s="9"/>
      <c r="J44" s="9"/>
      <c r="K44" s="9"/>
      <c r="L44" s="9"/>
      <c r="M44" s="9"/>
      <c r="N44" s="9"/>
      <c r="O44" s="9"/>
      <c r="P44" s="59"/>
    </row>
    <row r="45" spans="1:16" x14ac:dyDescent="0.2">
      <c r="A45" s="9" t="s">
        <v>27</v>
      </c>
      <c r="B45" s="16"/>
      <c r="C45" s="16"/>
      <c r="D45" s="20"/>
      <c r="E45" s="20"/>
      <c r="F45" s="21">
        <f>M42/D42</f>
        <v>2.4589396079850431E-2</v>
      </c>
      <c r="G45" s="1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">
      <c r="A46" s="9" t="s">
        <v>28</v>
      </c>
      <c r="B46" s="16"/>
      <c r="C46" s="16"/>
      <c r="D46" s="20"/>
      <c r="E46" s="20"/>
      <c r="F46" s="60">
        <f>N42</f>
        <v>0</v>
      </c>
      <c r="G46" s="19" t="s">
        <v>22</v>
      </c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">
      <c r="A47" s="9" t="s">
        <v>29</v>
      </c>
      <c r="B47" s="16"/>
      <c r="C47" s="16"/>
      <c r="D47" s="20"/>
      <c r="E47" s="20"/>
      <c r="F47" s="22">
        <f>ABS(+F45*F46)</f>
        <v>0</v>
      </c>
      <c r="G47" s="19" t="str">
        <f>IF(M42&gt;0,"Customer Rebate","Customer Charge")</f>
        <v>Customer Rebate</v>
      </c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">
      <c r="A48" s="9"/>
      <c r="B48" s="16"/>
      <c r="C48" s="16"/>
      <c r="D48" s="20"/>
      <c r="E48" s="20"/>
      <c r="F48" s="22"/>
      <c r="G48" s="1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2">
      <c r="A49" s="39" t="s">
        <v>25</v>
      </c>
      <c r="B49" s="9" t="s">
        <v>116</v>
      </c>
      <c r="C49" s="16"/>
      <c r="D49" s="41"/>
      <c r="E49" s="43"/>
      <c r="F49" s="20"/>
      <c r="G49" s="1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">
      <c r="A50" s="39"/>
      <c r="B50" s="9"/>
      <c r="C50" s="16"/>
      <c r="D50" s="9"/>
      <c r="E50" s="20"/>
      <c r="F50" s="22"/>
      <c r="G50" s="1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9"/>
      <c r="B51" s="9"/>
      <c r="C51" s="16"/>
      <c r="D51" s="9"/>
      <c r="E51" s="20"/>
      <c r="F51" s="22"/>
      <c r="G51" s="1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">
      <c r="A52" s="9"/>
      <c r="B52" s="9"/>
      <c r="C52" s="16"/>
      <c r="D52" s="16"/>
      <c r="E52" s="20"/>
      <c r="F52" s="20"/>
      <c r="G52" s="20"/>
      <c r="H52" s="19"/>
      <c r="I52" s="9"/>
      <c r="J52" s="9"/>
      <c r="K52" s="9"/>
      <c r="L52" s="9"/>
      <c r="M52" s="9"/>
      <c r="N52" s="9"/>
      <c r="O52" s="9"/>
      <c r="P52" s="9"/>
    </row>
    <row r="53" spans="1:16" x14ac:dyDescent="0.2">
      <c r="A53" s="9"/>
      <c r="B53" s="9"/>
      <c r="C53" s="16"/>
      <c r="D53" s="16"/>
      <c r="E53" s="20"/>
      <c r="F53" s="20"/>
      <c r="G53" s="20"/>
      <c r="H53" s="19"/>
      <c r="I53" s="9"/>
      <c r="J53" s="9"/>
      <c r="K53" s="9"/>
      <c r="L53" s="9"/>
      <c r="M53" s="9"/>
      <c r="N53" s="9"/>
      <c r="O53" s="9"/>
      <c r="P53" s="9"/>
    </row>
    <row r="54" spans="1:16" x14ac:dyDescent="0.2">
      <c r="A54" s="9"/>
      <c r="B54" s="9"/>
      <c r="C54" s="16"/>
      <c r="D54" s="16"/>
      <c r="E54" s="20"/>
      <c r="F54" s="20"/>
      <c r="G54" s="20"/>
      <c r="H54" s="19"/>
      <c r="I54" s="9"/>
      <c r="J54" s="9"/>
      <c r="K54" s="9"/>
      <c r="L54" s="9"/>
      <c r="M54" s="9"/>
      <c r="N54" s="9"/>
      <c r="O54" s="9"/>
      <c r="P54" s="9"/>
    </row>
    <row r="55" spans="1:16" x14ac:dyDescent="0.2">
      <c r="A55" s="9"/>
      <c r="B55" s="9"/>
      <c r="C55" s="16"/>
      <c r="D55" s="16"/>
      <c r="E55" s="20"/>
      <c r="F55" s="20"/>
      <c r="G55" s="20"/>
      <c r="H55" s="19"/>
      <c r="I55" s="9"/>
      <c r="J55" s="9"/>
      <c r="K55" s="9"/>
      <c r="L55" s="9"/>
      <c r="M55" s="9"/>
      <c r="N55" s="9"/>
      <c r="O55" s="9"/>
      <c r="P55" s="9"/>
    </row>
    <row r="56" spans="1:16" x14ac:dyDescent="0.2">
      <c r="C56" s="5"/>
      <c r="D56" s="5"/>
      <c r="E56" s="7"/>
      <c r="F56" s="7"/>
      <c r="G56" s="7"/>
      <c r="H56" s="6"/>
    </row>
    <row r="57" spans="1:16" x14ac:dyDescent="0.2">
      <c r="C57" s="5"/>
      <c r="D57" s="5"/>
      <c r="E57" s="7"/>
      <c r="F57" s="7"/>
      <c r="G57" s="7"/>
      <c r="H57" s="6"/>
    </row>
    <row r="58" spans="1:16" x14ac:dyDescent="0.2">
      <c r="C58" s="5"/>
      <c r="D58" s="5"/>
      <c r="E58" s="7"/>
      <c r="F58" s="7"/>
      <c r="G58" s="7"/>
      <c r="H58" s="6"/>
    </row>
    <row r="59" spans="1:16" x14ac:dyDescent="0.2">
      <c r="C59" s="5"/>
      <c r="D59" s="5"/>
      <c r="E59" s="7"/>
      <c r="F59" s="7"/>
      <c r="G59" s="7"/>
      <c r="H59" s="6"/>
    </row>
    <row r="60" spans="1:16" x14ac:dyDescent="0.2">
      <c r="C60" s="5"/>
      <c r="D60" s="5"/>
      <c r="E60" s="7"/>
      <c r="F60" s="7"/>
      <c r="G60" s="7"/>
      <c r="H60" s="6"/>
    </row>
    <row r="61" spans="1:16" x14ac:dyDescent="0.2">
      <c r="C61" s="5"/>
      <c r="D61" s="5"/>
      <c r="E61" s="7"/>
      <c r="F61" s="7"/>
      <c r="G61" s="7"/>
      <c r="H61" s="6"/>
    </row>
    <row r="62" spans="1:16" x14ac:dyDescent="0.2">
      <c r="C62" s="5"/>
      <c r="D62" s="5"/>
      <c r="E62" s="7"/>
      <c r="F62" s="7"/>
      <c r="G62" s="7"/>
      <c r="H62" s="6"/>
    </row>
    <row r="63" spans="1:16" x14ac:dyDescent="0.2">
      <c r="C63" s="5"/>
      <c r="D63" s="5"/>
      <c r="E63" s="7"/>
      <c r="F63" s="7"/>
      <c r="G63" s="7"/>
      <c r="H63" s="6"/>
    </row>
  </sheetData>
  <mergeCells count="3">
    <mergeCell ref="A8:P8"/>
    <mergeCell ref="A6:P6"/>
    <mergeCell ref="A10:P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44"/>
  <sheetViews>
    <sheetView defaultGridColor="0" colorId="22" zoomScale="87" workbookViewId="0">
      <selection activeCell="K47" sqref="K47"/>
    </sheetView>
  </sheetViews>
  <sheetFormatPr defaultColWidth="9.77734375" defaultRowHeight="15" x14ac:dyDescent="0.2"/>
  <cols>
    <col min="1" max="1" width="22.6640625" bestFit="1" customWidth="1"/>
    <col min="14" max="14" width="13.66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6">
        <f>Info!$C$1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75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5" t="s">
        <v>30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x14ac:dyDescent="0.25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5.75" x14ac:dyDescent="0.25">
      <c r="A8" s="13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5.75" x14ac:dyDescent="0.2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5.75" x14ac:dyDescent="0.25">
      <c r="A10" s="13" t="str">
        <f>'Sch. 2'!$A$10</f>
        <v>HISTORICAL TWELVE MONTH PERIOD - OCTOBER, 2019 TO SEPTEMBER, 2020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">
      <c r="A11" s="9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9"/>
    </row>
    <row r="12" spans="1:14" x14ac:dyDescent="0.2">
      <c r="A12" s="9"/>
      <c r="B12" s="70">
        <f>EOMONTH(N2,-13)+1</f>
        <v>43739</v>
      </c>
      <c r="C12" s="71">
        <f>EOMONTH(B12,0)+1</f>
        <v>43770</v>
      </c>
      <c r="D12" s="71">
        <f t="shared" ref="D12:M12" si="0">EOMONTH(C12,0)+1</f>
        <v>43800</v>
      </c>
      <c r="E12" s="71">
        <f t="shared" si="0"/>
        <v>43831</v>
      </c>
      <c r="F12" s="71">
        <f t="shared" si="0"/>
        <v>43862</v>
      </c>
      <c r="G12" s="71">
        <f t="shared" si="0"/>
        <v>43891</v>
      </c>
      <c r="H12" s="71">
        <f t="shared" si="0"/>
        <v>43922</v>
      </c>
      <c r="I12" s="71">
        <f t="shared" si="0"/>
        <v>43952</v>
      </c>
      <c r="J12" s="71">
        <f t="shared" si="0"/>
        <v>43983</v>
      </c>
      <c r="K12" s="71">
        <f t="shared" si="0"/>
        <v>44013</v>
      </c>
      <c r="L12" s="71">
        <f t="shared" si="0"/>
        <v>44044</v>
      </c>
      <c r="M12" s="71">
        <f t="shared" si="0"/>
        <v>44075</v>
      </c>
      <c r="N12" s="25" t="s">
        <v>4</v>
      </c>
    </row>
    <row r="13" spans="1:14" ht="15.75" x14ac:dyDescent="0.25">
      <c r="A13" s="26" t="s">
        <v>32</v>
      </c>
      <c r="B13" s="17">
        <v>31</v>
      </c>
      <c r="C13" s="17">
        <v>30</v>
      </c>
      <c r="D13" s="17">
        <v>31</v>
      </c>
      <c r="E13" s="17">
        <v>31</v>
      </c>
      <c r="F13" s="17">
        <v>28</v>
      </c>
      <c r="G13" s="17">
        <v>31</v>
      </c>
      <c r="H13" s="17">
        <v>30</v>
      </c>
      <c r="I13" s="17">
        <v>31</v>
      </c>
      <c r="J13" s="17">
        <v>30</v>
      </c>
      <c r="K13" s="17">
        <v>31</v>
      </c>
      <c r="L13" s="17">
        <v>31</v>
      </c>
      <c r="M13" s="17">
        <v>30</v>
      </c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" t="s">
        <v>100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16">
        <f t="shared" ref="N15:N19" si="1">SUM(B15:M15)</f>
        <v>0</v>
      </c>
    </row>
    <row r="16" spans="1:14" x14ac:dyDescent="0.2">
      <c r="A16" s="9" t="s">
        <v>101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16">
        <f t="shared" si="1"/>
        <v>0</v>
      </c>
    </row>
    <row r="17" spans="1:14" x14ac:dyDescent="0.2">
      <c r="A17" s="9" t="s">
        <v>102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572810.5906313645</v>
      </c>
      <c r="K17" s="48">
        <v>591904.27698574332</v>
      </c>
      <c r="L17" s="48">
        <v>394602.85132382892</v>
      </c>
      <c r="M17" s="48">
        <v>381873.72708757635</v>
      </c>
      <c r="N17" s="16">
        <f t="shared" si="1"/>
        <v>1941191.4460285134</v>
      </c>
    </row>
    <row r="18" spans="1:14" x14ac:dyDescent="0.2">
      <c r="A18" s="9" t="s">
        <v>103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303869.65376782074</v>
      </c>
      <c r="J18" s="48">
        <v>0</v>
      </c>
      <c r="K18" s="48">
        <v>0</v>
      </c>
      <c r="L18" s="48">
        <v>287678.20773930755</v>
      </c>
      <c r="M18" s="48">
        <v>0</v>
      </c>
      <c r="N18" s="16">
        <f t="shared" si="1"/>
        <v>591547.86150712823</v>
      </c>
    </row>
    <row r="19" spans="1:14" x14ac:dyDescent="0.2">
      <c r="A19" s="9" t="s">
        <v>104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16">
        <f t="shared" si="1"/>
        <v>0</v>
      </c>
    </row>
    <row r="20" spans="1:14" x14ac:dyDescent="0.2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">
      <c r="A21" s="9" t="s">
        <v>4</v>
      </c>
      <c r="B21" s="16">
        <v>0</v>
      </c>
      <c r="C21" s="16">
        <v>0</v>
      </c>
      <c r="D21" s="16">
        <v>0</v>
      </c>
      <c r="E21" s="16">
        <f t="shared" ref="E21:N21" si="2">SUM(E15:E19)</f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303869.65376782074</v>
      </c>
      <c r="J21" s="16">
        <f t="shared" si="2"/>
        <v>572810.5906313645</v>
      </c>
      <c r="K21" s="16">
        <f t="shared" si="2"/>
        <v>591904.27698574332</v>
      </c>
      <c r="L21" s="16">
        <f t="shared" si="2"/>
        <v>682281.05906313646</v>
      </c>
      <c r="M21" s="16">
        <f t="shared" si="2"/>
        <v>381873.72708757635</v>
      </c>
      <c r="N21" s="16">
        <f t="shared" si="2"/>
        <v>2532739.3075356418</v>
      </c>
    </row>
    <row r="22" spans="1:14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.75" x14ac:dyDescent="0.25">
      <c r="A24" s="26" t="s">
        <v>33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7"/>
    </row>
    <row r="25" spans="1:14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64" t="s">
        <v>100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28"/>
    </row>
    <row r="27" spans="1:14" x14ac:dyDescent="0.2">
      <c r="A27" s="64" t="s">
        <v>101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28"/>
    </row>
    <row r="28" spans="1:14" x14ac:dyDescent="0.2">
      <c r="A28" s="64" t="s">
        <v>102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8.9165999999999995E-2</v>
      </c>
      <c r="K28" s="61">
        <v>8.9165999999999995E-2</v>
      </c>
      <c r="L28" s="61">
        <v>9.3678999999999998E-2</v>
      </c>
      <c r="M28" s="61">
        <v>9.3678999999999998E-2</v>
      </c>
      <c r="N28" s="28"/>
    </row>
    <row r="29" spans="1:14" x14ac:dyDescent="0.2">
      <c r="A29" s="64" t="s">
        <v>103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8.5844000000000004E-2</v>
      </c>
      <c r="J29" s="61">
        <v>0</v>
      </c>
      <c r="K29" s="61">
        <v>0</v>
      </c>
      <c r="L29" s="61">
        <v>9.2703999999999995E-2</v>
      </c>
      <c r="M29" s="61">
        <v>0</v>
      </c>
      <c r="N29" s="28"/>
    </row>
    <row r="30" spans="1:14" x14ac:dyDescent="0.2">
      <c r="A30" s="64" t="s">
        <v>104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28"/>
    </row>
    <row r="31" spans="1:1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5.75" x14ac:dyDescent="0.25">
      <c r="A33" s="26" t="s">
        <v>34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7"/>
    </row>
    <row r="34" spans="1:1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s="64" t="s">
        <v>100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16">
        <f t="shared" ref="N35:N39" si="3">SUM(B35:M35)</f>
        <v>0</v>
      </c>
    </row>
    <row r="36" spans="1:14" x14ac:dyDescent="0.2">
      <c r="A36" s="64" t="s">
        <v>101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16">
        <f t="shared" si="3"/>
        <v>0</v>
      </c>
    </row>
    <row r="37" spans="1:14" x14ac:dyDescent="0.2">
      <c r="A37" s="64" t="s">
        <v>102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51075</v>
      </c>
      <c r="K37" s="48">
        <v>52777.5</v>
      </c>
      <c r="L37" s="48">
        <v>36965.949999999997</v>
      </c>
      <c r="M37" s="48">
        <v>35773.5</v>
      </c>
      <c r="N37" s="16">
        <f t="shared" si="3"/>
        <v>176591.95</v>
      </c>
    </row>
    <row r="38" spans="1:14" x14ac:dyDescent="0.2">
      <c r="A38" s="64" t="s">
        <v>103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26085.382000000005</v>
      </c>
      <c r="J38" s="48">
        <v>0</v>
      </c>
      <c r="K38" s="48">
        <v>0</v>
      </c>
      <c r="L38" s="48">
        <v>26669</v>
      </c>
      <c r="M38" s="48">
        <v>0</v>
      </c>
      <c r="N38" s="16">
        <f t="shared" si="3"/>
        <v>52754.382000000005</v>
      </c>
    </row>
    <row r="39" spans="1:14" x14ac:dyDescent="0.2">
      <c r="A39" s="64" t="s">
        <v>104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16">
        <f t="shared" si="3"/>
        <v>0</v>
      </c>
    </row>
    <row r="40" spans="1:14" x14ac:dyDescent="0.2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2">
      <c r="A41" s="9" t="s">
        <v>4</v>
      </c>
      <c r="B41" s="16">
        <f t="shared" ref="B41:M41" si="4">SUM(B35:B39)</f>
        <v>0</v>
      </c>
      <c r="C41" s="16">
        <f t="shared" si="4"/>
        <v>0</v>
      </c>
      <c r="D41" s="16">
        <f t="shared" si="4"/>
        <v>0</v>
      </c>
      <c r="E41" s="16">
        <f t="shared" si="4"/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26085.382000000005</v>
      </c>
      <c r="J41" s="16">
        <f t="shared" si="4"/>
        <v>51075</v>
      </c>
      <c r="K41" s="16">
        <f t="shared" si="4"/>
        <v>52777.5</v>
      </c>
      <c r="L41" s="16">
        <f t="shared" si="4"/>
        <v>63634.95</v>
      </c>
      <c r="M41" s="16">
        <f t="shared" si="4"/>
        <v>35773.5</v>
      </c>
      <c r="N41" s="16">
        <f>SUM(B41:M41)</f>
        <v>229346.33199999999</v>
      </c>
    </row>
    <row r="42" spans="1:14" x14ac:dyDescent="0.2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2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9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56"/>
  <sheetViews>
    <sheetView defaultGridColor="0" colorId="22" zoomScale="87" workbookViewId="0">
      <selection activeCell="K47" sqref="K47"/>
    </sheetView>
  </sheetViews>
  <sheetFormatPr defaultColWidth="9.77734375" defaultRowHeight="15" x14ac:dyDescent="0.2"/>
  <cols>
    <col min="1" max="1" width="22.6640625" bestFit="1" customWidth="1"/>
    <col min="2" max="2" width="12.77734375" customWidth="1"/>
    <col min="13" max="13" width="9.77734375" customWidth="1"/>
    <col min="14" max="14" width="13.44140625" bestFit="1" customWidth="1"/>
    <col min="15" max="15" width="12.77734375" customWidth="1"/>
  </cols>
  <sheetData>
    <row r="1" spans="1:15" ht="15.7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5" ht="15.7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6">
        <f>'Sch. 2'!$P$2</f>
        <v>44105</v>
      </c>
    </row>
    <row r="3" spans="1:15" ht="15.75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2"/>
      <c r="M3" s="9"/>
      <c r="N3" s="75" t="str">
        <f>'Sch. 2'!$P$3</f>
        <v>EB-2020-0206</v>
      </c>
    </row>
    <row r="4" spans="1:15" ht="15.75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5" t="s">
        <v>35</v>
      </c>
    </row>
    <row r="5" spans="1:1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x14ac:dyDescent="0.25">
      <c r="A6" s="132" t="s">
        <v>93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45"/>
    </row>
    <row r="7" spans="1:15" ht="15.75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30" t="s">
        <v>36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45"/>
    </row>
    <row r="9" spans="1:15" ht="15.75" x14ac:dyDescent="0.25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75" x14ac:dyDescent="0.25">
      <c r="A10" s="130" t="str">
        <f>'Sch. 2'!$A$10</f>
        <v>HISTORICAL TWELVE MONTH PERIOD - OCTOBER, 2019 TO SEPTEMBER, 2020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45"/>
    </row>
    <row r="11" spans="1:15" x14ac:dyDescent="0.2">
      <c r="B11" s="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9"/>
    </row>
    <row r="12" spans="1:15" x14ac:dyDescent="0.2">
      <c r="B12" s="9"/>
      <c r="C12" s="24">
        <f>'Sch. 3'!$B$12</f>
        <v>43739</v>
      </c>
      <c r="D12" s="24">
        <f>'Sch. 3'!$C$12</f>
        <v>43770</v>
      </c>
      <c r="E12" s="24">
        <f>'Sch. 3'!$D$12</f>
        <v>43800</v>
      </c>
      <c r="F12" s="24">
        <f>'Sch. 3'!$E$12</f>
        <v>43831</v>
      </c>
      <c r="G12" s="24">
        <f>'Sch. 3'!$F$12</f>
        <v>43862</v>
      </c>
      <c r="H12" s="24">
        <f>'Sch. 3'!$G$12</f>
        <v>43891</v>
      </c>
      <c r="I12" s="24">
        <f>'Sch. 3'!$H$12</f>
        <v>43922</v>
      </c>
      <c r="J12" s="24">
        <f>'Sch. 3'!$I$12</f>
        <v>43952</v>
      </c>
      <c r="K12" s="24">
        <f>'Sch. 3'!$J$12</f>
        <v>43983</v>
      </c>
      <c r="L12" s="24">
        <f>'Sch. 3'!$K$12</f>
        <v>44013</v>
      </c>
      <c r="M12" s="24">
        <f>'Sch. 3'!$L$12</f>
        <v>44044</v>
      </c>
      <c r="N12" s="24">
        <f>'Sch. 3'!$M$12</f>
        <v>44075</v>
      </c>
      <c r="O12" s="9"/>
    </row>
    <row r="13" spans="1:1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4"/>
      <c r="B14" s="9"/>
      <c r="C14" s="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"/>
    </row>
    <row r="15" spans="1:15" x14ac:dyDescent="0.2">
      <c r="A15" s="66" t="s">
        <v>100</v>
      </c>
      <c r="B15" s="9" t="s">
        <v>37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9"/>
    </row>
    <row r="16" spans="1:15" x14ac:dyDescent="0.2">
      <c r="A16" s="66"/>
      <c r="B16" s="9"/>
      <c r="C16" s="18"/>
      <c r="D16" s="18"/>
      <c r="E16" s="18"/>
      <c r="F16" s="18"/>
      <c r="G16" s="18"/>
      <c r="H16" s="18"/>
      <c r="I16" s="28"/>
      <c r="J16" s="28"/>
      <c r="K16" s="28"/>
      <c r="L16" s="28"/>
      <c r="M16" s="28"/>
      <c r="N16" s="28"/>
      <c r="O16" s="9"/>
    </row>
    <row r="17" spans="1:15" x14ac:dyDescent="0.2">
      <c r="A17" s="66" t="s">
        <v>101</v>
      </c>
      <c r="B17" s="9" t="s">
        <v>37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9"/>
    </row>
    <row r="18" spans="1:15" x14ac:dyDescent="0.2">
      <c r="B18" s="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"/>
    </row>
    <row r="19" spans="1:15" x14ac:dyDescent="0.2">
      <c r="A19" s="66" t="s">
        <v>102</v>
      </c>
      <c r="B19" s="9" t="s">
        <v>37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2.27</v>
      </c>
      <c r="L19" s="29">
        <v>2.27</v>
      </c>
      <c r="M19" s="29">
        <v>2.3849999999999998</v>
      </c>
      <c r="N19" s="29">
        <v>2.3849999999999998</v>
      </c>
      <c r="O19" s="9"/>
    </row>
    <row r="20" spans="1:15" x14ac:dyDescent="0.2">
      <c r="B20" s="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"/>
    </row>
    <row r="21" spans="1:15" x14ac:dyDescent="0.2">
      <c r="A21" s="66" t="s">
        <v>105</v>
      </c>
      <c r="B21" s="9" t="s">
        <v>37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2.1850000000000001</v>
      </c>
      <c r="K21" s="29">
        <v>0</v>
      </c>
      <c r="L21" s="29">
        <v>0</v>
      </c>
      <c r="M21" s="29">
        <v>2.36</v>
      </c>
      <c r="N21" s="29">
        <v>0</v>
      </c>
      <c r="O21" s="9"/>
    </row>
    <row r="22" spans="1:15" x14ac:dyDescent="0.2">
      <c r="A22" s="66"/>
      <c r="B22" s="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"/>
    </row>
    <row r="23" spans="1:15" x14ac:dyDescent="0.2">
      <c r="A23" s="66" t="s">
        <v>106</v>
      </c>
      <c r="B23" s="9" t="s">
        <v>37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9"/>
    </row>
    <row r="24" spans="1:15" x14ac:dyDescent="0.2">
      <c r="A24" s="66"/>
      <c r="B24" s="9"/>
      <c r="C24" s="16"/>
      <c r="D24" s="16" t="s">
        <v>2</v>
      </c>
      <c r="E24" s="16" t="s">
        <v>2</v>
      </c>
      <c r="F24" s="63" t="s">
        <v>2</v>
      </c>
      <c r="G24" s="63" t="s">
        <v>2</v>
      </c>
      <c r="H24" s="63" t="s">
        <v>2</v>
      </c>
      <c r="I24" s="63"/>
      <c r="J24" s="63"/>
      <c r="K24" s="63"/>
      <c r="L24" s="63"/>
      <c r="M24" s="63"/>
      <c r="N24" s="63"/>
      <c r="O24" s="9"/>
    </row>
    <row r="25" spans="1:15" x14ac:dyDescent="0.2">
      <c r="A25" s="4"/>
      <c r="B25" s="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9"/>
    </row>
    <row r="26" spans="1:15" x14ac:dyDescent="0.2">
      <c r="A26" t="s">
        <v>38</v>
      </c>
      <c r="B26" s="9" t="s">
        <v>39</v>
      </c>
      <c r="C26" s="62">
        <v>39.28</v>
      </c>
      <c r="D26" s="62">
        <v>39.28</v>
      </c>
      <c r="E26" s="62">
        <v>39.28</v>
      </c>
      <c r="F26" s="62">
        <v>39.28</v>
      </c>
      <c r="G26" s="62">
        <v>39.28</v>
      </c>
      <c r="H26" s="62">
        <v>39.28</v>
      </c>
      <c r="I26" s="62">
        <v>39.28</v>
      </c>
      <c r="J26" s="62">
        <v>39.28</v>
      </c>
      <c r="K26" s="62">
        <v>39.28</v>
      </c>
      <c r="L26" s="62">
        <v>39.28</v>
      </c>
      <c r="M26" s="62">
        <v>39.28</v>
      </c>
      <c r="N26" s="62">
        <v>39.28</v>
      </c>
      <c r="O26" s="9"/>
    </row>
    <row r="27" spans="1:15" x14ac:dyDescent="0.2">
      <c r="A27" s="9"/>
      <c r="B27" s="9"/>
      <c r="C27" s="62"/>
      <c r="D27" s="62"/>
      <c r="E27" s="62"/>
      <c r="F27" s="62"/>
      <c r="O27" s="9"/>
    </row>
    <row r="28" spans="1:15" x14ac:dyDescent="0.2">
      <c r="A28" s="39"/>
      <c r="B28" s="39"/>
      <c r="C28" s="62"/>
      <c r="D28" s="40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9"/>
    </row>
    <row r="29" spans="1:15" x14ac:dyDescent="0.2">
      <c r="C29" s="62"/>
      <c r="F29" s="62"/>
    </row>
    <row r="31" spans="1:15" x14ac:dyDescent="0.2">
      <c r="C31" s="62"/>
      <c r="F31" s="62"/>
    </row>
    <row r="33" spans="3:6" x14ac:dyDescent="0.2">
      <c r="C33" s="62"/>
      <c r="F33" s="62"/>
    </row>
    <row r="35" spans="3:6" x14ac:dyDescent="0.2">
      <c r="C35" s="62"/>
      <c r="F35" s="62"/>
    </row>
    <row r="37" spans="3:6" x14ac:dyDescent="0.2">
      <c r="C37" s="62"/>
      <c r="F37" s="62"/>
    </row>
    <row r="39" spans="3:6" x14ac:dyDescent="0.2">
      <c r="C39" s="62"/>
      <c r="F39" s="62"/>
    </row>
    <row r="41" spans="3:6" x14ac:dyDescent="0.2">
      <c r="C41" s="62"/>
      <c r="F41" s="62"/>
    </row>
    <row r="43" spans="3:6" x14ac:dyDescent="0.2">
      <c r="C43" s="62"/>
      <c r="F43" s="62"/>
    </row>
    <row r="44" spans="3:6" x14ac:dyDescent="0.2">
      <c r="F44" s="62"/>
    </row>
    <row r="45" spans="3:6" x14ac:dyDescent="0.2">
      <c r="C45" s="62"/>
      <c r="F45" s="62"/>
    </row>
    <row r="46" spans="3:6" x14ac:dyDescent="0.2">
      <c r="F46" s="62"/>
    </row>
    <row r="47" spans="3:6" x14ac:dyDescent="0.2">
      <c r="C47" s="62"/>
      <c r="F47" s="62"/>
    </row>
    <row r="48" spans="3:6" x14ac:dyDescent="0.2">
      <c r="F48" s="62"/>
    </row>
    <row r="49" spans="3:6" x14ac:dyDescent="0.2">
      <c r="C49" s="62"/>
      <c r="F49" s="62"/>
    </row>
    <row r="50" spans="3:6" x14ac:dyDescent="0.2">
      <c r="C50" s="62"/>
      <c r="F50" s="62"/>
    </row>
    <row r="51" spans="3:6" x14ac:dyDescent="0.2">
      <c r="C51" s="62"/>
      <c r="F51" s="62"/>
    </row>
    <row r="52" spans="3:6" x14ac:dyDescent="0.2">
      <c r="C52" s="62"/>
    </row>
    <row r="53" spans="3:6" x14ac:dyDescent="0.2">
      <c r="C53" s="62"/>
    </row>
    <row r="54" spans="3:6" x14ac:dyDescent="0.2">
      <c r="C54" s="62"/>
    </row>
    <row r="55" spans="3:6" x14ac:dyDescent="0.2">
      <c r="C55" s="62"/>
    </row>
    <row r="56" spans="3:6" x14ac:dyDescent="0.2">
      <c r="C56" s="62"/>
    </row>
  </sheetData>
  <mergeCells count="3">
    <mergeCell ref="A6:N6"/>
    <mergeCell ref="A10:N10"/>
    <mergeCell ref="A8:N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topLeftCell="A19" colorId="22" zoomScale="87" workbookViewId="0">
      <selection activeCell="E24" sqref="E24"/>
    </sheetView>
  </sheetViews>
  <sheetFormatPr defaultColWidth="9.77734375" defaultRowHeight="15" x14ac:dyDescent="0.2"/>
  <cols>
    <col min="1" max="1" width="9.77734375" style="96"/>
    <col min="2" max="2" width="9.6640625" style="96" bestFit="1" customWidth="1"/>
    <col min="3" max="3" width="10.6640625" style="96" customWidth="1"/>
    <col min="4" max="4" width="10.77734375" style="96" customWidth="1"/>
    <col min="5" max="5" width="15.109375" style="96" customWidth="1"/>
    <col min="6" max="6" width="10.77734375" style="96" customWidth="1"/>
    <col min="7" max="8" width="12.77734375" style="96" customWidth="1"/>
    <col min="9" max="10" width="10.33203125" style="96" customWidth="1"/>
    <col min="11" max="12" width="13.109375" style="96" customWidth="1"/>
    <col min="13" max="13" width="12.77734375" style="96" customWidth="1"/>
    <col min="14" max="14" width="13.44140625" style="96" bestFit="1" customWidth="1"/>
    <col min="15" max="16384" width="9.77734375" style="96"/>
  </cols>
  <sheetData>
    <row r="1" spans="1:14" ht="15.75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N1" s="90" t="str">
        <f>Info!$C$3</f>
        <v xml:space="preserve"> </v>
      </c>
    </row>
    <row r="2" spans="1:14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N2" s="91">
        <f>Info!$C$1</f>
        <v>44105</v>
      </c>
    </row>
    <row r="3" spans="1:14" ht="15.75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N3" s="93" t="str">
        <f>Info!$C$2</f>
        <v>EB-2020-0206</v>
      </c>
    </row>
    <row r="4" spans="1:14" ht="15.75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N4" s="93" t="s">
        <v>40</v>
      </c>
    </row>
    <row r="5" spans="1:14" ht="15.75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4"/>
    </row>
    <row r="6" spans="1:14" ht="15.75" x14ac:dyDescent="0.25">
      <c r="A6" s="136" t="s">
        <v>93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5.75" x14ac:dyDescent="0.25">
      <c r="A7" s="94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4" ht="15.75" x14ac:dyDescent="0.25">
      <c r="A8" s="138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ht="15.75" x14ac:dyDescent="0.25">
      <c r="A9" s="94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4" ht="15.75" x14ac:dyDescent="0.25">
      <c r="A10" s="139" t="str">
        <f>"PROJECTED TWELVE MONTH FORWARD PERIOD - "&amp;UPPER(TEXT(Info!$C$5,"mmmm, yyyy"))&amp;" TO "&amp;UPPER(TEXT(Info!$D$5,"mmmm, yyyy"))</f>
        <v>PROJECTED TWELVE MONTH FORWARD PERIOD - OCTOBER, 2020 TO SEPTEMBER, 2021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ht="15.75" x14ac:dyDescent="0.25">
      <c r="A11" s="141" t="s">
        <v>46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">
      <c r="A12" s="97"/>
      <c r="B12" s="92"/>
      <c r="C12" s="92"/>
      <c r="D12" s="92"/>
      <c r="E12" s="92"/>
      <c r="F12" s="92"/>
      <c r="G12" s="92"/>
      <c r="H12" s="92"/>
      <c r="I12" s="92"/>
      <c r="J12" s="92" t="s">
        <v>2</v>
      </c>
      <c r="K12" s="92"/>
      <c r="L12" s="92" t="s">
        <v>4</v>
      </c>
      <c r="M12" s="92" t="s">
        <v>5</v>
      </c>
      <c r="N12" s="97"/>
    </row>
    <row r="13" spans="1:14" x14ac:dyDescent="0.2">
      <c r="A13" s="97"/>
      <c r="B13" s="92" t="s">
        <v>6</v>
      </c>
      <c r="C13" s="92" t="s">
        <v>2</v>
      </c>
      <c r="D13" s="92" t="s">
        <v>7</v>
      </c>
      <c r="E13" s="92" t="s">
        <v>8</v>
      </c>
      <c r="F13" s="92" t="s">
        <v>9</v>
      </c>
      <c r="G13" s="92" t="s">
        <v>10</v>
      </c>
      <c r="H13" s="92" t="s">
        <v>11</v>
      </c>
      <c r="I13" s="92" t="s">
        <v>10</v>
      </c>
      <c r="J13" s="92" t="s">
        <v>11</v>
      </c>
      <c r="K13" s="92" t="s">
        <v>4</v>
      </c>
      <c r="L13" s="92" t="s">
        <v>11</v>
      </c>
      <c r="M13" s="92" t="s">
        <v>12</v>
      </c>
      <c r="N13" s="92" t="s">
        <v>10</v>
      </c>
    </row>
    <row r="14" spans="1:14" x14ac:dyDescent="0.2">
      <c r="A14" s="97"/>
      <c r="B14" s="92" t="s">
        <v>13</v>
      </c>
      <c r="C14" s="92" t="s">
        <v>2</v>
      </c>
      <c r="D14" s="92" t="s">
        <v>14</v>
      </c>
      <c r="E14" s="92" t="s">
        <v>14</v>
      </c>
      <c r="F14" s="92" t="s">
        <v>15</v>
      </c>
      <c r="G14" s="92" t="s">
        <v>16</v>
      </c>
      <c r="H14" s="92" t="s">
        <v>16</v>
      </c>
      <c r="I14" s="92" t="s">
        <v>17</v>
      </c>
      <c r="J14" s="92" t="s">
        <v>17</v>
      </c>
      <c r="K14" s="92" t="s">
        <v>16</v>
      </c>
      <c r="L14" s="92" t="s">
        <v>16</v>
      </c>
      <c r="M14" s="92" t="s">
        <v>18</v>
      </c>
      <c r="N14" s="92" t="s">
        <v>17</v>
      </c>
    </row>
    <row r="15" spans="1:14" x14ac:dyDescent="0.2">
      <c r="A15" s="98" t="s">
        <v>20</v>
      </c>
      <c r="B15" s="99" t="s">
        <v>21</v>
      </c>
      <c r="C15" s="99" t="s">
        <v>22</v>
      </c>
      <c r="D15" s="99" t="s">
        <v>23</v>
      </c>
      <c r="E15" s="99" t="s">
        <v>23</v>
      </c>
      <c r="F15" s="99" t="s">
        <v>23</v>
      </c>
      <c r="G15" s="99" t="s">
        <v>21</v>
      </c>
      <c r="H15" s="99" t="s">
        <v>21</v>
      </c>
      <c r="I15" s="99" t="s">
        <v>21</v>
      </c>
      <c r="J15" s="99" t="s">
        <v>21</v>
      </c>
      <c r="K15" s="99" t="s">
        <v>21</v>
      </c>
      <c r="L15" s="99" t="s">
        <v>21</v>
      </c>
      <c r="M15" s="99" t="s">
        <v>24</v>
      </c>
      <c r="N15" s="99" t="s">
        <v>60</v>
      </c>
    </row>
    <row r="16" spans="1:14" x14ac:dyDescent="0.2">
      <c r="A16" s="100"/>
      <c r="B16" s="100"/>
      <c r="C16" s="100"/>
      <c r="D16" s="101"/>
      <c r="E16" s="102"/>
      <c r="F16" s="102"/>
      <c r="G16" s="103"/>
      <c r="H16" s="104" t="s">
        <v>25</v>
      </c>
      <c r="I16" s="105"/>
      <c r="J16" s="104" t="s">
        <v>26</v>
      </c>
      <c r="K16" s="103"/>
      <c r="L16" s="103"/>
      <c r="M16" s="106"/>
      <c r="N16" s="107"/>
    </row>
    <row r="17" spans="1:14" x14ac:dyDescent="0.2">
      <c r="A17" s="108" t="s">
        <v>121</v>
      </c>
      <c r="B17" s="109">
        <v>43641.68</v>
      </c>
      <c r="C17" s="109">
        <v>383554</v>
      </c>
      <c r="D17" s="110">
        <v>0.11378199999999999</v>
      </c>
      <c r="E17" s="102">
        <v>0.137355</v>
      </c>
      <c r="F17" s="102">
        <f t="shared" ref="F17" si="0">E17-D17</f>
        <v>2.3573000000000011E-2</v>
      </c>
      <c r="G17" s="88">
        <f t="shared" ref="G17" si="1">ROUND(F17*C17,2)</f>
        <v>9041.52</v>
      </c>
      <c r="H17" s="88">
        <f>E48+G17</f>
        <v>71248.37</v>
      </c>
      <c r="I17" s="88">
        <f>ROUND(E48*N17/12,2)</f>
        <v>29.55</v>
      </c>
      <c r="J17" s="88">
        <f>E49+I17</f>
        <v>101.22999999999999</v>
      </c>
      <c r="K17" s="88">
        <f t="shared" ref="K17" si="2">G17+I17</f>
        <v>9071.07</v>
      </c>
      <c r="L17" s="88">
        <f t="shared" ref="L17" si="3">H17+J17</f>
        <v>71349.599999999991</v>
      </c>
      <c r="M17" s="111">
        <v>145.87770702213766</v>
      </c>
      <c r="N17" s="112">
        <v>5.7000000000000002E-3</v>
      </c>
    </row>
    <row r="18" spans="1:14" x14ac:dyDescent="0.2">
      <c r="A18" s="113"/>
      <c r="B18" s="109"/>
      <c r="C18" s="109"/>
      <c r="D18" s="102"/>
      <c r="E18" s="102"/>
      <c r="F18" s="114"/>
      <c r="G18" s="88"/>
      <c r="H18" s="97"/>
      <c r="I18" s="97"/>
      <c r="J18" s="97"/>
      <c r="K18" s="97"/>
      <c r="L18" s="97"/>
      <c r="M18" s="115"/>
      <c r="N18" s="115"/>
    </row>
    <row r="19" spans="1:14" x14ac:dyDescent="0.2">
      <c r="A19" s="108" t="s">
        <v>122</v>
      </c>
      <c r="B19" s="116">
        <v>90836.12</v>
      </c>
      <c r="C19" s="116">
        <v>612525</v>
      </c>
      <c r="D19" s="102">
        <v>0.14829800000000001</v>
      </c>
      <c r="E19" s="102">
        <f>E17</f>
        <v>0.137355</v>
      </c>
      <c r="F19" s="102">
        <f t="shared" ref="F19" si="4">E19-D19</f>
        <v>-1.0943000000000008E-2</v>
      </c>
      <c r="G19" s="88">
        <f t="shared" ref="G19" si="5">ROUND(F19*C19,2)</f>
        <v>-6702.86</v>
      </c>
      <c r="H19" s="88">
        <f t="shared" ref="H19" si="6">H17+G19</f>
        <v>64545.509999999995</v>
      </c>
      <c r="I19" s="88">
        <f t="shared" ref="I19" si="7">ROUND(H17*N19/12,2)</f>
        <v>33.840000000000003</v>
      </c>
      <c r="J19" s="88">
        <f t="shared" ref="J19" si="8">J17+I19</f>
        <v>135.07</v>
      </c>
      <c r="K19" s="88">
        <f t="shared" ref="K19" si="9">G19+I19</f>
        <v>-6669.0199999999995</v>
      </c>
      <c r="L19" s="88">
        <f t="shared" ref="L19" si="10">H19+J19</f>
        <v>64680.579999999994</v>
      </c>
      <c r="M19" s="111">
        <v>212.87895186392396</v>
      </c>
      <c r="N19" s="112">
        <v>5.7000000000000002E-3</v>
      </c>
    </row>
    <row r="20" spans="1:14" x14ac:dyDescent="0.2">
      <c r="A20" s="97"/>
      <c r="B20" s="117"/>
      <c r="C20" s="117"/>
      <c r="D20" s="101"/>
      <c r="E20" s="102"/>
      <c r="F20" s="114"/>
      <c r="G20" s="88"/>
      <c r="H20" s="97"/>
      <c r="I20" s="97"/>
      <c r="J20" s="97"/>
      <c r="K20" s="97"/>
      <c r="L20" s="97"/>
      <c r="M20" s="118"/>
      <c r="N20" s="118"/>
    </row>
    <row r="21" spans="1:14" x14ac:dyDescent="0.2">
      <c r="A21" s="108" t="s">
        <v>123</v>
      </c>
      <c r="B21" s="116">
        <v>98794.09</v>
      </c>
      <c r="C21" s="116">
        <v>583223</v>
      </c>
      <c r="D21" s="102">
        <v>0.16939299999999999</v>
      </c>
      <c r="E21" s="102">
        <f>E19</f>
        <v>0.137355</v>
      </c>
      <c r="F21" s="102">
        <f t="shared" ref="F21" si="11">E21-D21</f>
        <v>-3.2037999999999983E-2</v>
      </c>
      <c r="G21" s="88">
        <f t="shared" ref="G21" si="12">ROUND(F21*C21,2)</f>
        <v>-18685.3</v>
      </c>
      <c r="H21" s="88">
        <f t="shared" ref="H21" si="13">H19+G21</f>
        <v>45860.209999999992</v>
      </c>
      <c r="I21" s="88">
        <f t="shared" ref="I21" si="14">ROUND(H19*N21/12,2)</f>
        <v>30.66</v>
      </c>
      <c r="J21" s="88">
        <f t="shared" ref="J21" si="15">J19+I21</f>
        <v>165.73</v>
      </c>
      <c r="K21" s="88">
        <f t="shared" ref="K21" si="16">G21+I21</f>
        <v>-18654.64</v>
      </c>
      <c r="L21" s="88">
        <f t="shared" ref="L21" si="17">H21+J21</f>
        <v>46025.939999999995</v>
      </c>
      <c r="M21" s="111">
        <v>278.04411937652787</v>
      </c>
      <c r="N21" s="112">
        <v>5.7000000000000002E-3</v>
      </c>
    </row>
    <row r="22" spans="1:14" x14ac:dyDescent="0.2">
      <c r="A22" s="108"/>
      <c r="B22" s="116"/>
      <c r="C22" s="116"/>
      <c r="D22" s="102"/>
      <c r="E22" s="102"/>
      <c r="F22" s="102"/>
      <c r="G22" s="88"/>
      <c r="H22" s="88"/>
      <c r="I22" s="88"/>
      <c r="J22" s="88"/>
      <c r="K22" s="88"/>
      <c r="L22" s="88"/>
      <c r="M22" s="111"/>
      <c r="N22" s="112"/>
    </row>
    <row r="23" spans="1:14" x14ac:dyDescent="0.2">
      <c r="A23" s="116" t="s">
        <v>124</v>
      </c>
      <c r="B23" s="116">
        <v>60682.5</v>
      </c>
      <c r="C23" s="116">
        <v>355143</v>
      </c>
      <c r="D23" s="102">
        <v>0.17086799999999999</v>
      </c>
      <c r="E23" s="102">
        <f>E21</f>
        <v>0.137355</v>
      </c>
      <c r="F23" s="102">
        <f>E23-D23</f>
        <v>-3.3512999999999987E-2</v>
      </c>
      <c r="G23" s="88">
        <f>ROUND(F23*C23,2)</f>
        <v>-11901.91</v>
      </c>
      <c r="H23" s="88">
        <f>H21+G23</f>
        <v>33958.299999999988</v>
      </c>
      <c r="I23" s="88">
        <f>ROUND(H21*N23/12,2)</f>
        <v>21.78</v>
      </c>
      <c r="J23" s="88">
        <f>J21+I23</f>
        <v>187.51</v>
      </c>
      <c r="K23" s="88">
        <f>G23+I23</f>
        <v>-11880.13</v>
      </c>
      <c r="L23" s="88">
        <f>H23+J23</f>
        <v>34145.80999999999</v>
      </c>
      <c r="M23" s="111">
        <v>316.3238417120067</v>
      </c>
      <c r="N23" s="119">
        <v>5.7000000000000002E-3</v>
      </c>
    </row>
    <row r="24" spans="1:14" x14ac:dyDescent="0.2">
      <c r="A24" s="116"/>
      <c r="B24" s="116"/>
      <c r="C24" s="116"/>
      <c r="D24" s="102"/>
      <c r="E24" s="102"/>
      <c r="F24" s="102"/>
      <c r="G24" s="88"/>
      <c r="H24" s="88"/>
      <c r="I24" s="88"/>
      <c r="J24" s="88"/>
      <c r="K24" s="88"/>
      <c r="L24" s="88"/>
      <c r="M24" s="120"/>
      <c r="N24" s="119"/>
    </row>
    <row r="25" spans="1:14" x14ac:dyDescent="0.2">
      <c r="A25" s="108" t="s">
        <v>125</v>
      </c>
      <c r="B25" s="116">
        <v>74046.240000000005</v>
      </c>
      <c r="C25" s="116">
        <v>431976</v>
      </c>
      <c r="D25" s="102">
        <v>0.17141300000000001</v>
      </c>
      <c r="E25" s="102">
        <f t="shared" ref="E25:E39" si="18">E23</f>
        <v>0.137355</v>
      </c>
      <c r="F25" s="102">
        <f t="shared" ref="F25" si="19">E25-D25</f>
        <v>-3.4058000000000005E-2</v>
      </c>
      <c r="G25" s="88">
        <f t="shared" ref="G25" si="20">ROUND(F25*C25,2)</f>
        <v>-14712.24</v>
      </c>
      <c r="H25" s="88">
        <f t="shared" ref="H25" si="21">H23+G25</f>
        <v>19246.05999999999</v>
      </c>
      <c r="I25" s="88">
        <f t="shared" ref="I25" si="22">ROUND(H23*N25/12,2)</f>
        <v>16.13</v>
      </c>
      <c r="J25" s="88">
        <f t="shared" ref="J25" si="23">J23+I25</f>
        <v>203.64</v>
      </c>
      <c r="K25" s="88">
        <f t="shared" ref="K25" si="24">G25+I25</f>
        <v>-14696.11</v>
      </c>
      <c r="L25" s="88">
        <f t="shared" ref="L25" si="25">H25+J25</f>
        <v>19449.69999999999</v>
      </c>
      <c r="M25" s="111">
        <v>317.39789885446339</v>
      </c>
      <c r="N25" s="112">
        <v>5.7000000000000002E-3</v>
      </c>
    </row>
    <row r="26" spans="1:14" x14ac:dyDescent="0.2">
      <c r="A26" s="108"/>
      <c r="B26" s="116"/>
      <c r="C26" s="116"/>
      <c r="D26" s="102"/>
      <c r="E26" s="102"/>
      <c r="F26" s="114"/>
      <c r="G26" s="88"/>
      <c r="H26" s="97"/>
      <c r="I26" s="97"/>
      <c r="J26" s="97"/>
      <c r="K26" s="97"/>
      <c r="L26" s="97"/>
      <c r="M26" s="118"/>
      <c r="N26" s="118"/>
    </row>
    <row r="27" spans="1:14" x14ac:dyDescent="0.2">
      <c r="A27" s="108" t="s">
        <v>126</v>
      </c>
      <c r="B27" s="116">
        <v>61621.98</v>
      </c>
      <c r="C27" s="116">
        <v>360667</v>
      </c>
      <c r="D27" s="102">
        <v>0.17085600000000001</v>
      </c>
      <c r="E27" s="102">
        <f t="shared" si="18"/>
        <v>0.137355</v>
      </c>
      <c r="F27" s="102">
        <f t="shared" ref="F27" si="26">E27-D27</f>
        <v>-3.3501000000000003E-2</v>
      </c>
      <c r="G27" s="88">
        <f t="shared" ref="G27" si="27">ROUND(F27*C27,2)</f>
        <v>-12082.71</v>
      </c>
      <c r="H27" s="88">
        <f t="shared" ref="H27" si="28">H25+G27</f>
        <v>7163.3499999999913</v>
      </c>
      <c r="I27" s="88">
        <f t="shared" ref="I27" si="29">ROUND(H25*N27/12,2)</f>
        <v>9.14</v>
      </c>
      <c r="J27" s="88">
        <f t="shared" ref="J27" si="30">J25+I27</f>
        <v>212.77999999999997</v>
      </c>
      <c r="K27" s="88">
        <f t="shared" ref="K27" si="31">G27+I27</f>
        <v>-12073.57</v>
      </c>
      <c r="L27" s="88">
        <f t="shared" ref="L27" si="32">H27+J27</f>
        <v>7376.129999999991</v>
      </c>
      <c r="M27" s="111">
        <v>268.76886616926487</v>
      </c>
      <c r="N27" s="112">
        <v>5.7000000000000002E-3</v>
      </c>
    </row>
    <row r="28" spans="1:14" x14ac:dyDescent="0.2">
      <c r="A28" s="97"/>
      <c r="B28" s="121"/>
      <c r="C28" s="121"/>
      <c r="D28" s="114"/>
      <c r="E28" s="102"/>
      <c r="F28" s="114"/>
      <c r="G28" s="88"/>
      <c r="H28" s="97"/>
      <c r="I28" s="97"/>
      <c r="J28" s="97"/>
      <c r="K28" s="97"/>
      <c r="L28" s="97"/>
      <c r="M28" s="122"/>
      <c r="N28" s="122"/>
    </row>
    <row r="29" spans="1:14" x14ac:dyDescent="0.2">
      <c r="A29" s="108" t="s">
        <v>127</v>
      </c>
      <c r="B29" s="116">
        <v>104846.82999999999</v>
      </c>
      <c r="C29" s="116">
        <v>726324</v>
      </c>
      <c r="D29" s="102">
        <v>0.14435300000000001</v>
      </c>
      <c r="E29" s="102">
        <f t="shared" si="18"/>
        <v>0.137355</v>
      </c>
      <c r="F29" s="102">
        <f t="shared" ref="F29" si="33">E29-D29</f>
        <v>-6.9980000000000042E-3</v>
      </c>
      <c r="G29" s="88">
        <f t="shared" ref="G29" si="34">ROUND(F29*C29,2)</f>
        <v>-5082.82</v>
      </c>
      <c r="H29" s="88">
        <f t="shared" ref="H29" si="35">H27+G29</f>
        <v>2080.5299999999916</v>
      </c>
      <c r="I29" s="88">
        <f t="shared" ref="I29" si="36">ROUND(H27*N29/12,2)</f>
        <v>3.4</v>
      </c>
      <c r="J29" s="88">
        <f t="shared" ref="J29" si="37">J27+I29</f>
        <v>216.17999999999998</v>
      </c>
      <c r="K29" s="88">
        <f t="shared" ref="K29" si="38">G29+I29</f>
        <v>-5079.42</v>
      </c>
      <c r="L29" s="88">
        <f t="shared" ref="L29" si="39">H29+J29</f>
        <v>2296.7099999999914</v>
      </c>
      <c r="M29" s="111">
        <v>195.47981857446732</v>
      </c>
      <c r="N29" s="112">
        <v>5.7000000000000002E-3</v>
      </c>
    </row>
    <row r="30" spans="1:14" x14ac:dyDescent="0.2">
      <c r="A30" s="97"/>
      <c r="B30" s="121"/>
      <c r="C30" s="121"/>
      <c r="D30" s="102"/>
      <c r="E30" s="102"/>
      <c r="F30" s="114"/>
      <c r="G30" s="88"/>
      <c r="H30" s="97"/>
      <c r="I30" s="97"/>
      <c r="J30" s="97"/>
      <c r="K30" s="97"/>
      <c r="L30" s="97"/>
      <c r="M30" s="115"/>
      <c r="N30" s="115"/>
    </row>
    <row r="31" spans="1:14" x14ac:dyDescent="0.2">
      <c r="A31" s="108" t="s">
        <v>128</v>
      </c>
      <c r="B31" s="116">
        <v>144583.87</v>
      </c>
      <c r="C31" s="116">
        <v>1051222</v>
      </c>
      <c r="D31" s="102">
        <v>0.13753899999999999</v>
      </c>
      <c r="E31" s="102">
        <f t="shared" si="18"/>
        <v>0.137355</v>
      </c>
      <c r="F31" s="102">
        <f t="shared" ref="F31" si="40">E31-D31</f>
        <v>-1.8399999999998973E-4</v>
      </c>
      <c r="G31" s="88">
        <f t="shared" ref="G31" si="41">ROUND(F31*C31,2)</f>
        <v>-193.42</v>
      </c>
      <c r="H31" s="88">
        <f t="shared" ref="H31" si="42">H29+G31</f>
        <v>1887.1099999999915</v>
      </c>
      <c r="I31" s="88">
        <f t="shared" ref="I31" si="43">ROUND(H29*N31/12,2)</f>
        <v>0.99</v>
      </c>
      <c r="J31" s="88">
        <f t="shared" ref="J31" si="44">J29+I31</f>
        <v>217.17</v>
      </c>
      <c r="K31" s="88">
        <f t="shared" ref="K31" si="45">G31+I31</f>
        <v>-192.42999999999998</v>
      </c>
      <c r="L31" s="88">
        <f t="shared" ref="L31" si="46">H31+J31</f>
        <v>2104.2799999999916</v>
      </c>
      <c r="M31" s="111">
        <v>125.64090640356913</v>
      </c>
      <c r="N31" s="112">
        <v>5.7000000000000002E-3</v>
      </c>
    </row>
    <row r="32" spans="1:14" x14ac:dyDescent="0.2">
      <c r="A32" s="97"/>
      <c r="B32" s="117"/>
      <c r="C32" s="117"/>
      <c r="D32" s="101"/>
      <c r="E32" s="102"/>
      <c r="F32" s="102"/>
      <c r="G32" s="103"/>
      <c r="H32" s="103"/>
      <c r="I32" s="103"/>
      <c r="J32" s="103"/>
      <c r="K32" s="103"/>
      <c r="L32" s="103"/>
      <c r="M32" s="118"/>
      <c r="N32" s="118"/>
    </row>
    <row r="33" spans="1:14" x14ac:dyDescent="0.2">
      <c r="A33" s="108" t="s">
        <v>129</v>
      </c>
      <c r="B33" s="116">
        <v>115993.34</v>
      </c>
      <c r="C33" s="116">
        <v>846996</v>
      </c>
      <c r="D33" s="102">
        <v>0.13694700000000001</v>
      </c>
      <c r="E33" s="102">
        <f t="shared" si="18"/>
        <v>0.137355</v>
      </c>
      <c r="F33" s="102">
        <f t="shared" ref="F33" si="47">E33-D33</f>
        <v>4.079999999999917E-4</v>
      </c>
      <c r="G33" s="88">
        <f t="shared" ref="G33" si="48">ROUND(F33*C33,2)</f>
        <v>345.57</v>
      </c>
      <c r="H33" s="88">
        <f t="shared" ref="H33" si="49">H31+G33</f>
        <v>2232.6799999999917</v>
      </c>
      <c r="I33" s="88">
        <f t="shared" ref="I33" si="50">ROUND(H31*N33/12,2)</f>
        <v>0.9</v>
      </c>
      <c r="J33" s="88">
        <f t="shared" ref="J33" si="51">J31+I33</f>
        <v>218.07</v>
      </c>
      <c r="K33" s="88">
        <f t="shared" ref="K33" si="52">G33+I33</f>
        <v>346.46999999999997</v>
      </c>
      <c r="L33" s="88">
        <f t="shared" ref="L33" si="53">H33+J33</f>
        <v>2450.7499999999918</v>
      </c>
      <c r="M33" s="111">
        <v>77.025998415530879</v>
      </c>
      <c r="N33" s="112">
        <v>5.7000000000000002E-3</v>
      </c>
    </row>
    <row r="34" spans="1:14" x14ac:dyDescent="0.2">
      <c r="A34" s="97"/>
      <c r="B34" s="121"/>
      <c r="C34" s="121"/>
      <c r="D34" s="102"/>
      <c r="E34" s="102"/>
      <c r="F34" s="102"/>
      <c r="G34" s="103"/>
      <c r="H34" s="103"/>
      <c r="I34" s="103"/>
      <c r="J34" s="103"/>
      <c r="K34" s="103"/>
      <c r="L34" s="103"/>
      <c r="M34" s="115"/>
      <c r="N34" s="115"/>
    </row>
    <row r="35" spans="1:14" x14ac:dyDescent="0.2">
      <c r="A35" s="108" t="s">
        <v>130</v>
      </c>
      <c r="B35" s="116">
        <v>111458.48000000001</v>
      </c>
      <c r="C35" s="116">
        <v>806568</v>
      </c>
      <c r="D35" s="102">
        <v>0.13818900000000001</v>
      </c>
      <c r="E35" s="102">
        <f t="shared" si="18"/>
        <v>0.137355</v>
      </c>
      <c r="F35" s="102">
        <f t="shared" ref="F35" si="54">E35-D35</f>
        <v>-8.3400000000000141E-4</v>
      </c>
      <c r="G35" s="88">
        <f t="shared" ref="G35" si="55">ROUND(F35*C35,2)</f>
        <v>-672.68</v>
      </c>
      <c r="H35" s="88">
        <f t="shared" ref="H35" si="56">H33+G35</f>
        <v>1559.9999999999918</v>
      </c>
      <c r="I35" s="88">
        <f t="shared" ref="I35" si="57">ROUND(H33*N35/12,2)</f>
        <v>1.06</v>
      </c>
      <c r="J35" s="88">
        <f t="shared" ref="J35" si="58">J33+I35</f>
        <v>219.13</v>
      </c>
      <c r="K35" s="88">
        <f t="shared" ref="K35" si="59">G35+I35</f>
        <v>-671.62</v>
      </c>
      <c r="L35" s="88">
        <f t="shared" ref="L35" si="60">H35+J35</f>
        <v>1779.1299999999919</v>
      </c>
      <c r="M35" s="111">
        <v>61.689940826598239</v>
      </c>
      <c r="N35" s="112">
        <v>5.7000000000000002E-3</v>
      </c>
    </row>
    <row r="36" spans="1:14" x14ac:dyDescent="0.2">
      <c r="A36" s="97"/>
      <c r="B36" s="121"/>
      <c r="C36" s="121"/>
      <c r="D36" s="102"/>
      <c r="E36" s="102"/>
      <c r="F36" s="102"/>
      <c r="G36" s="88"/>
      <c r="H36" s="88"/>
      <c r="I36" s="88"/>
      <c r="J36" s="88"/>
      <c r="K36" s="88"/>
      <c r="L36" s="88"/>
      <c r="M36" s="115"/>
      <c r="N36" s="115"/>
    </row>
    <row r="37" spans="1:14" x14ac:dyDescent="0.2">
      <c r="A37" s="108" t="s">
        <v>131</v>
      </c>
      <c r="B37" s="116">
        <v>93402.709999999992</v>
      </c>
      <c r="C37" s="116">
        <v>672403</v>
      </c>
      <c r="D37" s="102">
        <v>0.138909</v>
      </c>
      <c r="E37" s="102">
        <f t="shared" si="18"/>
        <v>0.137355</v>
      </c>
      <c r="F37" s="102">
        <f t="shared" ref="F37" si="61">E37-D37</f>
        <v>-1.5539999999999998E-3</v>
      </c>
      <c r="G37" s="88">
        <f t="shared" ref="G37" si="62">ROUND(F37*C37,2)</f>
        <v>-1044.9100000000001</v>
      </c>
      <c r="H37" s="88">
        <f t="shared" ref="H37" si="63">H35+G37</f>
        <v>515.08999999999173</v>
      </c>
      <c r="I37" s="88">
        <f t="shared" ref="I37" si="64">ROUND(H35*N37/12,2)</f>
        <v>0.74</v>
      </c>
      <c r="J37" s="88">
        <f t="shared" ref="J37" si="65">J35+I37</f>
        <v>219.87</v>
      </c>
      <c r="K37" s="88">
        <f t="shared" ref="K37" si="66">G37+I37</f>
        <v>-1044.17</v>
      </c>
      <c r="L37" s="88">
        <f t="shared" ref="L37" si="67">H37+J37</f>
        <v>734.95999999999174</v>
      </c>
      <c r="M37" s="111">
        <v>62.988366477216438</v>
      </c>
      <c r="N37" s="112">
        <v>5.7000000000000002E-3</v>
      </c>
    </row>
    <row r="38" spans="1:14" x14ac:dyDescent="0.2">
      <c r="E38" s="102"/>
    </row>
    <row r="39" spans="1:14" x14ac:dyDescent="0.2">
      <c r="A39" s="108" t="s">
        <v>132</v>
      </c>
      <c r="B39" s="100">
        <v>114867.95000000001</v>
      </c>
      <c r="C39" s="100">
        <v>830957</v>
      </c>
      <c r="D39" s="101">
        <v>0.138236</v>
      </c>
      <c r="E39" s="102">
        <f t="shared" si="18"/>
        <v>0.137355</v>
      </c>
      <c r="F39" s="102">
        <f t="shared" ref="F39" si="68">E39-D39</f>
        <v>-8.809999999999929E-4</v>
      </c>
      <c r="G39" s="103">
        <f t="shared" ref="G39" si="69">ROUND(F39*C39,2)</f>
        <v>-732.07</v>
      </c>
      <c r="H39" s="103">
        <f t="shared" ref="H39" si="70">H37+G39</f>
        <v>-216.98000000000832</v>
      </c>
      <c r="I39" s="103">
        <f t="shared" ref="I39" si="71">ROUND(H37*N39/12,2)</f>
        <v>0.24</v>
      </c>
      <c r="J39" s="103">
        <f t="shared" ref="J39" si="72">J37+I39</f>
        <v>220.11</v>
      </c>
      <c r="K39" s="103">
        <f t="shared" ref="K39" si="73">G39+I39</f>
        <v>-731.83</v>
      </c>
      <c r="L39" s="103">
        <f t="shared" ref="L39" si="74">H39+J39</f>
        <v>3.1299999999916963</v>
      </c>
      <c r="M39" s="123">
        <v>86.883584304292754</v>
      </c>
      <c r="N39" s="112">
        <v>5.7000000000000002E-3</v>
      </c>
    </row>
    <row r="40" spans="1:14" x14ac:dyDescent="0.2">
      <c r="A40" s="97"/>
      <c r="B40" s="121"/>
      <c r="C40" s="121"/>
      <c r="D40" s="102"/>
      <c r="E40" s="114"/>
      <c r="F40" s="114"/>
      <c r="G40" s="88"/>
      <c r="H40" s="97"/>
      <c r="I40" s="97"/>
      <c r="J40" s="97"/>
      <c r="K40" s="97"/>
      <c r="L40" s="97"/>
      <c r="M40" s="124"/>
      <c r="N40" s="97"/>
    </row>
    <row r="41" spans="1:14" x14ac:dyDescent="0.2">
      <c r="A41" s="97" t="s">
        <v>4</v>
      </c>
      <c r="B41" s="121">
        <f>SUM(B17:B39)</f>
        <v>1114775.7899999998</v>
      </c>
      <c r="C41" s="121">
        <f>SUM(C17:C39)</f>
        <v>7661558</v>
      </c>
      <c r="D41" s="102">
        <f>ROUND(B41/C41,6)</f>
        <v>0.14550199999999999</v>
      </c>
      <c r="E41" s="114"/>
      <c r="F41" s="114"/>
      <c r="G41" s="88">
        <f>SUM(G17:G39)</f>
        <v>-62423.83</v>
      </c>
      <c r="H41" s="88">
        <f>H39</f>
        <v>-216.98000000000832</v>
      </c>
      <c r="I41" s="88">
        <f>SUM(I17:I39)</f>
        <v>148.43000000000006</v>
      </c>
      <c r="J41" s="88">
        <f>J39</f>
        <v>220.11</v>
      </c>
      <c r="K41" s="88">
        <f>SUM(K17:K39)</f>
        <v>-62275.4</v>
      </c>
      <c r="L41" s="88">
        <f>L39</f>
        <v>3.1299999999916963</v>
      </c>
      <c r="M41" s="115">
        <f>SUM(M17:M39)</f>
        <v>2148.9999999999991</v>
      </c>
      <c r="N41" s="97"/>
    </row>
    <row r="42" spans="1:14" x14ac:dyDescent="0.2">
      <c r="A42" s="97"/>
      <c r="B42" s="121"/>
      <c r="C42" s="121"/>
      <c r="D42" s="102"/>
      <c r="E42" s="114"/>
      <c r="F42" s="114"/>
      <c r="G42" s="88"/>
      <c r="H42" s="97"/>
      <c r="I42" s="97"/>
      <c r="J42" s="97"/>
      <c r="K42" s="97"/>
      <c r="L42" s="97"/>
      <c r="M42" s="97"/>
      <c r="N42" s="97"/>
    </row>
    <row r="43" spans="1:14" x14ac:dyDescent="0.2">
      <c r="A43" s="97"/>
      <c r="B43" s="121"/>
      <c r="C43" s="121"/>
      <c r="D43" s="114"/>
      <c r="E43" s="114"/>
      <c r="F43" s="114"/>
      <c r="G43" s="88"/>
      <c r="H43" s="97"/>
      <c r="I43" s="97"/>
      <c r="J43" s="97"/>
      <c r="K43" s="97"/>
      <c r="L43" s="97"/>
      <c r="M43" s="97"/>
      <c r="N43" s="97"/>
    </row>
    <row r="44" spans="1:14" x14ac:dyDescent="0.2">
      <c r="A44" s="97" t="s">
        <v>27</v>
      </c>
      <c r="B44" s="121"/>
      <c r="C44" s="121"/>
      <c r="D44" s="114"/>
      <c r="E44" s="114"/>
      <c r="F44" s="125">
        <f>L41/C41</f>
        <v>4.0853309470367465E-7</v>
      </c>
      <c r="G44" s="88"/>
      <c r="H44" s="97"/>
      <c r="I44" s="97"/>
      <c r="J44" s="97"/>
      <c r="K44" s="97"/>
      <c r="L44" s="126"/>
      <c r="M44" s="97"/>
      <c r="N44" s="97"/>
    </row>
    <row r="45" spans="1:14" x14ac:dyDescent="0.2">
      <c r="A45" s="97" t="s">
        <v>28</v>
      </c>
      <c r="B45" s="121"/>
      <c r="C45" s="121"/>
      <c r="D45" s="114"/>
      <c r="E45" s="114"/>
      <c r="F45" s="127">
        <f>SUM('Sch. 9'!H33:S33)</f>
        <v>0</v>
      </c>
      <c r="G45" s="88" t="s">
        <v>22</v>
      </c>
      <c r="H45" s="97"/>
      <c r="I45" s="97"/>
      <c r="J45" s="97"/>
      <c r="K45" s="97"/>
      <c r="L45" s="97"/>
      <c r="M45" s="97"/>
      <c r="N45" s="97"/>
    </row>
    <row r="46" spans="1:14" x14ac:dyDescent="0.2">
      <c r="A46" s="97" t="s">
        <v>29</v>
      </c>
      <c r="B46" s="121"/>
      <c r="C46" s="121"/>
      <c r="D46" s="114"/>
      <c r="E46" s="114"/>
      <c r="F46" s="108">
        <f>ABS(+F44*F45)</f>
        <v>0</v>
      </c>
      <c r="G46" s="88" t="str">
        <f>IF(L41&gt;0,"Customer Rebate","Customer Charge")</f>
        <v>Customer Rebate</v>
      </c>
      <c r="H46" s="97"/>
      <c r="I46" s="97"/>
      <c r="J46" s="97"/>
      <c r="K46" s="97"/>
      <c r="L46" s="97"/>
      <c r="M46" s="97"/>
      <c r="N46" s="97"/>
    </row>
    <row r="47" spans="1:14" x14ac:dyDescent="0.2">
      <c r="A47" s="97"/>
      <c r="B47" s="121"/>
      <c r="C47" s="121"/>
      <c r="D47" s="114"/>
      <c r="E47" s="114"/>
      <c r="F47" s="108"/>
      <c r="G47" s="88"/>
      <c r="H47" s="97"/>
      <c r="I47" s="97"/>
      <c r="J47" s="102"/>
      <c r="K47" s="97"/>
      <c r="L47" s="97"/>
      <c r="M47" s="97"/>
      <c r="N47" s="97"/>
    </row>
    <row r="48" spans="1:14" x14ac:dyDescent="0.2">
      <c r="A48" s="128" t="s">
        <v>133</v>
      </c>
      <c r="B48" s="129" t="s">
        <v>144</v>
      </c>
      <c r="C48" s="128" t="s">
        <v>134</v>
      </c>
      <c r="D48" s="114"/>
      <c r="E48" s="108">
        <f>'Sch. 2'!I42</f>
        <v>62206.85</v>
      </c>
      <c r="F48" s="108" t="s">
        <v>135</v>
      </c>
      <c r="G48" s="88"/>
      <c r="H48" s="97"/>
      <c r="I48" s="97"/>
      <c r="J48" s="97"/>
      <c r="K48" s="97"/>
      <c r="L48" s="97"/>
      <c r="M48" s="97"/>
      <c r="N48" s="97"/>
    </row>
    <row r="49" spans="1:14" x14ac:dyDescent="0.2">
      <c r="A49" s="128" t="s">
        <v>136</v>
      </c>
      <c r="B49" s="129" t="str">
        <f>B48</f>
        <v>Sept, 2020</v>
      </c>
      <c r="C49" s="128" t="s">
        <v>134</v>
      </c>
      <c r="D49" s="114"/>
      <c r="E49" s="108">
        <f>'Sch. 2'!K42</f>
        <v>71.679999999999993</v>
      </c>
      <c r="F49" s="108" t="s">
        <v>135</v>
      </c>
      <c r="G49" s="88"/>
      <c r="H49" s="97"/>
      <c r="I49" s="97"/>
      <c r="J49" s="97"/>
      <c r="K49" s="97"/>
      <c r="L49" s="97"/>
      <c r="M49" s="97"/>
      <c r="N49" s="97"/>
    </row>
    <row r="50" spans="1:14" x14ac:dyDescent="0.2">
      <c r="A50" s="97"/>
      <c r="B50" s="121"/>
      <c r="C50" s="121"/>
      <c r="D50" s="114"/>
      <c r="E50" s="108"/>
      <c r="F50" s="108"/>
      <c r="G50" s="88"/>
      <c r="H50" s="97"/>
      <c r="I50" s="97"/>
      <c r="J50" s="97"/>
      <c r="K50" s="97"/>
      <c r="L50" s="97"/>
      <c r="M50" s="97"/>
      <c r="N50" s="97"/>
    </row>
    <row r="51" spans="1:14" x14ac:dyDescent="0.2">
      <c r="A51" s="97"/>
      <c r="B51" s="121"/>
      <c r="C51" s="121"/>
      <c r="D51" s="114"/>
      <c r="E51" s="108"/>
      <c r="F51" s="108"/>
      <c r="G51" s="88"/>
      <c r="H51" s="97"/>
      <c r="I51" s="97"/>
      <c r="J51" s="97"/>
      <c r="K51" s="97"/>
      <c r="L51" s="97"/>
      <c r="M51" s="97"/>
      <c r="N51" s="97"/>
    </row>
  </sheetData>
  <mergeCells count="4">
    <mergeCell ref="A6:N6"/>
    <mergeCell ref="A8:N8"/>
    <mergeCell ref="A10:N10"/>
    <mergeCell ref="A11:N11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3"/>
  <sheetViews>
    <sheetView defaultGridColor="0" colorId="22" zoomScale="87" workbookViewId="0">
      <selection activeCell="K47" sqref="K47"/>
    </sheetView>
  </sheetViews>
  <sheetFormatPr defaultColWidth="9.77734375" defaultRowHeight="15" x14ac:dyDescent="0.2"/>
  <cols>
    <col min="1" max="1" width="22.6640625" bestFit="1" customWidth="1"/>
    <col min="14" max="14" width="13.441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6">
        <f>'Sch. 2'!$P$2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75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5" t="s">
        <v>41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75" x14ac:dyDescent="0.25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5.75" x14ac:dyDescent="0.25">
      <c r="A8" s="13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5.75" x14ac:dyDescent="0.2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5.75" x14ac:dyDescent="0.25">
      <c r="A10" s="13" t="str">
        <f>'Sch. 5'!$A$10</f>
        <v>PROJECTED TWELVE MONTH FORWARD PERIOD - OCTOBER, 2020 TO SEPTEMBER, 2021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24">
        <f>'Sch. 3'!$B$12+366</f>
        <v>44105</v>
      </c>
      <c r="C12" s="24">
        <f>B12+31</f>
        <v>44136</v>
      </c>
      <c r="D12" s="24">
        <f>C12+31</f>
        <v>44167</v>
      </c>
      <c r="E12" s="24">
        <f t="shared" ref="E12:M12" si="0">D12+31</f>
        <v>44198</v>
      </c>
      <c r="F12" s="24">
        <f t="shared" si="0"/>
        <v>44229</v>
      </c>
      <c r="G12" s="24">
        <f t="shared" si="0"/>
        <v>44260</v>
      </c>
      <c r="H12" s="24">
        <f t="shared" si="0"/>
        <v>44291</v>
      </c>
      <c r="I12" s="24">
        <f t="shared" si="0"/>
        <v>44322</v>
      </c>
      <c r="J12" s="24">
        <f t="shared" si="0"/>
        <v>44353</v>
      </c>
      <c r="K12" s="24">
        <f t="shared" si="0"/>
        <v>44384</v>
      </c>
      <c r="L12" s="24">
        <f>K12+31</f>
        <v>44415</v>
      </c>
      <c r="M12" s="24">
        <f t="shared" si="0"/>
        <v>44446</v>
      </c>
      <c r="N12" s="25" t="s">
        <v>4</v>
      </c>
    </row>
    <row r="13" spans="1:14" ht="15.75" x14ac:dyDescent="0.25">
      <c r="A13" s="26" t="s">
        <v>32</v>
      </c>
      <c r="B13" s="17">
        <v>28</v>
      </c>
      <c r="C13" s="17">
        <v>31</v>
      </c>
      <c r="D13" s="17">
        <v>30</v>
      </c>
      <c r="E13" s="17">
        <v>31</v>
      </c>
      <c r="F13" s="17">
        <v>30</v>
      </c>
      <c r="G13" s="17">
        <v>31</v>
      </c>
      <c r="H13" s="17">
        <v>31</v>
      </c>
      <c r="I13" s="17">
        <v>30</v>
      </c>
      <c r="J13" s="17"/>
      <c r="K13" s="17"/>
      <c r="L13" s="17"/>
      <c r="M13" s="17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66" t="s">
        <v>100</v>
      </c>
      <c r="B15" s="48">
        <v>383554</v>
      </c>
      <c r="C15" s="48">
        <v>612525</v>
      </c>
      <c r="D15" s="48">
        <v>228080</v>
      </c>
      <c r="E15" s="48">
        <v>0</v>
      </c>
      <c r="F15" s="48">
        <v>111202</v>
      </c>
      <c r="G15" s="48">
        <v>5524</v>
      </c>
      <c r="H15" s="48">
        <v>468941</v>
      </c>
      <c r="I15" s="48">
        <v>785260</v>
      </c>
      <c r="J15" s="48">
        <v>589613</v>
      </c>
      <c r="K15" s="48">
        <v>540606</v>
      </c>
      <c r="L15" s="48">
        <v>406441</v>
      </c>
      <c r="M15" s="48">
        <v>573574</v>
      </c>
      <c r="N15" s="16">
        <f t="shared" ref="N15:N19" si="1">SUM(B15:M15)</f>
        <v>4705320</v>
      </c>
    </row>
    <row r="16" spans="1:14" x14ac:dyDescent="0.2">
      <c r="A16" s="66" t="s">
        <v>101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257383</v>
      </c>
      <c r="I16" s="48">
        <v>265962</v>
      </c>
      <c r="J16" s="48">
        <v>257383</v>
      </c>
      <c r="K16" s="48">
        <v>265962</v>
      </c>
      <c r="L16" s="48">
        <v>265962</v>
      </c>
      <c r="M16" s="48">
        <v>257383</v>
      </c>
      <c r="N16" s="16">
        <f t="shared" si="1"/>
        <v>1570035</v>
      </c>
    </row>
    <row r="17" spans="1:14" x14ac:dyDescent="0.2">
      <c r="A17" s="66" t="s">
        <v>102</v>
      </c>
      <c r="B17" s="48">
        <v>0</v>
      </c>
      <c r="C17" s="48">
        <v>0</v>
      </c>
      <c r="D17" s="48">
        <v>355143</v>
      </c>
      <c r="E17" s="48">
        <v>355143</v>
      </c>
      <c r="F17" s="48">
        <v>320774</v>
      </c>
      <c r="G17" s="48">
        <v>355143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16">
        <f t="shared" si="1"/>
        <v>1386203</v>
      </c>
    </row>
    <row r="18" spans="1:14" x14ac:dyDescent="0.2">
      <c r="A18" s="66" t="s">
        <v>103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16">
        <f t="shared" si="1"/>
        <v>0</v>
      </c>
    </row>
    <row r="19" spans="1:14" x14ac:dyDescent="0.2">
      <c r="A19" s="66" t="s">
        <v>104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8">
        <f t="shared" si="1"/>
        <v>0</v>
      </c>
    </row>
    <row r="20" spans="1:14" x14ac:dyDescent="0.2">
      <c r="A20" s="6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">
      <c r="A21" s="66" t="s">
        <v>4</v>
      </c>
      <c r="B21" s="16">
        <f t="shared" ref="B21:M21" si="2">SUM(B15:B19)</f>
        <v>383554</v>
      </c>
      <c r="C21" s="16">
        <f t="shared" si="2"/>
        <v>612525</v>
      </c>
      <c r="D21" s="16">
        <f t="shared" si="2"/>
        <v>583223</v>
      </c>
      <c r="E21" s="16">
        <f t="shared" si="2"/>
        <v>355143</v>
      </c>
      <c r="F21" s="16">
        <f t="shared" si="2"/>
        <v>431976</v>
      </c>
      <c r="G21" s="16">
        <f t="shared" si="2"/>
        <v>360667</v>
      </c>
      <c r="H21" s="16">
        <f t="shared" si="2"/>
        <v>726324</v>
      </c>
      <c r="I21" s="16">
        <f t="shared" si="2"/>
        <v>1051222</v>
      </c>
      <c r="J21" s="16">
        <f t="shared" si="2"/>
        <v>846996</v>
      </c>
      <c r="K21" s="16">
        <f t="shared" si="2"/>
        <v>806568</v>
      </c>
      <c r="L21" s="16">
        <f t="shared" si="2"/>
        <v>672403</v>
      </c>
      <c r="M21" s="16">
        <f t="shared" si="2"/>
        <v>830957</v>
      </c>
      <c r="N21" s="16">
        <f t="shared" ref="N21" si="3">SUM(N15:N19)</f>
        <v>7661558</v>
      </c>
    </row>
    <row r="22" spans="1:14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48"/>
    </row>
    <row r="23" spans="1:14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9"/>
    </row>
    <row r="24" spans="1:14" ht="15.75" x14ac:dyDescent="0.25">
      <c r="A24" s="26" t="s">
        <v>33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27"/>
    </row>
    <row r="25" spans="1:14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9"/>
    </row>
    <row r="26" spans="1:14" x14ac:dyDescent="0.2">
      <c r="A26" s="66" t="s">
        <v>100</v>
      </c>
      <c r="B26" s="61">
        <v>0.11378199999999999</v>
      </c>
      <c r="C26" s="61">
        <v>0.14829800000000001</v>
      </c>
      <c r="D26" s="61">
        <v>0.167097</v>
      </c>
      <c r="E26" s="61">
        <v>0</v>
      </c>
      <c r="F26" s="61">
        <v>0.172985</v>
      </c>
      <c r="G26" s="61">
        <v>0.170072</v>
      </c>
      <c r="H26" s="61">
        <v>0.146397</v>
      </c>
      <c r="I26" s="61">
        <v>0.137185</v>
      </c>
      <c r="J26" s="61">
        <v>0.13671800000000001</v>
      </c>
      <c r="K26" s="61">
        <v>0.13788500000000001</v>
      </c>
      <c r="L26" s="61">
        <v>0.13844600000000001</v>
      </c>
      <c r="M26" s="61">
        <v>0.137763</v>
      </c>
      <c r="N26" s="28"/>
    </row>
    <row r="27" spans="1:14" x14ac:dyDescent="0.2">
      <c r="A27" s="66" t="s">
        <v>101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0.140629</v>
      </c>
      <c r="I27" s="61">
        <v>0.13858300000000001</v>
      </c>
      <c r="J27" s="61">
        <v>0.13747100000000001</v>
      </c>
      <c r="K27" s="61">
        <v>0.13880700000000001</v>
      </c>
      <c r="L27" s="61">
        <v>0.13961599999999999</v>
      </c>
      <c r="M27" s="61">
        <v>0.139289</v>
      </c>
      <c r="N27" s="28"/>
    </row>
    <row r="28" spans="1:14" x14ac:dyDescent="0.2">
      <c r="A28" s="66" t="s">
        <v>102</v>
      </c>
      <c r="B28" s="61">
        <v>0</v>
      </c>
      <c r="C28" s="61">
        <v>0</v>
      </c>
      <c r="D28" s="61">
        <v>0.17086799999999999</v>
      </c>
      <c r="E28" s="61">
        <v>0.17086799999999999</v>
      </c>
      <c r="F28" s="61">
        <v>0.17086799999999999</v>
      </c>
      <c r="G28" s="61">
        <v>0.17086799999999999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28"/>
    </row>
    <row r="29" spans="1:14" x14ac:dyDescent="0.2">
      <c r="A29" s="66" t="s">
        <v>103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28"/>
    </row>
    <row r="30" spans="1:14" x14ac:dyDescent="0.2">
      <c r="A30" s="66" t="s">
        <v>104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28"/>
    </row>
    <row r="31" spans="1:14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9"/>
    </row>
    <row r="32" spans="1:14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9"/>
    </row>
    <row r="33" spans="1:15" ht="15.75" x14ac:dyDescent="0.25">
      <c r="A33" s="26" t="s">
        <v>34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27"/>
    </row>
    <row r="34" spans="1:15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9"/>
    </row>
    <row r="35" spans="1:15" x14ac:dyDescent="0.2">
      <c r="A35" s="66" t="s">
        <v>100</v>
      </c>
      <c r="B35" s="48">
        <v>43641.68</v>
      </c>
      <c r="C35" s="48">
        <v>90836.12</v>
      </c>
      <c r="D35" s="48">
        <v>38111.589999999997</v>
      </c>
      <c r="E35" s="48">
        <v>0</v>
      </c>
      <c r="F35" s="48">
        <v>19236.240000000002</v>
      </c>
      <c r="G35" s="48">
        <v>939.48</v>
      </c>
      <c r="H35" s="48">
        <v>68651.34</v>
      </c>
      <c r="I35" s="48">
        <v>107726.16</v>
      </c>
      <c r="J35" s="48">
        <v>80610.7</v>
      </c>
      <c r="K35" s="48">
        <v>74541.22</v>
      </c>
      <c r="L35" s="48">
        <v>56270.239999999998</v>
      </c>
      <c r="M35" s="48">
        <v>79017.22</v>
      </c>
      <c r="N35" s="16">
        <f t="shared" ref="N35:N39" si="4">SUM(B35:M35)</f>
        <v>659581.99</v>
      </c>
      <c r="O35" s="5"/>
    </row>
    <row r="36" spans="1:15" x14ac:dyDescent="0.2">
      <c r="A36" s="66" t="s">
        <v>101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36195.49</v>
      </c>
      <c r="I36" s="48">
        <v>36857.71</v>
      </c>
      <c r="J36" s="48">
        <v>35382.639999999999</v>
      </c>
      <c r="K36" s="48">
        <v>36917.26</v>
      </c>
      <c r="L36" s="48">
        <v>37132.47</v>
      </c>
      <c r="M36" s="48">
        <v>35850.730000000003</v>
      </c>
      <c r="N36" s="16">
        <f t="shared" si="4"/>
        <v>218336.30000000002</v>
      </c>
      <c r="O36" s="5"/>
    </row>
    <row r="37" spans="1:15" x14ac:dyDescent="0.2">
      <c r="A37" s="66" t="s">
        <v>102</v>
      </c>
      <c r="B37" s="48">
        <v>0</v>
      </c>
      <c r="C37" s="48">
        <v>0</v>
      </c>
      <c r="D37" s="48">
        <v>60682.5</v>
      </c>
      <c r="E37" s="48">
        <v>60682.5</v>
      </c>
      <c r="F37" s="48">
        <v>54810</v>
      </c>
      <c r="G37" s="48">
        <v>60682.5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16">
        <f t="shared" si="4"/>
        <v>236857.5</v>
      </c>
      <c r="O37" s="5"/>
    </row>
    <row r="38" spans="1:15" x14ac:dyDescent="0.2">
      <c r="A38" s="66" t="s">
        <v>103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16">
        <f t="shared" si="4"/>
        <v>0</v>
      </c>
      <c r="O38" s="5"/>
    </row>
    <row r="39" spans="1:15" x14ac:dyDescent="0.2">
      <c r="A39" s="66" t="s">
        <v>104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16">
        <f t="shared" si="4"/>
        <v>0</v>
      </c>
      <c r="O39" s="5"/>
    </row>
    <row r="40" spans="1:15" x14ac:dyDescent="0.2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5"/>
    </row>
    <row r="41" spans="1:15" x14ac:dyDescent="0.2">
      <c r="A41" s="9" t="s">
        <v>4</v>
      </c>
      <c r="B41" s="16">
        <f t="shared" ref="B41:M41" si="5">SUM(B35:B39)</f>
        <v>43641.68</v>
      </c>
      <c r="C41" s="16">
        <f t="shared" si="5"/>
        <v>90836.12</v>
      </c>
      <c r="D41" s="16">
        <f t="shared" si="5"/>
        <v>98794.09</v>
      </c>
      <c r="E41" s="16">
        <f t="shared" si="5"/>
        <v>60682.5</v>
      </c>
      <c r="F41" s="16">
        <f t="shared" si="5"/>
        <v>74046.240000000005</v>
      </c>
      <c r="G41" s="16">
        <f t="shared" si="5"/>
        <v>61621.98</v>
      </c>
      <c r="H41" s="16">
        <f t="shared" si="5"/>
        <v>104846.82999999999</v>
      </c>
      <c r="I41" s="16">
        <f t="shared" si="5"/>
        <v>144583.87</v>
      </c>
      <c r="J41" s="16">
        <f t="shared" si="5"/>
        <v>115993.34</v>
      </c>
      <c r="K41" s="16">
        <f t="shared" si="5"/>
        <v>111458.48000000001</v>
      </c>
      <c r="L41" s="16">
        <f t="shared" si="5"/>
        <v>93402.709999999992</v>
      </c>
      <c r="M41" s="16">
        <f t="shared" si="5"/>
        <v>114867.95000000001</v>
      </c>
      <c r="N41" s="16">
        <f t="shared" ref="N41" si="6">SUM(N35:N39)</f>
        <v>1114775.79</v>
      </c>
      <c r="O41" s="5"/>
    </row>
    <row r="42" spans="1:15" x14ac:dyDescent="0.2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5"/>
    </row>
    <row r="43" spans="1:15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5"/>
  <sheetViews>
    <sheetView defaultGridColor="0" colorId="22" zoomScale="87" workbookViewId="0">
      <selection activeCell="K47" sqref="K47"/>
    </sheetView>
  </sheetViews>
  <sheetFormatPr defaultColWidth="9.77734375" defaultRowHeight="15" x14ac:dyDescent="0.2"/>
  <cols>
    <col min="1" max="1" width="19.33203125" customWidth="1"/>
    <col min="2" max="2" width="12.77734375" customWidth="1"/>
    <col min="14" max="14" width="13.44140625" bestFit="1" customWidth="1"/>
    <col min="15" max="15" width="12.77734375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6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6">
        <f>'Sch. 2'!$P$2</f>
        <v>44105</v>
      </c>
    </row>
    <row r="3" spans="1:16" ht="15.75" x14ac:dyDescent="0.25">
      <c r="A3" s="9"/>
      <c r="B3" s="9"/>
      <c r="C3" s="9"/>
      <c r="D3" s="9"/>
      <c r="E3" s="9"/>
      <c r="F3" s="9"/>
      <c r="G3" s="9"/>
      <c r="H3" s="12"/>
      <c r="I3" s="9"/>
      <c r="J3" s="9"/>
      <c r="K3" s="9"/>
      <c r="L3" s="9"/>
      <c r="M3" s="9"/>
      <c r="N3" s="75" t="str">
        <f>'Sch. 2'!$P$3</f>
        <v>EB-2020-0206</v>
      </c>
    </row>
    <row r="4" spans="1:16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5" t="s">
        <v>42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x14ac:dyDescent="0.25">
      <c r="A6" s="132" t="s">
        <v>93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45"/>
    </row>
    <row r="7" spans="1:16" ht="15.75" x14ac:dyDescent="0.25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5.75" x14ac:dyDescent="0.25">
      <c r="A8" s="142" t="s">
        <v>43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1"/>
    </row>
    <row r="9" spans="1:16" ht="15.75" x14ac:dyDescent="0.2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15.75" x14ac:dyDescent="0.25">
      <c r="A10" s="142" t="str">
        <f>'Sch. 5'!$A$10</f>
        <v>PROJECTED TWELVE MONTH FORWARD PERIOD - OCTOBER, 2020 TO SEPTEMBER, 2021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1"/>
    </row>
    <row r="11" spans="1:16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x14ac:dyDescent="0.2">
      <c r="A12" s="9"/>
      <c r="B12" s="9"/>
      <c r="C12" s="24">
        <f>'Sch. 6'!$B$12</f>
        <v>44105</v>
      </c>
      <c r="D12" s="24">
        <f>'Sch. 6'!$C$12</f>
        <v>44136</v>
      </c>
      <c r="E12" s="24">
        <f>'Sch. 6'!$D$12</f>
        <v>44167</v>
      </c>
      <c r="F12" s="24">
        <f>'Sch. 6'!$E$12</f>
        <v>44198</v>
      </c>
      <c r="G12" s="24">
        <f>'Sch. 6'!$F$12</f>
        <v>44229</v>
      </c>
      <c r="H12" s="24">
        <f>'Sch. 6'!$G$12</f>
        <v>44260</v>
      </c>
      <c r="I12" s="24">
        <f>'Sch. 6'!$H$12</f>
        <v>44291</v>
      </c>
      <c r="J12" s="24">
        <f>'Sch. 6'!$I$12</f>
        <v>44322</v>
      </c>
      <c r="K12" s="24">
        <f>'Sch. 6'!$J$12</f>
        <v>44353</v>
      </c>
      <c r="L12" s="24">
        <f>'Sch. 6'!$K$12</f>
        <v>44384</v>
      </c>
      <c r="M12" s="24">
        <f>'Sch. 6'!$L$12</f>
        <v>44415</v>
      </c>
      <c r="N12" s="24">
        <f>'Sch. 6'!$M$12</f>
        <v>44446</v>
      </c>
      <c r="O12" s="31"/>
      <c r="P12" s="1"/>
    </row>
    <row r="13" spans="1:16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x14ac:dyDescent="0.2">
      <c r="A15" s="66" t="s">
        <v>100</v>
      </c>
      <c r="B15" s="9" t="s">
        <v>37</v>
      </c>
      <c r="C15" s="29">
        <v>2.8969999999999998</v>
      </c>
      <c r="D15" s="29">
        <v>3.7749999999999999</v>
      </c>
      <c r="E15" s="29">
        <v>4.2539999999999996</v>
      </c>
      <c r="F15" s="29">
        <v>0</v>
      </c>
      <c r="G15" s="29">
        <v>4.4039999999999999</v>
      </c>
      <c r="H15" s="29">
        <v>4.33</v>
      </c>
      <c r="I15" s="29">
        <v>3.7269999999999999</v>
      </c>
      <c r="J15" s="29">
        <v>3.492</v>
      </c>
      <c r="K15" s="29">
        <v>3.4809999999999999</v>
      </c>
      <c r="L15" s="29">
        <v>3.51</v>
      </c>
      <c r="M15" s="29">
        <v>3.5249999999999999</v>
      </c>
      <c r="N15" s="29">
        <v>3.5070000000000001</v>
      </c>
      <c r="O15" s="9"/>
    </row>
    <row r="16" spans="1:16" x14ac:dyDescent="0.2">
      <c r="A16" s="66"/>
      <c r="B16" s="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"/>
    </row>
    <row r="17" spans="1:15" x14ac:dyDescent="0.2">
      <c r="A17" s="66" t="s">
        <v>101</v>
      </c>
      <c r="B17" s="9" t="s">
        <v>37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3.58</v>
      </c>
      <c r="J17" s="29">
        <v>3.528</v>
      </c>
      <c r="K17" s="29">
        <v>3.5</v>
      </c>
      <c r="L17" s="29">
        <v>3.5339999999999998</v>
      </c>
      <c r="M17" s="29">
        <v>3.5539999999999998</v>
      </c>
      <c r="N17" s="29">
        <v>3.5459999999999998</v>
      </c>
      <c r="O17" s="9"/>
    </row>
    <row r="18" spans="1:15" x14ac:dyDescent="0.2">
      <c r="A18" s="65"/>
      <c r="B18" s="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9"/>
    </row>
    <row r="19" spans="1:15" x14ac:dyDescent="0.2">
      <c r="A19" s="66" t="s">
        <v>102</v>
      </c>
      <c r="B19" s="9" t="s">
        <v>37</v>
      </c>
      <c r="C19" s="29">
        <v>0</v>
      </c>
      <c r="D19" s="29">
        <v>0</v>
      </c>
      <c r="E19" s="29">
        <v>4.3499999999999996</v>
      </c>
      <c r="F19" s="29">
        <v>4.3499999999999996</v>
      </c>
      <c r="G19" s="29">
        <v>4.3499999999999996</v>
      </c>
      <c r="H19" s="29">
        <v>4.3499999999999996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9"/>
    </row>
    <row r="20" spans="1:15" x14ac:dyDescent="0.2">
      <c r="A20" s="65"/>
      <c r="B20" s="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9"/>
    </row>
    <row r="21" spans="1:15" x14ac:dyDescent="0.2">
      <c r="A21" s="66" t="s">
        <v>105</v>
      </c>
      <c r="B21" s="9" t="s">
        <v>37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9"/>
    </row>
    <row r="22" spans="1:15" x14ac:dyDescent="0.2">
      <c r="A22" s="66"/>
      <c r="B22" s="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9"/>
    </row>
    <row r="23" spans="1:15" x14ac:dyDescent="0.2">
      <c r="A23" s="66" t="s">
        <v>106</v>
      </c>
      <c r="B23" s="9" t="s">
        <v>37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9"/>
    </row>
    <row r="24" spans="1:15" x14ac:dyDescent="0.2">
      <c r="A24" s="66"/>
      <c r="B24" s="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"/>
    </row>
    <row r="25" spans="1:15" x14ac:dyDescent="0.2">
      <c r="A25" s="9"/>
      <c r="B25" s="9"/>
      <c r="C25" s="66"/>
      <c r="D25" s="9"/>
      <c r="E25" s="9"/>
      <c r="F25" s="9"/>
      <c r="G25" s="9"/>
      <c r="H25" s="42"/>
      <c r="I25" s="42"/>
      <c r="J25" s="42"/>
      <c r="K25" s="42"/>
      <c r="L25" s="42"/>
      <c r="M25" s="42"/>
      <c r="N25" s="42"/>
      <c r="O25" s="9"/>
    </row>
    <row r="26" spans="1:15" x14ac:dyDescent="0.2">
      <c r="A26" s="9" t="s">
        <v>97</v>
      </c>
      <c r="B26" s="9" t="s">
        <v>39</v>
      </c>
      <c r="C26" s="62">
        <v>39.28</v>
      </c>
      <c r="D26" s="62">
        <v>39.28</v>
      </c>
      <c r="E26" s="62">
        <v>39.28</v>
      </c>
      <c r="F26" s="62">
        <v>39.28</v>
      </c>
      <c r="G26" s="62">
        <v>39.28</v>
      </c>
      <c r="H26" s="62">
        <v>39.28</v>
      </c>
      <c r="I26" s="62">
        <v>39.28</v>
      </c>
      <c r="J26" s="62">
        <v>39.28</v>
      </c>
      <c r="K26" s="62">
        <v>39.28</v>
      </c>
      <c r="L26" s="62">
        <v>39.28</v>
      </c>
      <c r="M26" s="62">
        <v>39.28</v>
      </c>
      <c r="N26" s="62">
        <v>39.28</v>
      </c>
      <c r="O26" s="34"/>
    </row>
    <row r="27" spans="1:15" x14ac:dyDescent="0.2">
      <c r="B27" s="39"/>
      <c r="C27" s="40"/>
      <c r="D27" s="40"/>
      <c r="E27" s="40"/>
      <c r="F27" s="40"/>
      <c r="O27" s="9"/>
    </row>
    <row r="28" spans="1:15" x14ac:dyDescent="0.2">
      <c r="A28" s="9"/>
      <c r="B28" s="9"/>
      <c r="C28" s="62"/>
      <c r="D28" s="9"/>
      <c r="E28" s="9"/>
      <c r="G28" s="9"/>
      <c r="H28" s="23"/>
      <c r="I28" s="23"/>
      <c r="J28" s="23"/>
      <c r="K28" s="23"/>
      <c r="L28" s="23"/>
      <c r="N28" s="23"/>
      <c r="O28" s="9"/>
    </row>
    <row r="29" spans="1:15" x14ac:dyDescent="0.2">
      <c r="A29" s="9"/>
      <c r="B29" s="9"/>
      <c r="C29" s="40"/>
      <c r="D29" s="9"/>
      <c r="E29" s="9"/>
      <c r="F29" s="40"/>
      <c r="G29" s="9"/>
      <c r="H29" s="23"/>
      <c r="I29" s="23"/>
      <c r="J29" s="23"/>
      <c r="K29" s="23"/>
      <c r="L29" s="23"/>
      <c r="M29" s="23"/>
      <c r="N29" s="23"/>
      <c r="O29" s="9"/>
    </row>
    <row r="30" spans="1:15" x14ac:dyDescent="0.2">
      <c r="A30" s="9"/>
      <c r="B30" s="9"/>
      <c r="C30" s="62"/>
      <c r="D30" s="9"/>
      <c r="E30" s="9"/>
      <c r="G30" s="9"/>
      <c r="H30" s="23"/>
      <c r="I30" s="23"/>
      <c r="J30" s="23"/>
      <c r="K30" s="23"/>
      <c r="L30" s="23"/>
      <c r="M30" s="23"/>
      <c r="N30" s="23"/>
      <c r="O30" s="9"/>
    </row>
    <row r="31" spans="1:15" x14ac:dyDescent="0.2">
      <c r="A31" s="9"/>
      <c r="B31" s="9"/>
      <c r="C31" s="40"/>
      <c r="D31" s="9"/>
      <c r="E31" s="9"/>
      <c r="F31" s="40"/>
      <c r="G31" s="9"/>
      <c r="H31" s="23"/>
      <c r="I31" s="23"/>
      <c r="J31" s="23"/>
      <c r="K31" s="23"/>
      <c r="L31" s="23"/>
      <c r="M31" s="23"/>
      <c r="N31" s="23"/>
      <c r="O31" s="9"/>
    </row>
    <row r="33" spans="6:6" x14ac:dyDescent="0.2">
      <c r="F33" s="40"/>
    </row>
    <row r="35" spans="6:6" x14ac:dyDescent="0.2">
      <c r="F35" s="40"/>
    </row>
    <row r="37" spans="6:6" x14ac:dyDescent="0.2">
      <c r="F37" s="40"/>
    </row>
    <row r="39" spans="6:6" x14ac:dyDescent="0.2">
      <c r="F39" s="40"/>
    </row>
    <row r="41" spans="6:6" x14ac:dyDescent="0.2">
      <c r="F41" s="40"/>
    </row>
    <row r="43" spans="6:6" x14ac:dyDescent="0.2">
      <c r="F43" s="40"/>
    </row>
    <row r="44" spans="6:6" x14ac:dyDescent="0.2">
      <c r="F44" s="62"/>
    </row>
    <row r="45" spans="6:6" x14ac:dyDescent="0.2">
      <c r="F45" s="40"/>
    </row>
    <row r="46" spans="6:6" x14ac:dyDescent="0.2">
      <c r="F46" s="62"/>
    </row>
    <row r="47" spans="6:6" x14ac:dyDescent="0.2">
      <c r="F47" s="40"/>
    </row>
    <row r="48" spans="6:6" x14ac:dyDescent="0.2">
      <c r="F48" s="62"/>
    </row>
    <row r="49" spans="6:14" x14ac:dyDescent="0.2">
      <c r="F49" s="40"/>
    </row>
    <row r="50" spans="6:14" x14ac:dyDescent="0.2">
      <c r="F50" s="62"/>
    </row>
    <row r="55" spans="6:14" x14ac:dyDescent="0.2">
      <c r="F55" s="62"/>
      <c r="G55" s="62"/>
      <c r="H55" s="62"/>
      <c r="I55" s="62"/>
      <c r="J55" s="62"/>
      <c r="K55" s="62"/>
      <c r="L55" s="62"/>
      <c r="M55" s="62"/>
      <c r="N55" s="62"/>
    </row>
  </sheetData>
  <mergeCells count="3">
    <mergeCell ref="A6:N6"/>
    <mergeCell ref="A8:N8"/>
    <mergeCell ref="A10:N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73"/>
  <sheetViews>
    <sheetView defaultGridColor="0" colorId="22" zoomScale="87" workbookViewId="0">
      <selection activeCell="E23" sqref="E23"/>
    </sheetView>
  </sheetViews>
  <sheetFormatPr defaultColWidth="9.77734375" defaultRowHeight="15" x14ac:dyDescent="0.2"/>
  <cols>
    <col min="1" max="1" width="9.77734375" style="96"/>
    <col min="2" max="2" width="10.6640625" style="96" customWidth="1"/>
    <col min="3" max="3" width="11.109375" style="96" customWidth="1"/>
    <col min="4" max="4" width="12.109375" style="96" customWidth="1"/>
    <col min="5" max="5" width="10.6640625" style="96" customWidth="1"/>
    <col min="6" max="6" width="8.77734375" style="96" customWidth="1"/>
    <col min="7" max="7" width="10.6640625" style="96" customWidth="1"/>
    <col min="8" max="8" width="10.33203125" style="96" customWidth="1"/>
    <col min="9" max="9" width="11.44140625" style="96" customWidth="1"/>
    <col min="10" max="10" width="9.77734375" style="96"/>
    <col min="11" max="11" width="11.33203125" style="96" customWidth="1"/>
    <col min="12" max="12" width="11.109375" style="96" customWidth="1"/>
    <col min="13" max="14" width="11.33203125" style="96" customWidth="1"/>
    <col min="15" max="16" width="9.77734375" style="96"/>
    <col min="17" max="17" width="10.77734375" style="96" customWidth="1"/>
    <col min="18" max="18" width="13.44140625" style="96" bestFit="1" customWidth="1"/>
    <col min="19" max="16384" width="9.77734375" style="96"/>
  </cols>
  <sheetData>
    <row r="1" spans="1:18" ht="15.75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4" t="str">
        <f>Info!$C$3</f>
        <v xml:space="preserve"> </v>
      </c>
    </row>
    <row r="2" spans="1:18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R2" s="91">
        <f>Info!$C$1</f>
        <v>44105</v>
      </c>
    </row>
    <row r="3" spans="1:18" ht="15.75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93" t="str">
        <f>Info!$C$2</f>
        <v>EB-2020-0206</v>
      </c>
    </row>
    <row r="4" spans="1:18" ht="15.75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93" t="s">
        <v>44</v>
      </c>
    </row>
    <row r="5" spans="1:18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8" ht="15.75" x14ac:dyDescent="0.25">
      <c r="A6" s="136" t="s">
        <v>93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1:18" ht="15.75" x14ac:dyDescent="0.25">
      <c r="A7" s="95"/>
    </row>
    <row r="8" spans="1:18" ht="15.75" x14ac:dyDescent="0.25">
      <c r="A8" s="141" t="s">
        <v>94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</row>
    <row r="9" spans="1:18" x14ac:dyDescent="0.2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8" ht="15.75" x14ac:dyDescent="0.25">
      <c r="A10" s="143" t="str">
        <f>UPPER(TEXT(Info!C4,"mmmm, yyyy"))&amp;" THROUGH "&amp;UPPER(TEXT(Info!D5,"mmmm, yyyy"))</f>
        <v>OCTOBER, 2019 THROUGH SEPTEMBER, 2021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</row>
    <row r="11" spans="1:18" x14ac:dyDescent="0.2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 t="s">
        <v>2</v>
      </c>
      <c r="L11" s="92"/>
      <c r="M11" s="92"/>
      <c r="N11" s="92"/>
      <c r="O11" s="92"/>
      <c r="P11" s="92"/>
      <c r="Q11" s="92"/>
    </row>
    <row r="12" spans="1:18" x14ac:dyDescent="0.2">
      <c r="A12" s="92"/>
      <c r="B12" s="92"/>
      <c r="C12" s="92"/>
      <c r="D12" s="92" t="s">
        <v>47</v>
      </c>
      <c r="E12" s="92" t="s">
        <v>48</v>
      </c>
      <c r="F12" s="92" t="s">
        <v>2</v>
      </c>
      <c r="G12" s="92" t="s">
        <v>48</v>
      </c>
      <c r="H12" s="92" t="s">
        <v>10</v>
      </c>
      <c r="I12" s="92" t="s">
        <v>2</v>
      </c>
      <c r="J12" s="92"/>
      <c r="K12" s="92" t="s">
        <v>2</v>
      </c>
      <c r="L12" s="92"/>
      <c r="M12" s="97"/>
      <c r="N12" s="146" t="s">
        <v>11</v>
      </c>
      <c r="O12" s="92"/>
      <c r="P12" s="92" t="s">
        <v>2</v>
      </c>
      <c r="Q12" s="92" t="s">
        <v>4</v>
      </c>
    </row>
    <row r="13" spans="1:18" x14ac:dyDescent="0.2">
      <c r="A13" s="92"/>
      <c r="B13" s="92" t="s">
        <v>6</v>
      </c>
      <c r="C13" s="92" t="s">
        <v>49</v>
      </c>
      <c r="D13" s="92" t="s">
        <v>6</v>
      </c>
      <c r="E13" s="92" t="s">
        <v>50</v>
      </c>
      <c r="F13" s="92" t="s">
        <v>51</v>
      </c>
      <c r="G13" s="92" t="s">
        <v>50</v>
      </c>
      <c r="H13" s="92" t="s">
        <v>52</v>
      </c>
      <c r="I13" s="92" t="s">
        <v>53</v>
      </c>
      <c r="J13" s="92" t="s">
        <v>8</v>
      </c>
      <c r="K13" s="92" t="s">
        <v>52</v>
      </c>
      <c r="L13" s="92" t="s">
        <v>52</v>
      </c>
      <c r="M13" s="92" t="s">
        <v>52</v>
      </c>
      <c r="N13" s="146" t="s">
        <v>54</v>
      </c>
      <c r="O13" s="92" t="s">
        <v>10</v>
      </c>
      <c r="P13" s="92" t="s">
        <v>11</v>
      </c>
      <c r="Q13" s="92" t="s">
        <v>11</v>
      </c>
      <c r="R13" s="92" t="s">
        <v>10</v>
      </c>
    </row>
    <row r="14" spans="1:18" x14ac:dyDescent="0.2">
      <c r="A14" s="92" t="s">
        <v>2</v>
      </c>
      <c r="B14" s="92" t="s">
        <v>55</v>
      </c>
      <c r="C14" s="92" t="s">
        <v>55</v>
      </c>
      <c r="D14" s="92" t="s">
        <v>55</v>
      </c>
      <c r="E14" s="92" t="s">
        <v>55</v>
      </c>
      <c r="F14" s="92" t="s">
        <v>56</v>
      </c>
      <c r="G14" s="92" t="s">
        <v>57</v>
      </c>
      <c r="H14" s="92" t="s">
        <v>58</v>
      </c>
      <c r="I14" s="92" t="s">
        <v>52</v>
      </c>
      <c r="J14" s="92" t="s">
        <v>14</v>
      </c>
      <c r="K14" s="92" t="s">
        <v>59</v>
      </c>
      <c r="L14" s="92" t="s">
        <v>60</v>
      </c>
      <c r="M14" s="92" t="s">
        <v>61</v>
      </c>
      <c r="N14" s="146" t="s">
        <v>58</v>
      </c>
      <c r="O14" s="92" t="s">
        <v>17</v>
      </c>
      <c r="P14" s="92" t="s">
        <v>17</v>
      </c>
      <c r="Q14" s="146" t="s">
        <v>54</v>
      </c>
      <c r="R14" s="92" t="s">
        <v>17</v>
      </c>
    </row>
    <row r="15" spans="1:18" x14ac:dyDescent="0.2">
      <c r="A15" s="147" t="s">
        <v>20</v>
      </c>
      <c r="B15" s="147" t="s">
        <v>24</v>
      </c>
      <c r="C15" s="147" t="s">
        <v>24</v>
      </c>
      <c r="D15" s="147" t="s">
        <v>24</v>
      </c>
      <c r="E15" s="147" t="s">
        <v>24</v>
      </c>
      <c r="F15" s="147" t="s">
        <v>24</v>
      </c>
      <c r="G15" s="147" t="s">
        <v>24</v>
      </c>
      <c r="H15" s="147" t="s">
        <v>24</v>
      </c>
      <c r="I15" s="147" t="s">
        <v>24</v>
      </c>
      <c r="J15" s="147" t="s">
        <v>23</v>
      </c>
      <c r="K15" s="147" t="s">
        <v>21</v>
      </c>
      <c r="L15" s="147" t="s">
        <v>23</v>
      </c>
      <c r="M15" s="147" t="s">
        <v>21</v>
      </c>
      <c r="N15" s="147" t="s">
        <v>21</v>
      </c>
      <c r="O15" s="147" t="s">
        <v>21</v>
      </c>
      <c r="P15" s="147" t="s">
        <v>21</v>
      </c>
      <c r="Q15" s="147" t="s">
        <v>21</v>
      </c>
      <c r="R15" s="147" t="s">
        <v>60</v>
      </c>
    </row>
    <row r="16" spans="1:18" x14ac:dyDescent="0.2">
      <c r="A16" s="147"/>
      <c r="B16" s="92" t="s">
        <v>62</v>
      </c>
      <c r="C16" s="92" t="s">
        <v>63</v>
      </c>
      <c r="D16" s="92" t="s">
        <v>64</v>
      </c>
      <c r="E16" s="92" t="s">
        <v>65</v>
      </c>
      <c r="F16" s="92" t="s">
        <v>66</v>
      </c>
      <c r="G16" s="92" t="s">
        <v>67</v>
      </c>
      <c r="H16" s="92" t="s">
        <v>68</v>
      </c>
      <c r="I16" s="92" t="s">
        <v>69</v>
      </c>
      <c r="J16" s="92" t="s">
        <v>70</v>
      </c>
      <c r="K16" s="92" t="s">
        <v>71</v>
      </c>
      <c r="L16" s="92" t="s">
        <v>72</v>
      </c>
      <c r="M16" s="146" t="s">
        <v>73</v>
      </c>
      <c r="N16" s="146" t="s">
        <v>74</v>
      </c>
      <c r="O16" s="92" t="s">
        <v>75</v>
      </c>
      <c r="P16" s="92" t="s">
        <v>76</v>
      </c>
      <c r="Q16" s="146" t="s">
        <v>77</v>
      </c>
    </row>
    <row r="17" spans="1:18" x14ac:dyDescent="0.2">
      <c r="A17" s="97"/>
      <c r="B17" s="97"/>
      <c r="C17" s="97"/>
      <c r="D17" s="97"/>
      <c r="E17" s="97"/>
      <c r="F17" s="97"/>
      <c r="G17" s="97"/>
      <c r="H17" s="97"/>
      <c r="I17" s="146"/>
      <c r="J17" s="97"/>
      <c r="K17" s="97"/>
      <c r="L17" s="97"/>
      <c r="M17" s="97"/>
      <c r="N17" s="146"/>
      <c r="O17" s="92"/>
      <c r="P17" s="92"/>
      <c r="Q17" s="97"/>
    </row>
    <row r="18" spans="1:18" x14ac:dyDescent="0.2">
      <c r="A18" s="97"/>
      <c r="B18" s="97"/>
      <c r="C18" s="97" t="s">
        <v>2</v>
      </c>
      <c r="D18" s="97" t="s">
        <v>2</v>
      </c>
      <c r="E18" s="97"/>
      <c r="F18" s="97"/>
      <c r="G18" s="97"/>
      <c r="H18" s="97"/>
      <c r="I18" s="126"/>
      <c r="J18" s="97"/>
      <c r="K18" s="97"/>
      <c r="L18" s="97"/>
      <c r="M18" s="97"/>
      <c r="N18" s="97"/>
      <c r="O18" s="97"/>
      <c r="P18" s="97"/>
      <c r="Q18" s="97"/>
    </row>
    <row r="19" spans="1:18" x14ac:dyDescent="0.2">
      <c r="A19" s="97" t="str">
        <f>'Sch. 2'!B18</f>
        <v>October</v>
      </c>
      <c r="B19" s="121">
        <f>'Sch. 2'!$D$18</f>
        <v>0</v>
      </c>
      <c r="C19" s="116">
        <v>0</v>
      </c>
      <c r="D19" s="116">
        <v>0</v>
      </c>
      <c r="E19" s="121">
        <f>C19-D19</f>
        <v>0</v>
      </c>
      <c r="F19" s="121">
        <f>0*C19</f>
        <v>0</v>
      </c>
      <c r="G19" s="121">
        <f>E19+F19</f>
        <v>0</v>
      </c>
      <c r="H19" s="121">
        <f>B19-G19</f>
        <v>0</v>
      </c>
      <c r="I19" s="121">
        <f>D68+H19</f>
        <v>0</v>
      </c>
      <c r="J19" s="102">
        <f>'Sch. 2'!$F$18</f>
        <v>0.11511399999999999</v>
      </c>
      <c r="K19" s="88">
        <f>I19*(J21-J19)</f>
        <v>0</v>
      </c>
      <c r="L19" s="148">
        <v>0</v>
      </c>
      <c r="M19" s="88">
        <f>ROUND(L19*E19,2)</f>
        <v>0</v>
      </c>
      <c r="N19" s="88">
        <f>D69+K19+M19</f>
        <v>0</v>
      </c>
      <c r="O19" s="149">
        <f>ROUND(D69*R19/12,2)</f>
        <v>0</v>
      </c>
      <c r="P19" s="88">
        <f>D70+O19</f>
        <v>0</v>
      </c>
      <c r="Q19" s="88">
        <f>N19+P19</f>
        <v>0</v>
      </c>
      <c r="R19" s="150">
        <f>'Sch. 2'!P18</f>
        <v>2.18E-2</v>
      </c>
    </row>
    <row r="20" spans="1:18" x14ac:dyDescent="0.2">
      <c r="A20" s="97"/>
      <c r="B20" s="97"/>
      <c r="C20" s="128"/>
      <c r="D20" s="128"/>
      <c r="E20" s="97"/>
      <c r="F20" s="97"/>
      <c r="G20" s="97"/>
      <c r="H20" s="97"/>
      <c r="I20" s="126"/>
      <c r="J20" s="97"/>
      <c r="K20" s="97"/>
      <c r="L20" s="151" t="s">
        <v>92</v>
      </c>
      <c r="M20" s="97"/>
      <c r="N20" s="97"/>
      <c r="O20" s="97"/>
      <c r="P20" s="97"/>
      <c r="Q20" s="97"/>
      <c r="R20" s="152"/>
    </row>
    <row r="21" spans="1:18" x14ac:dyDescent="0.2">
      <c r="A21" s="97" t="str">
        <f>'Sch. 2'!B20</f>
        <v>November</v>
      </c>
      <c r="B21" s="121">
        <f>'Sch. 2'!$D$20</f>
        <v>0</v>
      </c>
      <c r="C21" s="116">
        <v>0</v>
      </c>
      <c r="D21" s="116">
        <v>0</v>
      </c>
      <c r="E21" s="121">
        <f>C21-D21</f>
        <v>0</v>
      </c>
      <c r="F21" s="121">
        <f>0*C21</f>
        <v>0</v>
      </c>
      <c r="G21" s="121">
        <f>E21+F21</f>
        <v>0</v>
      </c>
      <c r="H21" s="121">
        <f>B21-G21</f>
        <v>0</v>
      </c>
      <c r="I21" s="121">
        <f>I19+H21</f>
        <v>0</v>
      </c>
      <c r="J21" s="102">
        <f>'Sch. 2'!$F$20</f>
        <v>0.11511399999999999</v>
      </c>
      <c r="K21" s="88">
        <f>I21*(J23-J21)</f>
        <v>0</v>
      </c>
      <c r="L21" s="148">
        <v>0</v>
      </c>
      <c r="M21" s="88">
        <f>ROUND(L21*E21,2)</f>
        <v>0</v>
      </c>
      <c r="N21" s="88">
        <f>N19+K21+M21</f>
        <v>0</v>
      </c>
      <c r="O21" s="149">
        <f>ROUND(N19*R21/12,2)</f>
        <v>0</v>
      </c>
      <c r="P21" s="88">
        <f>P19+O21</f>
        <v>0</v>
      </c>
      <c r="Q21" s="88">
        <f>N21+P21</f>
        <v>0</v>
      </c>
      <c r="R21" s="150">
        <f>'Sch. 2'!P20</f>
        <v>2.18E-2</v>
      </c>
    </row>
    <row r="22" spans="1:18" x14ac:dyDescent="0.2">
      <c r="A22" s="97"/>
      <c r="B22" s="97"/>
      <c r="C22" s="116"/>
      <c r="D22" s="116"/>
      <c r="E22" s="97"/>
      <c r="F22" s="97"/>
      <c r="G22" s="97"/>
      <c r="H22" s="97"/>
      <c r="I22" s="126"/>
      <c r="J22" s="97"/>
      <c r="K22" s="97"/>
      <c r="L22" s="151" t="s">
        <v>92</v>
      </c>
      <c r="M22" s="97"/>
      <c r="N22" s="97"/>
      <c r="O22" s="97"/>
      <c r="P22" s="97"/>
      <c r="Q22" s="97"/>
      <c r="R22" s="152"/>
    </row>
    <row r="23" spans="1:18" x14ac:dyDescent="0.2">
      <c r="A23" s="97" t="str">
        <f>'Sch. 2'!B22</f>
        <v>December</v>
      </c>
      <c r="B23" s="121">
        <f>'Sch. 2'!$D$22</f>
        <v>0</v>
      </c>
      <c r="C23" s="116">
        <v>0</v>
      </c>
      <c r="D23" s="116">
        <v>0</v>
      </c>
      <c r="E23" s="121">
        <f>C23-D23</f>
        <v>0</v>
      </c>
      <c r="F23" s="121">
        <f>0*C23</f>
        <v>0</v>
      </c>
      <c r="G23" s="121">
        <f>E23+F23</f>
        <v>0</v>
      </c>
      <c r="H23" s="121">
        <f>B23-G23</f>
        <v>0</v>
      </c>
      <c r="I23" s="121">
        <f>I21+H23</f>
        <v>0</v>
      </c>
      <c r="J23" s="102">
        <f>'Sch. 2'!$F$22</f>
        <v>0.11511399999999999</v>
      </c>
      <c r="K23" s="88">
        <f>I23*(J25-J23)</f>
        <v>0</v>
      </c>
      <c r="L23" s="148">
        <v>0</v>
      </c>
      <c r="M23" s="88">
        <f>ROUND(L23*E23,2)</f>
        <v>0</v>
      </c>
      <c r="N23" s="88">
        <f>N21+K23+M23</f>
        <v>0</v>
      </c>
      <c r="O23" s="149">
        <f>ROUND(N21*R23/12,2)</f>
        <v>0</v>
      </c>
      <c r="P23" s="88">
        <f>P21+O23</f>
        <v>0</v>
      </c>
      <c r="Q23" s="88">
        <f>N23+P23</f>
        <v>0</v>
      </c>
      <c r="R23" s="150">
        <f>'Sch. 2'!P22</f>
        <v>2.18E-2</v>
      </c>
    </row>
    <row r="24" spans="1:18" x14ac:dyDescent="0.2">
      <c r="A24" s="97"/>
      <c r="B24" s="97"/>
      <c r="C24" s="97"/>
      <c r="D24" s="97"/>
      <c r="E24" s="97"/>
      <c r="F24" s="97"/>
      <c r="G24" s="97"/>
      <c r="H24" s="97"/>
      <c r="I24" s="126"/>
      <c r="J24" s="97"/>
      <c r="K24" s="97"/>
      <c r="L24" s="151" t="s">
        <v>92</v>
      </c>
      <c r="M24" s="97"/>
      <c r="N24" s="97"/>
      <c r="O24" s="97"/>
      <c r="P24" s="97"/>
      <c r="Q24" s="97"/>
      <c r="R24" s="152"/>
    </row>
    <row r="25" spans="1:18" x14ac:dyDescent="0.2">
      <c r="A25" s="97" t="str">
        <f>'Sch. 2'!B24</f>
        <v>January</v>
      </c>
      <c r="B25" s="121">
        <f>'Sch. 2'!$D$24</f>
        <v>0</v>
      </c>
      <c r="C25" s="116">
        <v>0</v>
      </c>
      <c r="D25" s="116">
        <v>0</v>
      </c>
      <c r="E25" s="121">
        <f>C25-D25</f>
        <v>0</v>
      </c>
      <c r="F25" s="121">
        <f>0*C25</f>
        <v>0</v>
      </c>
      <c r="G25" s="121">
        <f>E25+F25</f>
        <v>0</v>
      </c>
      <c r="H25" s="121">
        <f>B25-G25</f>
        <v>0</v>
      </c>
      <c r="I25" s="121">
        <f>I23+H25</f>
        <v>0</v>
      </c>
      <c r="J25" s="102">
        <f>'Sch. 2'!$F$24</f>
        <v>0.11511399999999999</v>
      </c>
      <c r="K25" s="88">
        <f>I25*(J27-J25)</f>
        <v>0</v>
      </c>
      <c r="L25" s="148">
        <v>0</v>
      </c>
      <c r="M25" s="88">
        <f>ROUND(L25*E25,2)</f>
        <v>0</v>
      </c>
      <c r="N25" s="88">
        <f>N23+K25+M25</f>
        <v>0</v>
      </c>
      <c r="O25" s="149">
        <f>ROUND(N23*R25/12,2)</f>
        <v>0</v>
      </c>
      <c r="P25" s="88">
        <f>P23+O25</f>
        <v>0</v>
      </c>
      <c r="Q25" s="88">
        <f>N25+P25</f>
        <v>0</v>
      </c>
      <c r="R25" s="150">
        <f>'Sch. 2'!P24</f>
        <v>2.18E-2</v>
      </c>
    </row>
    <row r="26" spans="1:18" x14ac:dyDescent="0.2">
      <c r="A26" s="97"/>
      <c r="B26" s="97"/>
      <c r="C26" s="128"/>
      <c r="D26" s="128"/>
      <c r="E26" s="97"/>
      <c r="F26" s="97"/>
      <c r="G26" s="97"/>
      <c r="H26" s="97"/>
      <c r="I26" s="97"/>
      <c r="J26" s="97"/>
      <c r="K26" s="88"/>
      <c r="L26" s="151" t="s">
        <v>92</v>
      </c>
      <c r="M26" s="97"/>
      <c r="N26" s="97"/>
      <c r="O26" s="128"/>
      <c r="P26" s="97"/>
      <c r="Q26" s="97"/>
      <c r="R26" s="152"/>
    </row>
    <row r="27" spans="1:18" x14ac:dyDescent="0.2">
      <c r="A27" s="97" t="str">
        <f>'Sch. 2'!B26</f>
        <v>February</v>
      </c>
      <c r="B27" s="121">
        <f>'Sch. 2'!$D$26</f>
        <v>0</v>
      </c>
      <c r="C27" s="116">
        <v>0</v>
      </c>
      <c r="D27" s="116">
        <v>0</v>
      </c>
      <c r="E27" s="121">
        <f>C27-D27</f>
        <v>0</v>
      </c>
      <c r="F27" s="121">
        <f>0*C27</f>
        <v>0</v>
      </c>
      <c r="G27" s="121">
        <f>E27+F27</f>
        <v>0</v>
      </c>
      <c r="H27" s="121">
        <f>B27-G27</f>
        <v>0</v>
      </c>
      <c r="I27" s="121">
        <f>I25+H27</f>
        <v>0</v>
      </c>
      <c r="J27" s="102">
        <f>'Sch. 2'!$F$26</f>
        <v>0.11511399999999999</v>
      </c>
      <c r="K27" s="88">
        <f>I27*(J29-J27)</f>
        <v>0</v>
      </c>
      <c r="L27" s="148">
        <v>0</v>
      </c>
      <c r="M27" s="88">
        <f>ROUND(L27*E27,2)</f>
        <v>0</v>
      </c>
      <c r="N27" s="88">
        <f>N25+K27+M27</f>
        <v>0</v>
      </c>
      <c r="O27" s="149">
        <f>ROUND(N25*R27/12,2)</f>
        <v>0</v>
      </c>
      <c r="P27" s="88">
        <f>P25+O27</f>
        <v>0</v>
      </c>
      <c r="Q27" s="88">
        <f>N27+P27</f>
        <v>0</v>
      </c>
      <c r="R27" s="150">
        <f>'Sch. 2'!P26</f>
        <v>2.18E-2</v>
      </c>
    </row>
    <row r="28" spans="1:18" x14ac:dyDescent="0.2">
      <c r="A28" s="97"/>
      <c r="B28" s="97"/>
      <c r="C28" s="128"/>
      <c r="D28" s="128"/>
      <c r="E28" s="97"/>
      <c r="F28" s="97"/>
      <c r="G28" s="97"/>
      <c r="H28" s="97"/>
      <c r="I28" s="97"/>
      <c r="J28" s="97"/>
      <c r="K28" s="88"/>
      <c r="L28" s="151" t="s">
        <v>92</v>
      </c>
      <c r="M28" s="97"/>
      <c r="N28" s="97"/>
      <c r="O28" s="128"/>
      <c r="P28" s="97"/>
      <c r="Q28" s="97"/>
      <c r="R28" s="152"/>
    </row>
    <row r="29" spans="1:18" x14ac:dyDescent="0.2">
      <c r="A29" s="97" t="str">
        <f>'Sch. 2'!B28</f>
        <v>March</v>
      </c>
      <c r="B29" s="121">
        <f>'Sch. 2'!$D$28</f>
        <v>0</v>
      </c>
      <c r="C29" s="116">
        <v>0</v>
      </c>
      <c r="D29" s="116">
        <v>0</v>
      </c>
      <c r="E29" s="121">
        <f>C29-D29</f>
        <v>0</v>
      </c>
      <c r="F29" s="121">
        <f>0*C29</f>
        <v>0</v>
      </c>
      <c r="G29" s="121">
        <f>E29+F29</f>
        <v>0</v>
      </c>
      <c r="H29" s="121">
        <f>B29-G29</f>
        <v>0</v>
      </c>
      <c r="I29" s="121">
        <f>I27+H29</f>
        <v>0</v>
      </c>
      <c r="J29" s="102">
        <f>'Sch. 2'!$F$28</f>
        <v>0.11511399999999999</v>
      </c>
      <c r="K29" s="88">
        <f>I29*(J31-J29)</f>
        <v>0</v>
      </c>
      <c r="L29" s="148">
        <v>0</v>
      </c>
      <c r="M29" s="88">
        <f>ROUND(L29*E29,2)</f>
        <v>0</v>
      </c>
      <c r="N29" s="88">
        <f>N27+K29+M29</f>
        <v>0</v>
      </c>
      <c r="O29" s="149">
        <f>ROUND(N27*R29/12,2)</f>
        <v>0</v>
      </c>
      <c r="P29" s="88">
        <f>P27+O29</f>
        <v>0</v>
      </c>
      <c r="Q29" s="88">
        <f>N29+P29</f>
        <v>0</v>
      </c>
      <c r="R29" s="150">
        <f>'Sch. 2'!P28</f>
        <v>2.18E-2</v>
      </c>
    </row>
    <row r="30" spans="1:18" x14ac:dyDescent="0.2">
      <c r="A30" s="97"/>
      <c r="B30" s="97"/>
      <c r="C30" s="128"/>
      <c r="D30" s="128"/>
      <c r="E30" s="97"/>
      <c r="F30" s="97"/>
      <c r="G30" s="97"/>
      <c r="H30" s="97"/>
      <c r="I30" s="97"/>
      <c r="J30" s="97"/>
      <c r="K30" s="88"/>
      <c r="L30" s="151" t="s">
        <v>92</v>
      </c>
      <c r="M30" s="97"/>
      <c r="N30" s="88"/>
      <c r="O30" s="128"/>
      <c r="P30" s="97"/>
      <c r="Q30" s="97"/>
      <c r="R30" s="152"/>
    </row>
    <row r="31" spans="1:18" x14ac:dyDescent="0.2">
      <c r="A31" s="97" t="str">
        <f>'Sch. 2'!B30</f>
        <v>April</v>
      </c>
      <c r="B31" s="121">
        <f>'Sch. 2'!$D$30</f>
        <v>0</v>
      </c>
      <c r="C31" s="116">
        <v>0</v>
      </c>
      <c r="D31" s="116">
        <v>0</v>
      </c>
      <c r="E31" s="121">
        <f>C31-D31</f>
        <v>0</v>
      </c>
      <c r="F31" s="121">
        <f>0*C31</f>
        <v>0</v>
      </c>
      <c r="G31" s="121">
        <f>E31+F31</f>
        <v>0</v>
      </c>
      <c r="H31" s="121">
        <f>B31-G31</f>
        <v>0</v>
      </c>
      <c r="I31" s="121">
        <f>I29+H31</f>
        <v>0</v>
      </c>
      <c r="J31" s="102">
        <f>'Sch. 2'!$F$30</f>
        <v>0.11511399999999999</v>
      </c>
      <c r="K31" s="88">
        <f>I31*(J33-J31)</f>
        <v>0</v>
      </c>
      <c r="L31" s="148">
        <v>0</v>
      </c>
      <c r="M31" s="88">
        <f>ROUND(L31*E31,2)</f>
        <v>0</v>
      </c>
      <c r="N31" s="88">
        <f>N29+K31+M31</f>
        <v>0</v>
      </c>
      <c r="O31" s="149">
        <f>ROUND(N29*R31/12,2)</f>
        <v>0</v>
      </c>
      <c r="P31" s="88">
        <f>P29+O31</f>
        <v>0</v>
      </c>
      <c r="Q31" s="88">
        <f>N31+P31</f>
        <v>0</v>
      </c>
      <c r="R31" s="150">
        <f>'Sch. 2'!P30</f>
        <v>2.18E-2</v>
      </c>
    </row>
    <row r="32" spans="1:18" x14ac:dyDescent="0.2">
      <c r="A32" s="97"/>
      <c r="B32" s="97"/>
      <c r="C32" s="128"/>
      <c r="D32" s="128"/>
      <c r="E32" s="97"/>
      <c r="F32" s="97"/>
      <c r="G32" s="97"/>
      <c r="H32" s="97"/>
      <c r="I32" s="97"/>
      <c r="J32" s="97"/>
      <c r="K32" s="88"/>
      <c r="L32" s="151" t="s">
        <v>92</v>
      </c>
      <c r="M32" s="97"/>
      <c r="N32" s="88"/>
      <c r="O32" s="128"/>
      <c r="P32" s="97"/>
      <c r="Q32" s="97"/>
      <c r="R32" s="152"/>
    </row>
    <row r="33" spans="1:20" x14ac:dyDescent="0.2">
      <c r="A33" s="97" t="str">
        <f>'Sch. 2'!B32</f>
        <v>May</v>
      </c>
      <c r="B33" s="121">
        <f>'Sch. 2'!$D$32</f>
        <v>303869.65376782074</v>
      </c>
      <c r="C33" s="116">
        <v>0</v>
      </c>
      <c r="D33" s="116">
        <v>0</v>
      </c>
      <c r="E33" s="121">
        <f>C33-D33</f>
        <v>0</v>
      </c>
      <c r="F33" s="121">
        <v>0</v>
      </c>
      <c r="G33" s="121">
        <f>E33+F33</f>
        <v>0</v>
      </c>
      <c r="H33" s="121">
        <f>B33-G33</f>
        <v>303869.65376782074</v>
      </c>
      <c r="I33" s="121">
        <f>I31+H33</f>
        <v>303869.65376782074</v>
      </c>
      <c r="J33" s="102">
        <f>'Sch. 2'!$F$32</f>
        <v>0.11511399999999999</v>
      </c>
      <c r="K33" s="88">
        <f>I33*(J35-J33)</f>
        <v>0</v>
      </c>
      <c r="L33" s="148">
        <v>0</v>
      </c>
      <c r="M33" s="88">
        <f>ROUND(L33*E33,2)</f>
        <v>0</v>
      </c>
      <c r="N33" s="88">
        <f>N31+K33+M33</f>
        <v>0</v>
      </c>
      <c r="O33" s="149">
        <f>ROUND(N31*R33/12,2)</f>
        <v>0</v>
      </c>
      <c r="P33" s="88">
        <f>P31+O33</f>
        <v>0</v>
      </c>
      <c r="Q33" s="88">
        <f>N33+P33</f>
        <v>0</v>
      </c>
      <c r="R33" s="150">
        <f>'Sch. 2'!P32</f>
        <v>2.18E-2</v>
      </c>
    </row>
    <row r="34" spans="1:20" x14ac:dyDescent="0.2">
      <c r="A34" s="97"/>
      <c r="B34" s="97"/>
      <c r="C34" s="128"/>
      <c r="D34" s="128"/>
      <c r="E34" s="97"/>
      <c r="F34" s="97"/>
      <c r="G34" s="97"/>
      <c r="H34" s="97"/>
      <c r="I34" s="97"/>
      <c r="J34" s="97"/>
      <c r="K34" s="88"/>
      <c r="L34" s="151" t="s">
        <v>92</v>
      </c>
      <c r="M34" s="97"/>
      <c r="N34" s="88"/>
      <c r="O34" s="128"/>
      <c r="P34" s="97"/>
      <c r="Q34" s="97"/>
      <c r="R34" s="152"/>
    </row>
    <row r="35" spans="1:20" x14ac:dyDescent="0.2">
      <c r="A35" s="97" t="str">
        <f>'Sch. 2'!B34</f>
        <v>June</v>
      </c>
      <c r="B35" s="121">
        <f>'Sch. 2'!$D$34</f>
        <v>572810.5906313645</v>
      </c>
      <c r="C35" s="116">
        <v>0</v>
      </c>
      <c r="D35" s="116">
        <v>0</v>
      </c>
      <c r="E35" s="121">
        <f>C35-D35</f>
        <v>0</v>
      </c>
      <c r="F35" s="121">
        <v>0</v>
      </c>
      <c r="G35" s="121">
        <f>E35+F35</f>
        <v>0</v>
      </c>
      <c r="H35" s="121">
        <f>B35-G35</f>
        <v>572810.5906313645</v>
      </c>
      <c r="I35" s="121">
        <f>I33+H35</f>
        <v>876680.24439918529</v>
      </c>
      <c r="J35" s="102">
        <f>'Sch. 2'!$F$34</f>
        <v>0.11511399999999999</v>
      </c>
      <c r="K35" s="88">
        <f>I35*(J37-J35)</f>
        <v>0</v>
      </c>
      <c r="L35" s="148">
        <v>0</v>
      </c>
      <c r="M35" s="88">
        <f>ROUND(L35*E35,2)</f>
        <v>0</v>
      </c>
      <c r="N35" s="88">
        <f>N33+K35+M35</f>
        <v>0</v>
      </c>
      <c r="O35" s="149">
        <f>ROUND(N33*R35/12,2)</f>
        <v>0</v>
      </c>
      <c r="P35" s="88">
        <f>P33+O35</f>
        <v>0</v>
      </c>
      <c r="Q35" s="88">
        <f>N35+P35</f>
        <v>0</v>
      </c>
      <c r="R35" s="150">
        <f>'Sch. 2'!P34</f>
        <v>2.18E-2</v>
      </c>
    </row>
    <row r="36" spans="1:20" x14ac:dyDescent="0.2">
      <c r="A36" s="97"/>
      <c r="B36" s="153"/>
      <c r="C36" s="128"/>
      <c r="D36" s="128"/>
      <c r="E36" s="153"/>
      <c r="F36" s="153"/>
      <c r="G36" s="153"/>
      <c r="H36" s="153"/>
      <c r="I36" s="121"/>
      <c r="J36" s="102"/>
      <c r="K36" s="154"/>
      <c r="L36" s="151" t="s">
        <v>92</v>
      </c>
      <c r="M36" s="154"/>
      <c r="N36" s="88"/>
      <c r="O36" s="155"/>
      <c r="P36" s="88"/>
      <c r="Q36" s="88"/>
      <c r="R36" s="152"/>
    </row>
    <row r="37" spans="1:20" x14ac:dyDescent="0.2">
      <c r="A37" s="97" t="str">
        <f>'Sch. 2'!B36</f>
        <v>July</v>
      </c>
      <c r="B37" s="121">
        <f>'Sch. 2'!$D$36</f>
        <v>591904.27698574332</v>
      </c>
      <c r="C37" s="116">
        <v>0</v>
      </c>
      <c r="D37" s="116">
        <v>0</v>
      </c>
      <c r="E37" s="121">
        <f>C37-D37</f>
        <v>0</v>
      </c>
      <c r="F37" s="121">
        <f>0*C37</f>
        <v>0</v>
      </c>
      <c r="G37" s="121">
        <f>E37+F37</f>
        <v>0</v>
      </c>
      <c r="H37" s="121">
        <f>B37-G37</f>
        <v>591904.27698574332</v>
      </c>
      <c r="I37" s="121">
        <f>I35+H37</f>
        <v>1468584.5213849286</v>
      </c>
      <c r="J37" s="102">
        <f>'Sch. 2'!$F$36</f>
        <v>0.11511399999999999</v>
      </c>
      <c r="K37" s="88">
        <f>I37*(J39-J37)</f>
        <v>0</v>
      </c>
      <c r="L37" s="148">
        <v>0</v>
      </c>
      <c r="M37" s="88">
        <f>ROUND(L37*E37,2)</f>
        <v>0</v>
      </c>
      <c r="N37" s="88">
        <f>N35+K37+M37</f>
        <v>0</v>
      </c>
      <c r="O37" s="149">
        <f>ROUND(N35*R37/12,2)</f>
        <v>0</v>
      </c>
      <c r="P37" s="88">
        <f>P35+O37</f>
        <v>0</v>
      </c>
      <c r="Q37" s="88">
        <f>N37+P37</f>
        <v>0</v>
      </c>
      <c r="R37" s="150">
        <f>'Sch. 2'!P36</f>
        <v>5.7000000000000002E-3</v>
      </c>
    </row>
    <row r="38" spans="1:20" x14ac:dyDescent="0.2">
      <c r="A38" s="97"/>
      <c r="B38" s="153"/>
      <c r="C38" s="128"/>
      <c r="D38" s="128"/>
      <c r="E38" s="153"/>
      <c r="F38" s="153"/>
      <c r="G38" s="153"/>
      <c r="H38" s="153"/>
      <c r="I38" s="121"/>
      <c r="J38" s="102"/>
      <c r="K38" s="154"/>
      <c r="L38" s="151" t="s">
        <v>92</v>
      </c>
      <c r="M38" s="154"/>
      <c r="N38" s="88"/>
      <c r="O38" s="155"/>
      <c r="P38" s="88"/>
      <c r="Q38" s="88"/>
      <c r="R38" s="152"/>
    </row>
    <row r="39" spans="1:20" x14ac:dyDescent="0.2">
      <c r="A39" s="97" t="str">
        <f>'Sch. 2'!B38</f>
        <v>August</v>
      </c>
      <c r="B39" s="121">
        <f>'Sch. 2'!$D$38</f>
        <v>682281.05906313646</v>
      </c>
      <c r="C39" s="116">
        <v>4927</v>
      </c>
      <c r="D39" s="116">
        <v>0</v>
      </c>
      <c r="E39" s="121">
        <f>C39-D39</f>
        <v>4927</v>
      </c>
      <c r="F39" s="121">
        <f>0*C39</f>
        <v>0</v>
      </c>
      <c r="G39" s="121">
        <f>E39+F39</f>
        <v>4927</v>
      </c>
      <c r="H39" s="121">
        <f>B39-G39</f>
        <v>677354.05906313646</v>
      </c>
      <c r="I39" s="121">
        <f>I37+H39</f>
        <v>2145938.580448065</v>
      </c>
      <c r="J39" s="102">
        <f>'Sch. 2'!$F$38</f>
        <v>0.11511399999999999</v>
      </c>
      <c r="K39" s="88">
        <f>I39*(J41-J39)</f>
        <v>0</v>
      </c>
      <c r="L39" s="148">
        <v>0</v>
      </c>
      <c r="M39" s="88">
        <f>ROUND(L39*E39,2)</f>
        <v>0</v>
      </c>
      <c r="N39" s="88">
        <f>N37+K39+M39</f>
        <v>0</v>
      </c>
      <c r="O39" s="149">
        <f>ROUND(N37*R39/12,2)</f>
        <v>0</v>
      </c>
      <c r="P39" s="88">
        <f>P37+O39</f>
        <v>0</v>
      </c>
      <c r="Q39" s="88">
        <f>N39+P39</f>
        <v>0</v>
      </c>
      <c r="R39" s="150">
        <f>'Sch. 2'!P38</f>
        <v>5.7000000000000002E-3</v>
      </c>
    </row>
    <row r="40" spans="1:20" x14ac:dyDescent="0.2">
      <c r="A40" s="97"/>
      <c r="B40" s="153"/>
      <c r="C40" s="128"/>
      <c r="D40" s="128"/>
      <c r="E40" s="153"/>
      <c r="F40" s="153"/>
      <c r="G40" s="153"/>
      <c r="H40" s="153"/>
      <c r="I40" s="121"/>
      <c r="J40" s="102"/>
      <c r="K40" s="154"/>
      <c r="L40" s="151" t="s">
        <v>92</v>
      </c>
      <c r="M40" s="154"/>
      <c r="N40" s="88"/>
      <c r="O40" s="155"/>
      <c r="P40" s="88"/>
      <c r="Q40" s="88"/>
      <c r="R40" s="152"/>
    </row>
    <row r="41" spans="1:20" x14ac:dyDescent="0.2">
      <c r="A41" s="97" t="str">
        <f>'Sch. 2'!B40</f>
        <v>September</v>
      </c>
      <c r="B41" s="121">
        <f>'Sch. 2'!$D$40</f>
        <v>381873.72708757635</v>
      </c>
      <c r="C41" s="116">
        <v>0</v>
      </c>
      <c r="D41" s="116">
        <v>0</v>
      </c>
      <c r="E41" s="121">
        <f>C41-D41</f>
        <v>0</v>
      </c>
      <c r="F41" s="121">
        <f>0*C41</f>
        <v>0</v>
      </c>
      <c r="G41" s="121">
        <f>E41+F41</f>
        <v>0</v>
      </c>
      <c r="H41" s="121">
        <f>B41-G41</f>
        <v>381873.72708757635</v>
      </c>
      <c r="I41" s="121">
        <f>I39+H41</f>
        <v>2527812.3075356414</v>
      </c>
      <c r="J41" s="102">
        <f>'Sch. 2'!$F$40</f>
        <v>0.11511399999999999</v>
      </c>
      <c r="K41" s="88">
        <f>I41*(J43-J41)</f>
        <v>56221.073531900227</v>
      </c>
      <c r="L41" s="148">
        <v>0</v>
      </c>
      <c r="M41" s="88">
        <f>ROUND(L41*E41,2)</f>
        <v>0</v>
      </c>
      <c r="N41" s="88">
        <f>N39+K41+M41</f>
        <v>56221.073531900227</v>
      </c>
      <c r="O41" s="149">
        <f>ROUND(N39*R41/12,2)</f>
        <v>0</v>
      </c>
      <c r="P41" s="88">
        <f>P39+O41</f>
        <v>0</v>
      </c>
      <c r="Q41" s="88">
        <f>N41+P41</f>
        <v>56221.073531900227</v>
      </c>
      <c r="R41" s="150">
        <f>'Sch. 2'!P40</f>
        <v>5.7000000000000002E-3</v>
      </c>
    </row>
    <row r="42" spans="1:20" x14ac:dyDescent="0.2">
      <c r="A42" s="97"/>
      <c r="B42" s="153"/>
      <c r="C42" s="128"/>
      <c r="D42" s="128"/>
      <c r="E42" s="153"/>
      <c r="F42" s="153"/>
      <c r="G42" s="153"/>
      <c r="H42" s="153"/>
      <c r="I42" s="121"/>
      <c r="J42" s="102"/>
      <c r="K42" s="154"/>
      <c r="L42" s="151" t="s">
        <v>92</v>
      </c>
      <c r="M42" s="154"/>
      <c r="N42" s="88"/>
      <c r="O42" s="155"/>
      <c r="P42" s="88"/>
      <c r="Q42" s="88"/>
      <c r="R42" s="152"/>
    </row>
    <row r="43" spans="1:20" x14ac:dyDescent="0.2">
      <c r="A43" s="108" t="str">
        <f>'Sch. 5'!A17</f>
        <v>October</v>
      </c>
      <c r="B43" s="121">
        <f>'Sch. 5'!$C$17</f>
        <v>383554</v>
      </c>
      <c r="C43" s="116">
        <v>383019.39458856836</v>
      </c>
      <c r="D43" s="116">
        <v>0</v>
      </c>
      <c r="E43" s="121">
        <f>C43-D43</f>
        <v>383019.39458856836</v>
      </c>
      <c r="F43" s="121">
        <f>0*C43</f>
        <v>0</v>
      </c>
      <c r="G43" s="121">
        <f>E43+F43</f>
        <v>383019.39458856836</v>
      </c>
      <c r="H43" s="121">
        <f>B43-G43</f>
        <v>534.60541143163573</v>
      </c>
      <c r="I43" s="121">
        <f>I41+H43</f>
        <v>2528346.9129470731</v>
      </c>
      <c r="J43" s="102">
        <f>'Sch. 5'!$E$17</f>
        <v>0.137355</v>
      </c>
      <c r="K43" s="88">
        <f>I43*(J45-J43)</f>
        <v>0</v>
      </c>
      <c r="L43" s="148">
        <v>-7.4939999999999998E-3</v>
      </c>
      <c r="M43" s="88">
        <f>ROUND(L43*E43,2)</f>
        <v>-2870.35</v>
      </c>
      <c r="N43" s="88">
        <f>N41+K43+M43</f>
        <v>53350.723531900228</v>
      </c>
      <c r="O43" s="149">
        <f>ROUND(N41*R43/12,2)</f>
        <v>26.71</v>
      </c>
      <c r="P43" s="88">
        <f>P41+O43</f>
        <v>26.71</v>
      </c>
      <c r="Q43" s="88">
        <f>N43+P43</f>
        <v>53377.433531900228</v>
      </c>
      <c r="R43" s="150">
        <f>'Sch. 5'!N17</f>
        <v>5.7000000000000002E-3</v>
      </c>
      <c r="T43" s="156"/>
    </row>
    <row r="44" spans="1:20" x14ac:dyDescent="0.2">
      <c r="A44" s="97"/>
      <c r="B44" s="153"/>
      <c r="C44" s="128"/>
      <c r="D44" s="128"/>
      <c r="E44" s="153"/>
      <c r="F44" s="153"/>
      <c r="G44" s="153"/>
      <c r="H44" s="153"/>
      <c r="I44" s="121"/>
      <c r="J44" s="102"/>
      <c r="K44" s="154"/>
      <c r="L44" s="151"/>
      <c r="M44" s="154"/>
      <c r="N44" s="88"/>
      <c r="O44" s="155"/>
      <c r="P44" s="88"/>
      <c r="Q44" s="88"/>
      <c r="R44" s="152"/>
    </row>
    <row r="45" spans="1:20" x14ac:dyDescent="0.2">
      <c r="A45" s="108" t="str">
        <f>'Sch. 5'!A19</f>
        <v>November</v>
      </c>
      <c r="B45" s="121">
        <f>'Sch. 5'!$C$19</f>
        <v>612525</v>
      </c>
      <c r="C45" s="116">
        <v>611911.71537833801</v>
      </c>
      <c r="D45" s="116">
        <v>0</v>
      </c>
      <c r="E45" s="121">
        <f>C45-D45</f>
        <v>611911.71537833801</v>
      </c>
      <c r="F45" s="121">
        <f>0*C45</f>
        <v>0</v>
      </c>
      <c r="G45" s="121">
        <f>E45+F45</f>
        <v>611911.71537833801</v>
      </c>
      <c r="H45" s="121">
        <f>B45-G45</f>
        <v>613.28462166199461</v>
      </c>
      <c r="I45" s="121">
        <f>I43+H45</f>
        <v>2528960.1975687351</v>
      </c>
      <c r="J45" s="102">
        <f>'Sch. 5'!$E$19</f>
        <v>0.137355</v>
      </c>
      <c r="K45" s="88">
        <f>I45*(J47-J45)</f>
        <v>0</v>
      </c>
      <c r="L45" s="148">
        <f>L43</f>
        <v>-7.4939999999999998E-3</v>
      </c>
      <c r="M45" s="88">
        <f>ROUND(L45*E45,2)</f>
        <v>-4585.67</v>
      </c>
      <c r="N45" s="88">
        <f>N43+K45+M45</f>
        <v>48765.05353190023</v>
      </c>
      <c r="O45" s="149">
        <f>ROUND(N43*R45/12,2)</f>
        <v>25.34</v>
      </c>
      <c r="P45" s="88">
        <f>P43+O45</f>
        <v>52.05</v>
      </c>
      <c r="Q45" s="88">
        <f>N45+P45</f>
        <v>48817.103531900233</v>
      </c>
      <c r="R45" s="150">
        <f>'Sch. 5'!N19</f>
        <v>5.7000000000000002E-3</v>
      </c>
    </row>
    <row r="46" spans="1:20" x14ac:dyDescent="0.2">
      <c r="A46" s="97"/>
      <c r="B46" s="153"/>
      <c r="C46" s="128"/>
      <c r="D46" s="128"/>
      <c r="E46" s="153"/>
      <c r="F46" s="153"/>
      <c r="G46" s="153"/>
      <c r="H46" s="153"/>
      <c r="I46" s="121"/>
      <c r="J46" s="102"/>
      <c r="K46" s="154"/>
      <c r="L46" s="148"/>
      <c r="M46" s="154"/>
      <c r="N46" s="88"/>
      <c r="O46" s="155"/>
      <c r="P46" s="88"/>
      <c r="Q46" s="88"/>
      <c r="R46" s="152"/>
    </row>
    <row r="47" spans="1:20" x14ac:dyDescent="0.2">
      <c r="A47" s="108" t="str">
        <f>'Sch. 5'!A21</f>
        <v>December</v>
      </c>
      <c r="B47" s="121">
        <f>'Sch. 5'!$C$21</f>
        <v>583223</v>
      </c>
      <c r="C47" s="116">
        <v>947670.10864574753</v>
      </c>
      <c r="D47" s="116">
        <v>0</v>
      </c>
      <c r="E47" s="121">
        <f>C47-D47</f>
        <v>947670.10864574753</v>
      </c>
      <c r="F47" s="121">
        <f>0*C47</f>
        <v>0</v>
      </c>
      <c r="G47" s="121">
        <f>E47+F47</f>
        <v>947670.10864574753</v>
      </c>
      <c r="H47" s="121">
        <f>B47-G47</f>
        <v>-364447.10864574753</v>
      </c>
      <c r="I47" s="121">
        <f>I45+H47</f>
        <v>2164513.0889229877</v>
      </c>
      <c r="J47" s="102">
        <f>'Sch. 5'!$E$21</f>
        <v>0.137355</v>
      </c>
      <c r="K47" s="88">
        <f>I47*(J49-J47)</f>
        <v>0</v>
      </c>
      <c r="L47" s="148">
        <f>L45</f>
        <v>-7.4939999999999998E-3</v>
      </c>
      <c r="M47" s="88">
        <f>ROUND(L47*E47,2)</f>
        <v>-7101.84</v>
      </c>
      <c r="N47" s="88">
        <f>N45+K47+M47</f>
        <v>41663.213531900226</v>
      </c>
      <c r="O47" s="149">
        <f>ROUND(N45*R47/12,2)</f>
        <v>23.16</v>
      </c>
      <c r="P47" s="88">
        <f>P45+O47</f>
        <v>75.209999999999994</v>
      </c>
      <c r="Q47" s="88">
        <f>N47+P47</f>
        <v>41738.423531900225</v>
      </c>
      <c r="R47" s="150">
        <f>'Sch. 5'!N21</f>
        <v>5.7000000000000002E-3</v>
      </c>
    </row>
    <row r="48" spans="1:20" x14ac:dyDescent="0.2">
      <c r="A48" s="97"/>
      <c r="B48" s="153"/>
      <c r="C48" s="128"/>
      <c r="D48" s="128"/>
      <c r="E48" s="153"/>
      <c r="F48" s="153"/>
      <c r="G48" s="153"/>
      <c r="H48" s="153"/>
      <c r="I48" s="121"/>
      <c r="J48" s="102"/>
      <c r="K48" s="154"/>
      <c r="L48" s="148"/>
      <c r="M48" s="154"/>
      <c r="N48" s="88"/>
      <c r="O48" s="155"/>
      <c r="P48" s="88"/>
      <c r="Q48" s="88"/>
      <c r="R48" s="152"/>
    </row>
    <row r="49" spans="1:18" x14ac:dyDescent="0.2">
      <c r="A49" s="108" t="str">
        <f>'Sch. 5'!A23</f>
        <v>January</v>
      </c>
      <c r="B49" s="121">
        <f>'Sch. 5'!$C$23</f>
        <v>355143</v>
      </c>
      <c r="C49" s="116">
        <v>1069448.1758371079</v>
      </c>
      <c r="D49" s="116">
        <v>0</v>
      </c>
      <c r="E49" s="121">
        <f>C49-D49</f>
        <v>1069448.1758371079</v>
      </c>
      <c r="F49" s="121">
        <f>0*C49</f>
        <v>0</v>
      </c>
      <c r="G49" s="121">
        <f>E49+F49</f>
        <v>1069448.1758371079</v>
      </c>
      <c r="H49" s="121">
        <f>B49-G49</f>
        <v>-714305.17583710793</v>
      </c>
      <c r="I49" s="121">
        <f>I47+H49</f>
        <v>1450207.9130858798</v>
      </c>
      <c r="J49" s="102">
        <f>'Sch. 5'!$E$23</f>
        <v>0.137355</v>
      </c>
      <c r="K49" s="88">
        <f>I49*(J51-J49)</f>
        <v>0</v>
      </c>
      <c r="L49" s="148">
        <f>L47</f>
        <v>-7.4939999999999998E-3</v>
      </c>
      <c r="M49" s="88">
        <f>ROUND(L49*E49,2)</f>
        <v>-8014.44</v>
      </c>
      <c r="N49" s="88">
        <f>N47+K49+M49</f>
        <v>33648.773531900224</v>
      </c>
      <c r="O49" s="149">
        <f>ROUND(N47*R49/12,2)</f>
        <v>19.79</v>
      </c>
      <c r="P49" s="88">
        <f>P47+O49</f>
        <v>95</v>
      </c>
      <c r="Q49" s="88">
        <f>N49+P49</f>
        <v>33743.773531900224</v>
      </c>
      <c r="R49" s="150">
        <f>'Sch. 5'!N23</f>
        <v>5.7000000000000002E-3</v>
      </c>
    </row>
    <row r="50" spans="1:18" x14ac:dyDescent="0.2">
      <c r="A50" s="97"/>
      <c r="B50" s="153"/>
      <c r="C50" s="157"/>
      <c r="D50" s="157"/>
      <c r="E50" s="153"/>
      <c r="F50" s="153"/>
      <c r="G50" s="153"/>
      <c r="H50" s="153"/>
      <c r="I50" s="121"/>
      <c r="J50" s="102"/>
      <c r="K50" s="154"/>
      <c r="L50" s="148"/>
      <c r="M50" s="154"/>
      <c r="N50" s="88"/>
      <c r="O50" s="155"/>
      <c r="P50" s="88"/>
      <c r="Q50" s="88"/>
      <c r="R50" s="152"/>
    </row>
    <row r="51" spans="1:18" x14ac:dyDescent="0.2">
      <c r="A51" s="108" t="str">
        <f>'Sch. 5'!A25</f>
        <v>February</v>
      </c>
      <c r="B51" s="121">
        <f>'Sch. 5'!$C$25</f>
        <v>431976</v>
      </c>
      <c r="C51" s="116">
        <v>1119786.6667328994</v>
      </c>
      <c r="D51" s="116">
        <v>0</v>
      </c>
      <c r="E51" s="121">
        <f>C51-D51</f>
        <v>1119786.6667328994</v>
      </c>
      <c r="F51" s="121">
        <f>0*C51</f>
        <v>0</v>
      </c>
      <c r="G51" s="121">
        <f>E51+F51</f>
        <v>1119786.6667328994</v>
      </c>
      <c r="H51" s="121">
        <f>B51-G51</f>
        <v>-687810.66673289938</v>
      </c>
      <c r="I51" s="121">
        <f>I49+H51</f>
        <v>762397.24635298038</v>
      </c>
      <c r="J51" s="102">
        <f>'Sch. 5'!$E$25</f>
        <v>0.137355</v>
      </c>
      <c r="K51" s="88">
        <f>I51*(J53-J51)</f>
        <v>0</v>
      </c>
      <c r="L51" s="148">
        <f>L49</f>
        <v>-7.4939999999999998E-3</v>
      </c>
      <c r="M51" s="88">
        <f>ROUND(L51*E51,2)</f>
        <v>-8391.68</v>
      </c>
      <c r="N51" s="88">
        <f>N49+K51+M51</f>
        <v>25257.093531900224</v>
      </c>
      <c r="O51" s="149">
        <f>ROUND(N49*R51/12,2)</f>
        <v>15.98</v>
      </c>
      <c r="P51" s="88">
        <f>P49+O51</f>
        <v>110.98</v>
      </c>
      <c r="Q51" s="88">
        <f>N51+P51</f>
        <v>25368.073531900223</v>
      </c>
      <c r="R51" s="150">
        <f>'Sch. 5'!N25</f>
        <v>5.7000000000000002E-3</v>
      </c>
    </row>
    <row r="52" spans="1:18" x14ac:dyDescent="0.2">
      <c r="A52" s="97"/>
      <c r="B52" s="153"/>
      <c r="C52" s="157"/>
      <c r="D52" s="157"/>
      <c r="E52" s="153"/>
      <c r="F52" s="153"/>
      <c r="G52" s="153"/>
      <c r="H52" s="153"/>
      <c r="I52" s="121"/>
      <c r="J52" s="102"/>
      <c r="K52" s="154"/>
      <c r="L52" s="148"/>
      <c r="M52" s="154"/>
      <c r="N52" s="88"/>
      <c r="O52" s="155"/>
      <c r="P52" s="88"/>
      <c r="Q52" s="88"/>
      <c r="R52" s="152"/>
    </row>
    <row r="53" spans="1:18" x14ac:dyDescent="0.2">
      <c r="A53" s="108" t="str">
        <f>'Sch. 5'!A27</f>
        <v>March</v>
      </c>
      <c r="B53" s="121">
        <f>'Sch. 5'!$C$27</f>
        <v>360667</v>
      </c>
      <c r="C53" s="116">
        <v>983859.60633694299</v>
      </c>
      <c r="D53" s="116">
        <v>0</v>
      </c>
      <c r="E53" s="121">
        <f>C53-D53</f>
        <v>983859.60633694299</v>
      </c>
      <c r="F53" s="121">
        <f>0*C53</f>
        <v>0</v>
      </c>
      <c r="G53" s="121">
        <f>E53+F53</f>
        <v>983859.60633694299</v>
      </c>
      <c r="H53" s="121">
        <f>B53-G53</f>
        <v>-623192.60633694299</v>
      </c>
      <c r="I53" s="121">
        <f>I51+H53</f>
        <v>139204.64001603739</v>
      </c>
      <c r="J53" s="102">
        <f>'Sch. 5'!$E$27</f>
        <v>0.137355</v>
      </c>
      <c r="K53" s="88">
        <f>I53*(J55-J53)</f>
        <v>0</v>
      </c>
      <c r="L53" s="148">
        <f>L51</f>
        <v>-7.4939999999999998E-3</v>
      </c>
      <c r="M53" s="88">
        <f>ROUND(L53*E53,2)</f>
        <v>-7373.04</v>
      </c>
      <c r="N53" s="88">
        <f>N51+K53+M53</f>
        <v>17884.053531900223</v>
      </c>
      <c r="O53" s="149">
        <f>ROUND(N51*R53/12,2)</f>
        <v>12</v>
      </c>
      <c r="P53" s="88">
        <f>P51+O53</f>
        <v>122.98</v>
      </c>
      <c r="Q53" s="88">
        <f>N53+P53</f>
        <v>18007.033531900222</v>
      </c>
      <c r="R53" s="150">
        <f>'Sch. 5'!N27</f>
        <v>5.7000000000000002E-3</v>
      </c>
    </row>
    <row r="54" spans="1:18" x14ac:dyDescent="0.2">
      <c r="A54" s="97"/>
      <c r="B54" s="121"/>
      <c r="C54" s="157"/>
      <c r="D54" s="157"/>
      <c r="E54" s="121"/>
      <c r="F54" s="121"/>
      <c r="G54" s="121"/>
      <c r="H54" s="121"/>
      <c r="I54" s="121"/>
      <c r="J54" s="102"/>
      <c r="K54" s="88"/>
      <c r="L54" s="148"/>
      <c r="M54" s="88"/>
      <c r="N54" s="88"/>
      <c r="O54" s="149"/>
      <c r="P54" s="88"/>
      <c r="Q54" s="88"/>
      <c r="R54" s="152"/>
    </row>
    <row r="55" spans="1:18" x14ac:dyDescent="0.2">
      <c r="A55" s="108" t="str">
        <f>'Sch. 5'!A29</f>
        <v>April</v>
      </c>
      <c r="B55" s="121">
        <f>'Sch. 5'!$C$29</f>
        <v>726324</v>
      </c>
      <c r="C55" s="116">
        <v>726284.77224429487</v>
      </c>
      <c r="D55" s="116">
        <v>0</v>
      </c>
      <c r="E55" s="121">
        <f>C55-D55</f>
        <v>726284.77224429487</v>
      </c>
      <c r="F55" s="121">
        <f>0*C55</f>
        <v>0</v>
      </c>
      <c r="G55" s="121">
        <f>E55+F55</f>
        <v>726284.77224429487</v>
      </c>
      <c r="H55" s="121">
        <f>B55-G55</f>
        <v>39.227755705127493</v>
      </c>
      <c r="I55" s="121">
        <f>I53+H55</f>
        <v>139243.86777174252</v>
      </c>
      <c r="J55" s="102">
        <f>'Sch. 5'!$E$29</f>
        <v>0.137355</v>
      </c>
      <c r="K55" s="88">
        <f>I55*(J57-J55)</f>
        <v>0</v>
      </c>
      <c r="L55" s="148">
        <f>L53</f>
        <v>-7.4939999999999998E-3</v>
      </c>
      <c r="M55" s="88">
        <f>ROUND(L55*E55,2)</f>
        <v>-5442.78</v>
      </c>
      <c r="N55" s="88">
        <f>N53+K55+M55</f>
        <v>12441.273531900224</v>
      </c>
      <c r="O55" s="149">
        <f>ROUND(N53*R55/12,2)</f>
        <v>8.49</v>
      </c>
      <c r="P55" s="88">
        <f>P53+O55</f>
        <v>131.47</v>
      </c>
      <c r="Q55" s="88">
        <f>N55+P55</f>
        <v>12572.743531900223</v>
      </c>
      <c r="R55" s="150">
        <f>'Sch. 5'!N29</f>
        <v>5.7000000000000002E-3</v>
      </c>
    </row>
    <row r="56" spans="1:18" x14ac:dyDescent="0.2">
      <c r="A56" s="97"/>
      <c r="B56" s="121"/>
      <c r="C56" s="157"/>
      <c r="D56" s="157"/>
      <c r="E56" s="121"/>
      <c r="F56" s="121"/>
      <c r="G56" s="121"/>
      <c r="H56" s="121"/>
      <c r="I56" s="121"/>
      <c r="J56" s="102"/>
      <c r="K56" s="88"/>
      <c r="L56" s="148"/>
      <c r="M56" s="88"/>
      <c r="N56" s="88"/>
      <c r="O56" s="149"/>
      <c r="P56" s="88"/>
      <c r="Q56" s="88"/>
      <c r="R56" s="152"/>
    </row>
    <row r="57" spans="1:18" x14ac:dyDescent="0.2">
      <c r="A57" s="108" t="str">
        <f>'Sch. 5'!A31</f>
        <v>May</v>
      </c>
      <c r="B57" s="121">
        <f>'Sch. 5'!$C$31</f>
        <v>1051222</v>
      </c>
      <c r="C57" s="116">
        <v>455206.57969865465</v>
      </c>
      <c r="D57" s="116">
        <v>0</v>
      </c>
      <c r="E57" s="121">
        <f>C57-D57</f>
        <v>455206.57969865465</v>
      </c>
      <c r="F57" s="121">
        <f>0*C57</f>
        <v>0</v>
      </c>
      <c r="G57" s="121">
        <f>E57+F57</f>
        <v>455206.57969865465</v>
      </c>
      <c r="H57" s="121">
        <f>B57-G57</f>
        <v>596015.42030134541</v>
      </c>
      <c r="I57" s="121">
        <f>I55+H57</f>
        <v>735259.28807308793</v>
      </c>
      <c r="J57" s="102">
        <f>'Sch. 5'!$E$31</f>
        <v>0.137355</v>
      </c>
      <c r="K57" s="88">
        <f>I57*(J59-J57)</f>
        <v>0</v>
      </c>
      <c r="L57" s="148">
        <f>L55</f>
        <v>-7.4939999999999998E-3</v>
      </c>
      <c r="M57" s="88">
        <f>ROUND(L57*E57,2)</f>
        <v>-3411.32</v>
      </c>
      <c r="N57" s="88">
        <f>N55+K57+M57</f>
        <v>9029.9535319002243</v>
      </c>
      <c r="O57" s="149">
        <f>ROUND(N55*R57/12,2)</f>
        <v>5.91</v>
      </c>
      <c r="P57" s="88">
        <f>P55+O57</f>
        <v>137.38</v>
      </c>
      <c r="Q57" s="88">
        <f>N57+P57</f>
        <v>9167.3335319002235</v>
      </c>
      <c r="R57" s="150">
        <f>'Sch. 5'!N31</f>
        <v>5.7000000000000002E-3</v>
      </c>
    </row>
    <row r="58" spans="1:18" x14ac:dyDescent="0.2">
      <c r="A58" s="97"/>
      <c r="B58" s="153"/>
      <c r="C58" s="157"/>
      <c r="D58" s="157"/>
      <c r="E58" s="153"/>
      <c r="F58" s="153"/>
      <c r="G58" s="153"/>
      <c r="H58" s="153"/>
      <c r="I58" s="121"/>
      <c r="J58" s="102"/>
      <c r="K58" s="154"/>
      <c r="L58" s="148"/>
      <c r="M58" s="154"/>
      <c r="N58" s="88"/>
      <c r="O58" s="155"/>
      <c r="P58" s="88"/>
      <c r="Q58" s="88"/>
      <c r="R58" s="152"/>
    </row>
    <row r="59" spans="1:18" x14ac:dyDescent="0.2">
      <c r="A59" s="108" t="str">
        <f>'Sch. 5'!A33</f>
        <v>June</v>
      </c>
      <c r="B59" s="121">
        <f>'Sch. 5'!$C$33</f>
        <v>846996</v>
      </c>
      <c r="C59" s="116">
        <v>269759.60346114897</v>
      </c>
      <c r="D59" s="116">
        <v>0</v>
      </c>
      <c r="E59" s="121">
        <f>C59-D59</f>
        <v>269759.60346114897</v>
      </c>
      <c r="F59" s="121">
        <f>0*C59</f>
        <v>0</v>
      </c>
      <c r="G59" s="121">
        <f>E59+F59</f>
        <v>269759.60346114897</v>
      </c>
      <c r="H59" s="121">
        <f>B59-G59</f>
        <v>577236.39653885108</v>
      </c>
      <c r="I59" s="121">
        <f>I57+H59</f>
        <v>1312495.6846119389</v>
      </c>
      <c r="J59" s="102">
        <f>'Sch. 5'!$E$33</f>
        <v>0.137355</v>
      </c>
      <c r="K59" s="88">
        <f>I59*(J61-J59)</f>
        <v>0</v>
      </c>
      <c r="L59" s="148">
        <f>L57</f>
        <v>-7.4939999999999998E-3</v>
      </c>
      <c r="M59" s="88">
        <f>ROUND(L59*E59,2)</f>
        <v>-2021.58</v>
      </c>
      <c r="N59" s="88">
        <f>N57+K59+M59</f>
        <v>7008.3735319002244</v>
      </c>
      <c r="O59" s="149">
        <f>ROUND(N57*R59/12,2)</f>
        <v>4.29</v>
      </c>
      <c r="P59" s="88">
        <f>P57+O59</f>
        <v>141.66999999999999</v>
      </c>
      <c r="Q59" s="88">
        <f>N59+P59</f>
        <v>7150.0435319002245</v>
      </c>
      <c r="R59" s="150">
        <f>'Sch. 5'!N33</f>
        <v>5.7000000000000002E-3</v>
      </c>
    </row>
    <row r="60" spans="1:18" x14ac:dyDescent="0.2">
      <c r="A60" s="97"/>
      <c r="B60" s="121"/>
      <c r="C60" s="157"/>
      <c r="D60" s="157"/>
      <c r="E60" s="121"/>
      <c r="F60" s="121"/>
      <c r="G60" s="121"/>
      <c r="H60" s="121"/>
      <c r="I60" s="121"/>
      <c r="J60" s="102"/>
      <c r="K60" s="88"/>
      <c r="L60" s="148"/>
      <c r="M60" s="88"/>
      <c r="N60" s="88"/>
      <c r="O60" s="149"/>
      <c r="P60" s="88"/>
      <c r="Q60" s="88"/>
      <c r="R60" s="152"/>
    </row>
    <row r="61" spans="1:18" x14ac:dyDescent="0.2">
      <c r="A61" s="108" t="str">
        <f>'Sch. 5'!A35</f>
        <v>July</v>
      </c>
      <c r="B61" s="121">
        <f>'Sch. 5'!$C$35</f>
        <v>806568</v>
      </c>
      <c r="C61" s="116">
        <v>210082.01597882586</v>
      </c>
      <c r="D61" s="116">
        <v>0</v>
      </c>
      <c r="E61" s="121">
        <f>C61-D61</f>
        <v>210082.01597882586</v>
      </c>
      <c r="F61" s="121">
        <f>0*C61</f>
        <v>0</v>
      </c>
      <c r="G61" s="121">
        <f>E61+F61</f>
        <v>210082.01597882586</v>
      </c>
      <c r="H61" s="121">
        <f>B61-G61</f>
        <v>596485.98402117414</v>
      </c>
      <c r="I61" s="121">
        <f>I59+H61</f>
        <v>1908981.6686331131</v>
      </c>
      <c r="J61" s="102">
        <f>'Sch. 5'!$E$35</f>
        <v>0.137355</v>
      </c>
      <c r="K61" s="88">
        <f>I61*(J63-J61)</f>
        <v>0</v>
      </c>
      <c r="L61" s="148">
        <f>L59</f>
        <v>-7.4939999999999998E-3</v>
      </c>
      <c r="M61" s="88">
        <f>ROUND(L61*E61,2)</f>
        <v>-1574.35</v>
      </c>
      <c r="N61" s="88">
        <f>N59+K61+M61</f>
        <v>5434.023531900224</v>
      </c>
      <c r="O61" s="149">
        <f>ROUND(N59*R61/12,2)</f>
        <v>3.33</v>
      </c>
      <c r="P61" s="88">
        <f>P59+O61</f>
        <v>145</v>
      </c>
      <c r="Q61" s="88">
        <f>N61+P61</f>
        <v>5579.023531900224</v>
      </c>
      <c r="R61" s="150">
        <f>'Sch. 5'!N35</f>
        <v>5.7000000000000002E-3</v>
      </c>
    </row>
    <row r="62" spans="1:18" x14ac:dyDescent="0.2">
      <c r="A62" s="97"/>
      <c r="B62" s="121"/>
      <c r="C62" s="157"/>
      <c r="D62" s="157"/>
      <c r="E62" s="121"/>
      <c r="F62" s="121"/>
      <c r="G62" s="121"/>
      <c r="H62" s="121"/>
      <c r="I62" s="121"/>
      <c r="J62" s="102"/>
      <c r="K62" s="88"/>
      <c r="L62" s="148"/>
      <c r="M62" s="88"/>
      <c r="N62" s="88"/>
      <c r="O62" s="149"/>
      <c r="P62" s="88"/>
      <c r="Q62" s="88"/>
      <c r="R62" s="152"/>
    </row>
    <row r="63" spans="1:18" x14ac:dyDescent="0.2">
      <c r="A63" s="108" t="str">
        <f>'Sch. 5'!A37</f>
        <v>August</v>
      </c>
      <c r="B63" s="121">
        <f>'Sch. 5'!$C$37</f>
        <v>672403</v>
      </c>
      <c r="C63" s="116">
        <v>276967.16700155108</v>
      </c>
      <c r="D63" s="116">
        <v>0</v>
      </c>
      <c r="E63" s="121">
        <f>C63-D63</f>
        <v>276967.16700155108</v>
      </c>
      <c r="F63" s="121">
        <f>0*C63</f>
        <v>0</v>
      </c>
      <c r="G63" s="121">
        <f>E63+F63</f>
        <v>276967.16700155108</v>
      </c>
      <c r="H63" s="121">
        <f>B63-G63</f>
        <v>395435.83299844892</v>
      </c>
      <c r="I63" s="121">
        <f>I61+H63</f>
        <v>2304417.5016315621</v>
      </c>
      <c r="J63" s="102">
        <f>'Sch. 5'!$E$37</f>
        <v>0.137355</v>
      </c>
      <c r="K63" s="88">
        <f>I63*(J65-J63)</f>
        <v>0</v>
      </c>
      <c r="L63" s="148">
        <f>L61</f>
        <v>-7.4939999999999998E-3</v>
      </c>
      <c r="M63" s="88">
        <f>ROUND(L63*E63,2)</f>
        <v>-2075.59</v>
      </c>
      <c r="N63" s="88">
        <f>N61+K63+M63</f>
        <v>3358.4335319002239</v>
      </c>
      <c r="O63" s="149">
        <f>ROUND(N61*R63/12,2)</f>
        <v>2.58</v>
      </c>
      <c r="P63" s="88">
        <f>P61+O63</f>
        <v>147.58000000000001</v>
      </c>
      <c r="Q63" s="88">
        <f>N63+P63</f>
        <v>3506.0135319002238</v>
      </c>
      <c r="R63" s="150">
        <f>'Sch. 5'!N37</f>
        <v>5.7000000000000002E-3</v>
      </c>
    </row>
    <row r="64" spans="1:18" x14ac:dyDescent="0.2">
      <c r="A64" s="97"/>
      <c r="B64" s="153"/>
      <c r="C64" s="157"/>
      <c r="D64" s="157"/>
      <c r="E64" s="153"/>
      <c r="F64" s="153"/>
      <c r="G64" s="153"/>
      <c r="H64" s="153"/>
      <c r="I64" s="121"/>
      <c r="J64" s="102"/>
      <c r="K64" s="154"/>
      <c r="L64" s="148"/>
      <c r="M64" s="154"/>
      <c r="N64" s="88"/>
      <c r="O64" s="155"/>
      <c r="P64" s="88"/>
      <c r="Q64" s="88"/>
      <c r="R64" s="152"/>
    </row>
    <row r="65" spans="1:18" x14ac:dyDescent="0.2">
      <c r="A65" s="108" t="str">
        <f>'Sch. 5'!A39</f>
        <v>September</v>
      </c>
      <c r="B65" s="121">
        <f>'Sch. 5'!$C$39</f>
        <v>830957</v>
      </c>
      <c r="C65" s="116">
        <v>467969.26349965681</v>
      </c>
      <c r="D65" s="116">
        <v>0</v>
      </c>
      <c r="E65" s="121">
        <f>C65-D65</f>
        <v>467969.26349965681</v>
      </c>
      <c r="F65" s="121">
        <f>0*C65</f>
        <v>0</v>
      </c>
      <c r="G65" s="121">
        <f>E65+F65</f>
        <v>467969.26349965681</v>
      </c>
      <c r="H65" s="121">
        <f>B65-G65</f>
        <v>362987.73650034319</v>
      </c>
      <c r="I65" s="121">
        <f>I63+H65</f>
        <v>2667405.2381319054</v>
      </c>
      <c r="J65" s="102">
        <f>'Sch. 5'!$E$39</f>
        <v>0.137355</v>
      </c>
      <c r="K65" s="88">
        <f>I65*(J65-J65)</f>
        <v>0</v>
      </c>
      <c r="L65" s="148">
        <f>L63</f>
        <v>-7.4939999999999998E-3</v>
      </c>
      <c r="M65" s="88">
        <f>ROUND(L65*E65,2)</f>
        <v>-3506.96</v>
      </c>
      <c r="N65" s="88">
        <f>N63+K65+M65</f>
        <v>-148.52646809977614</v>
      </c>
      <c r="O65" s="149">
        <f>ROUND(N63*R65/12,2)</f>
        <v>1.6</v>
      </c>
      <c r="P65" s="88">
        <f>P63+O65</f>
        <v>149.18</v>
      </c>
      <c r="Q65" s="88">
        <f>N65+P65</f>
        <v>0.65353190022386798</v>
      </c>
      <c r="R65" s="150">
        <f>'Sch. 5'!N39</f>
        <v>5.7000000000000002E-3</v>
      </c>
    </row>
    <row r="66" spans="1:18" x14ac:dyDescent="0.2">
      <c r="A66" s="97"/>
      <c r="B66" s="158"/>
      <c r="C66" s="157"/>
      <c r="D66" s="157"/>
      <c r="E66" s="97"/>
      <c r="F66" s="97"/>
      <c r="G66" s="97"/>
      <c r="H66" s="97"/>
      <c r="I66" s="97"/>
      <c r="J66" s="158"/>
      <c r="K66" s="88"/>
      <c r="L66" s="159"/>
      <c r="M66" s="97"/>
      <c r="N66" s="88"/>
      <c r="O66" s="97"/>
      <c r="P66" s="97"/>
      <c r="Q66" s="97"/>
    </row>
    <row r="67" spans="1:18" x14ac:dyDescent="0.2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1:18" x14ac:dyDescent="0.2">
      <c r="A68" s="97"/>
      <c r="B68" s="97"/>
      <c r="C68" s="97"/>
      <c r="D68" s="160"/>
      <c r="E68" s="161"/>
      <c r="F68" s="97"/>
      <c r="G68" s="88"/>
      <c r="H68" s="88"/>
      <c r="I68" s="88"/>
      <c r="J68" s="97"/>
      <c r="K68" s="162"/>
      <c r="L68" s="162"/>
      <c r="M68" s="97"/>
      <c r="N68" s="97"/>
      <c r="O68" s="97"/>
      <c r="P68" s="97"/>
      <c r="Q68" s="97"/>
    </row>
    <row r="69" spans="1:18" x14ac:dyDescent="0.2">
      <c r="A69" s="97"/>
      <c r="B69" s="97"/>
      <c r="C69" s="97"/>
      <c r="D69" s="149"/>
      <c r="E69" s="161"/>
      <c r="F69" s="97"/>
      <c r="G69" s="153"/>
      <c r="H69" s="153"/>
      <c r="I69" s="153"/>
      <c r="J69" s="97"/>
      <c r="K69" s="97"/>
      <c r="L69" s="97"/>
      <c r="M69" s="97"/>
      <c r="N69" s="97"/>
      <c r="O69" s="97"/>
      <c r="P69" s="97"/>
      <c r="Q69" s="97"/>
    </row>
    <row r="70" spans="1:18" x14ac:dyDescent="0.2">
      <c r="A70" s="97"/>
      <c r="B70" s="97"/>
      <c r="C70" s="97"/>
      <c r="D70" s="149"/>
      <c r="E70" s="161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</row>
    <row r="71" spans="1:18" x14ac:dyDescent="0.2">
      <c r="A71" s="97"/>
      <c r="B71" s="97"/>
      <c r="C71" s="97"/>
      <c r="D71" s="149"/>
      <c r="E71" s="161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</row>
    <row r="72" spans="1:18" x14ac:dyDescent="0.2">
      <c r="A72" s="97"/>
      <c r="B72" s="97"/>
      <c r="C72" s="97"/>
      <c r="D72" s="149"/>
      <c r="E72" s="163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</row>
    <row r="73" spans="1:18" x14ac:dyDescent="0.2">
      <c r="A73" s="97"/>
      <c r="B73" s="97"/>
      <c r="C73" s="97"/>
      <c r="D73" s="164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</row>
  </sheetData>
  <mergeCells count="3">
    <mergeCell ref="A6:R6"/>
    <mergeCell ref="A10:R10"/>
    <mergeCell ref="A8:R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5"/>
  <sheetViews>
    <sheetView tabSelected="1" defaultGridColor="0" colorId="22" zoomScale="87" zoomScaleNormal="87" workbookViewId="0">
      <selection activeCell="G21" sqref="G21"/>
    </sheetView>
  </sheetViews>
  <sheetFormatPr defaultColWidth="9.77734375" defaultRowHeight="15" x14ac:dyDescent="0.2"/>
  <cols>
    <col min="1" max="1" width="38.5546875" style="96" customWidth="1"/>
    <col min="2" max="4" width="12.77734375" style="96" customWidth="1"/>
    <col min="5" max="5" width="13.88671875" style="96" customWidth="1"/>
    <col min="6" max="6" width="9.77734375" style="96"/>
    <col min="7" max="7" width="15.77734375" style="96" bestFit="1" customWidth="1"/>
    <col min="8" max="16384" width="9.77734375" style="96"/>
  </cols>
  <sheetData>
    <row r="1" spans="1:5" ht="15.75" x14ac:dyDescent="0.25">
      <c r="A1" s="97"/>
      <c r="B1" s="97"/>
      <c r="C1" s="97"/>
      <c r="D1" s="97"/>
      <c r="E1" s="90" t="str">
        <f>Info!$C$3</f>
        <v xml:space="preserve"> </v>
      </c>
    </row>
    <row r="2" spans="1:5" ht="15.75" x14ac:dyDescent="0.25">
      <c r="A2" s="97"/>
      <c r="B2" s="97"/>
      <c r="C2" s="97"/>
      <c r="D2" s="97"/>
      <c r="E2" s="91">
        <f>Info!$C$1</f>
        <v>44105</v>
      </c>
    </row>
    <row r="3" spans="1:5" ht="15.75" x14ac:dyDescent="0.25">
      <c r="A3" s="92"/>
      <c r="B3" s="97"/>
      <c r="C3" s="97"/>
      <c r="D3" s="97"/>
      <c r="E3" s="165" t="str">
        <f>Info!$C$2</f>
        <v>EB-2020-0206</v>
      </c>
    </row>
    <row r="4" spans="1:5" ht="15.75" x14ac:dyDescent="0.25">
      <c r="A4" s="92"/>
      <c r="B4" s="97"/>
      <c r="C4" s="97"/>
      <c r="D4" s="97"/>
      <c r="E4" s="166" t="s">
        <v>98</v>
      </c>
    </row>
    <row r="5" spans="1:5" ht="15.75" x14ac:dyDescent="0.25">
      <c r="A5" s="92"/>
      <c r="B5" s="97"/>
      <c r="C5" s="97"/>
      <c r="D5" s="97"/>
      <c r="E5" s="93"/>
    </row>
    <row r="6" spans="1:5" ht="15.75" x14ac:dyDescent="0.25">
      <c r="A6" s="167" t="s">
        <v>93</v>
      </c>
      <c r="B6" s="92"/>
      <c r="C6" s="92"/>
      <c r="D6" s="92"/>
      <c r="E6" s="92"/>
    </row>
    <row r="7" spans="1:5" ht="15.75" x14ac:dyDescent="0.25">
      <c r="A7" s="94"/>
      <c r="B7" s="92"/>
      <c r="C7" s="92"/>
      <c r="D7" s="92"/>
      <c r="E7" s="92"/>
    </row>
    <row r="8" spans="1:5" ht="15.75" x14ac:dyDescent="0.25">
      <c r="A8" s="168" t="s">
        <v>88</v>
      </c>
      <c r="B8" s="92"/>
      <c r="C8" s="92"/>
      <c r="D8" s="92"/>
      <c r="E8" s="92"/>
    </row>
    <row r="9" spans="1:5" ht="15.75" x14ac:dyDescent="0.25">
      <c r="A9" s="94"/>
      <c r="B9" s="92"/>
      <c r="C9" s="92"/>
      <c r="D9" s="92"/>
      <c r="E9" s="92"/>
    </row>
    <row r="10" spans="1:5" ht="15.75" x14ac:dyDescent="0.25">
      <c r="A10" s="169" t="s">
        <v>91</v>
      </c>
      <c r="B10" s="92"/>
      <c r="C10" s="92"/>
      <c r="D10" s="92"/>
      <c r="E10" s="92"/>
    </row>
    <row r="11" spans="1:5" ht="15.75" x14ac:dyDescent="0.25">
      <c r="A11" s="168"/>
      <c r="B11" s="97"/>
      <c r="C11" s="97"/>
      <c r="D11" s="97"/>
      <c r="E11" s="97"/>
    </row>
    <row r="12" spans="1:5" ht="15.75" x14ac:dyDescent="0.25">
      <c r="A12" s="168"/>
      <c r="B12" s="146" t="s">
        <v>78</v>
      </c>
      <c r="C12" s="146" t="s">
        <v>78</v>
      </c>
      <c r="D12" s="146"/>
      <c r="E12" s="146"/>
    </row>
    <row r="13" spans="1:5" ht="15.75" x14ac:dyDescent="0.25">
      <c r="A13" s="168"/>
      <c r="B13" s="146" t="s">
        <v>79</v>
      </c>
      <c r="C13" s="146" t="s">
        <v>79</v>
      </c>
      <c r="D13" s="146"/>
      <c r="E13" s="146"/>
    </row>
    <row r="14" spans="1:5" ht="15.75" x14ac:dyDescent="0.25">
      <c r="A14" s="170"/>
      <c r="B14" s="171">
        <v>43831</v>
      </c>
      <c r="C14" s="171">
        <v>44105</v>
      </c>
      <c r="D14" s="146" t="s">
        <v>80</v>
      </c>
      <c r="E14" s="146" t="s">
        <v>81</v>
      </c>
    </row>
    <row r="15" spans="1:5" ht="15.75" x14ac:dyDescent="0.25">
      <c r="A15" s="170"/>
      <c r="B15" s="172" t="s">
        <v>119</v>
      </c>
      <c r="C15" s="173" t="str">
        <f>E3</f>
        <v>EB-2020-0206</v>
      </c>
      <c r="D15" s="173" t="s">
        <v>82</v>
      </c>
      <c r="E15" s="173" t="s">
        <v>82</v>
      </c>
    </row>
    <row r="16" spans="1:5" ht="15.75" x14ac:dyDescent="0.25">
      <c r="A16" s="170"/>
      <c r="B16" s="97"/>
      <c r="C16" s="97"/>
      <c r="D16" s="97"/>
      <c r="E16" s="97"/>
    </row>
    <row r="17" spans="1:19" x14ac:dyDescent="0.2">
      <c r="A17" s="97" t="s">
        <v>83</v>
      </c>
      <c r="B17" s="174">
        <f>'Sch. 5'!$M$17+'Sch. 5'!$M$19+'Sch. 5'!$M$21</f>
        <v>636.80077826258946</v>
      </c>
      <c r="C17" s="111">
        <f>B17</f>
        <v>636.80077826258946</v>
      </c>
      <c r="D17" s="97"/>
      <c r="E17" s="97"/>
    </row>
    <row r="18" spans="1:19" x14ac:dyDescent="0.2">
      <c r="A18" s="97"/>
      <c r="B18" s="97"/>
      <c r="C18" s="97"/>
      <c r="D18" s="97"/>
      <c r="E18" s="97"/>
    </row>
    <row r="19" spans="1:19" x14ac:dyDescent="0.2">
      <c r="A19" s="97" t="s">
        <v>84</v>
      </c>
      <c r="B19" s="144">
        <f>3*B48</f>
        <v>79.14</v>
      </c>
      <c r="C19" s="144">
        <f>3*C48</f>
        <v>79.14</v>
      </c>
      <c r="D19" s="144">
        <f>C19-B19</f>
        <v>0</v>
      </c>
      <c r="E19" s="175">
        <f>C19/B19-1</f>
        <v>0</v>
      </c>
    </row>
    <row r="20" spans="1:19" x14ac:dyDescent="0.2">
      <c r="A20" s="97" t="s">
        <v>85</v>
      </c>
      <c r="B20" s="144">
        <f>(SUM('Residential Consumption Profile'!$K$6:$M$6)*B50)+(SUM('Residential Consumption Profile'!$K$7:$M$7)*B51)+(SUM('Residential Consumption Profile'!$K$8:$M$8)*B52)</f>
        <v>171.38455549258899</v>
      </c>
      <c r="C20" s="144">
        <f>(SUM('Residential Consumption Profile'!$K$6:$M$6)*C50)+(SUM('Residential Consumption Profile'!$K$7:$M$7)*C51)+(SUM('Residential Consumption Profile'!$K$8:$M$8)*C52)</f>
        <v>171.38455549258899</v>
      </c>
      <c r="D20" s="144">
        <f>C20-B20</f>
        <v>0</v>
      </c>
      <c r="E20" s="175">
        <f>C20/B20-1</f>
        <v>0</v>
      </c>
    </row>
    <row r="21" spans="1:19" x14ac:dyDescent="0.2">
      <c r="A21" s="97" t="s">
        <v>115</v>
      </c>
      <c r="B21" s="144">
        <f>SUM(B54:B55)*SUM('Residential Consumption Profile'!$K$5:$M$5)</f>
        <v>26.568602070671755</v>
      </c>
      <c r="C21" s="144">
        <f>SUM(C54:C55)*SUM('Residential Consumption Profile'!$K$5:$M$5)</f>
        <v>26.568602070671755</v>
      </c>
      <c r="D21" s="144">
        <f>C21-B21</f>
        <v>0</v>
      </c>
      <c r="E21" s="175">
        <f>C21/B21-1</f>
        <v>0</v>
      </c>
    </row>
    <row r="22" spans="1:19" x14ac:dyDescent="0.2">
      <c r="A22" s="97"/>
      <c r="B22" s="144"/>
      <c r="C22" s="144"/>
      <c r="D22" s="144"/>
      <c r="E22" s="175"/>
    </row>
    <row r="23" spans="1:19" x14ac:dyDescent="0.2">
      <c r="A23" s="97" t="s">
        <v>86</v>
      </c>
      <c r="B23" s="176">
        <f>B17*B57</f>
        <v>73.304684788919715</v>
      </c>
      <c r="C23" s="176">
        <f>C17*(C57)</f>
        <v>82.695585865958137</v>
      </c>
      <c r="D23" s="176">
        <f>C23-B23</f>
        <v>9.3909010770384214</v>
      </c>
      <c r="E23" s="177">
        <f>C23/B23-1</f>
        <v>0.12810778880066742</v>
      </c>
    </row>
    <row r="24" spans="1:19" x14ac:dyDescent="0.2">
      <c r="A24" s="97"/>
      <c r="B24" s="144"/>
      <c r="C24" s="144"/>
      <c r="D24" s="144"/>
      <c r="E24" s="175"/>
    </row>
    <row r="25" spans="1:19" x14ac:dyDescent="0.2">
      <c r="A25" s="97" t="s">
        <v>87</v>
      </c>
      <c r="B25" s="144">
        <f>SUM(B19:B23)</f>
        <v>350.39784235218048</v>
      </c>
      <c r="C25" s="144">
        <f>SUM(C19:C23)</f>
        <v>359.78874342921893</v>
      </c>
      <c r="D25" s="144">
        <f>SUM(D19:D23)</f>
        <v>9.3909010770384214</v>
      </c>
      <c r="E25" s="175">
        <f>C25/B25-1</f>
        <v>2.6800681802143567E-2</v>
      </c>
    </row>
    <row r="26" spans="1:19" x14ac:dyDescent="0.2">
      <c r="A26" s="97"/>
      <c r="B26" s="108"/>
      <c r="C26" s="108"/>
      <c r="D26" s="108"/>
      <c r="E26" s="178"/>
    </row>
    <row r="27" spans="1:19" x14ac:dyDescent="0.2">
      <c r="A27" s="97"/>
      <c r="B27" s="97"/>
      <c r="C27" s="97"/>
      <c r="D27" s="97"/>
      <c r="E27" s="97"/>
    </row>
    <row r="28" spans="1:19" ht="15.75" x14ac:dyDescent="0.25">
      <c r="A28" s="179" t="s">
        <v>89</v>
      </c>
      <c r="B28" s="92"/>
      <c r="C28" s="92"/>
      <c r="D28" s="92"/>
      <c r="E28" s="92"/>
    </row>
    <row r="29" spans="1:19" ht="15.75" x14ac:dyDescent="0.25">
      <c r="A29" s="170"/>
      <c r="B29" s="97"/>
      <c r="C29" s="97"/>
      <c r="D29" s="97"/>
      <c r="E29" s="97"/>
    </row>
    <row r="30" spans="1:19" ht="15.75" x14ac:dyDescent="0.25">
      <c r="A30" s="170"/>
      <c r="B30" s="171">
        <f>B14</f>
        <v>43831</v>
      </c>
      <c r="C30" s="171">
        <f>C14</f>
        <v>44105</v>
      </c>
      <c r="D30" s="146" t="s">
        <v>80</v>
      </c>
      <c r="E30" s="146" t="s">
        <v>81</v>
      </c>
    </row>
    <row r="31" spans="1:19" ht="15.75" x14ac:dyDescent="0.25">
      <c r="A31" s="170"/>
      <c r="B31" s="172" t="str">
        <f>B15</f>
        <v>EB-2019-0264</v>
      </c>
      <c r="C31" s="173" t="str">
        <f>+C15</f>
        <v>EB-2020-0206</v>
      </c>
      <c r="D31" s="173" t="s">
        <v>82</v>
      </c>
      <c r="E31" s="173" t="s">
        <v>82</v>
      </c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  <row r="32" spans="1:19" ht="15.75" x14ac:dyDescent="0.25">
      <c r="A32" s="170"/>
      <c r="B32" s="97"/>
      <c r="C32" s="97"/>
      <c r="D32" s="97"/>
      <c r="E32" s="97"/>
    </row>
    <row r="33" spans="1:5" x14ac:dyDescent="0.2">
      <c r="A33" s="97" t="s">
        <v>90</v>
      </c>
      <c r="B33" s="181">
        <f>'Sch. 5'!$M$41</f>
        <v>2148.9999999999991</v>
      </c>
      <c r="C33" s="120">
        <f>B33</f>
        <v>2148.9999999999991</v>
      </c>
      <c r="D33" s="97"/>
      <c r="E33" s="97"/>
    </row>
    <row r="34" spans="1:5" x14ac:dyDescent="0.2">
      <c r="A34" s="97"/>
      <c r="B34" s="97"/>
      <c r="C34" s="97"/>
      <c r="D34" s="97"/>
      <c r="E34" s="97"/>
    </row>
    <row r="35" spans="1:5" x14ac:dyDescent="0.2">
      <c r="A35" s="97" t="s">
        <v>84</v>
      </c>
      <c r="B35" s="144">
        <f>B48*12</f>
        <v>316.56</v>
      </c>
      <c r="C35" s="144">
        <f>12*C48</f>
        <v>316.56</v>
      </c>
      <c r="D35" s="144">
        <f>C35-B35</f>
        <v>0</v>
      </c>
      <c r="E35" s="175">
        <f>C35/B35-1</f>
        <v>0</v>
      </c>
    </row>
    <row r="36" spans="1:5" x14ac:dyDescent="0.2">
      <c r="A36" s="97" t="s">
        <v>85</v>
      </c>
      <c r="B36" s="144">
        <f>(SUM('Residential Consumption Profile'!$B$6:$M$6)*B50)+(SUM('Residential Consumption Profile'!$B$7:$M$7)*B51)+(SUM('Residential Consumption Profile'!$B$8:$M$8)*B52)</f>
        <v>578.77645532685642</v>
      </c>
      <c r="C36" s="144">
        <f>(SUM('Residential Consumption Profile'!$B$6:$M$6)*C50)+(SUM('Residential Consumption Profile'!$B$7:$M$7)*C51)+(SUM('Residential Consumption Profile'!$B$8:$M$8)*C52)</f>
        <v>578.77645532685642</v>
      </c>
      <c r="D36" s="144">
        <f>C36-B36</f>
        <v>0</v>
      </c>
      <c r="E36" s="175">
        <f>C36/B36-1</f>
        <v>0</v>
      </c>
    </row>
    <row r="37" spans="1:5" x14ac:dyDescent="0.2">
      <c r="A37" s="97" t="s">
        <v>115</v>
      </c>
      <c r="B37" s="144">
        <f>SUM(B54:B55)*SUM('Residential Consumption Profile'!$B$5:$M$5)</f>
        <v>89.660577999999958</v>
      </c>
      <c r="C37" s="144">
        <f>SUM(C54:C55)*SUM('Residential Consumption Profile'!$B$5:$M$5)</f>
        <v>89.660577999999958</v>
      </c>
      <c r="D37" s="144">
        <f>C37-B37</f>
        <v>0</v>
      </c>
      <c r="E37" s="175">
        <f>C37/B37-1</f>
        <v>0</v>
      </c>
    </row>
    <row r="38" spans="1:5" x14ac:dyDescent="0.2">
      <c r="A38" s="97"/>
      <c r="B38" s="144"/>
      <c r="C38" s="144"/>
      <c r="D38" s="144"/>
      <c r="E38" s="175"/>
    </row>
    <row r="39" spans="1:5" x14ac:dyDescent="0.2">
      <c r="A39" s="97" t="s">
        <v>86</v>
      </c>
      <c r="B39" s="176">
        <f>B33*(B57)</f>
        <v>247.37998599999989</v>
      </c>
      <c r="C39" s="176">
        <f>C33*(C57)</f>
        <v>279.07128899999987</v>
      </c>
      <c r="D39" s="176">
        <f>C39-B39</f>
        <v>31.691302999999976</v>
      </c>
      <c r="E39" s="177">
        <f>C39/B39-1</f>
        <v>0.1281077888006672</v>
      </c>
    </row>
    <row r="40" spans="1:5" x14ac:dyDescent="0.2">
      <c r="A40" s="97"/>
      <c r="B40" s="144"/>
      <c r="C40" s="144"/>
      <c r="D40" s="144"/>
      <c r="E40" s="175"/>
    </row>
    <row r="41" spans="1:5" x14ac:dyDescent="0.2">
      <c r="A41" s="97" t="s">
        <v>87</v>
      </c>
      <c r="B41" s="144">
        <f>SUM(B35:B39)</f>
        <v>1232.3770193268563</v>
      </c>
      <c r="C41" s="144">
        <f>SUM(C35:C39)</f>
        <v>1264.0683223268561</v>
      </c>
      <c r="D41" s="144">
        <f>SUM(D35:D39)</f>
        <v>31.691302999999976</v>
      </c>
      <c r="E41" s="175">
        <f>C41/B41-1</f>
        <v>2.5715590686127943E-2</v>
      </c>
    </row>
    <row r="42" spans="1:5" x14ac:dyDescent="0.2">
      <c r="A42" s="97"/>
      <c r="B42" s="144"/>
      <c r="C42" s="144"/>
      <c r="D42" s="144"/>
      <c r="E42" s="175"/>
    </row>
    <row r="43" spans="1:5" x14ac:dyDescent="0.2">
      <c r="A43" s="97"/>
      <c r="B43" s="144"/>
      <c r="C43" s="144"/>
      <c r="D43" s="144"/>
      <c r="E43" s="175"/>
    </row>
    <row r="44" spans="1:5" ht="15.75" x14ac:dyDescent="0.25">
      <c r="A44" s="141" t="s">
        <v>96</v>
      </c>
      <c r="B44" s="182"/>
      <c r="C44" s="182"/>
      <c r="D44" s="182"/>
      <c r="E44" s="182"/>
    </row>
    <row r="45" spans="1:5" x14ac:dyDescent="0.2">
      <c r="A45" s="97"/>
      <c r="B45" s="89"/>
      <c r="C45" s="89"/>
      <c r="D45" s="89"/>
      <c r="E45" s="175"/>
    </row>
    <row r="46" spans="1:5" x14ac:dyDescent="0.2">
      <c r="A46" s="97"/>
      <c r="B46" s="183">
        <f>+B14</f>
        <v>43831</v>
      </c>
      <c r="C46" s="183">
        <v>44105</v>
      </c>
      <c r="D46" s="183"/>
      <c r="E46" s="97"/>
    </row>
    <row r="47" spans="1:5" x14ac:dyDescent="0.2">
      <c r="A47" s="97"/>
      <c r="B47" s="173" t="str">
        <f>+B15</f>
        <v>EB-2019-0264</v>
      </c>
      <c r="C47" s="173" t="str">
        <f>Info!$C$2</f>
        <v>EB-2020-0206</v>
      </c>
      <c r="D47" s="173"/>
      <c r="E47" s="97"/>
    </row>
    <row r="48" spans="1:5" x14ac:dyDescent="0.2">
      <c r="A48" s="97" t="s">
        <v>95</v>
      </c>
      <c r="B48" s="81">
        <v>26.38</v>
      </c>
      <c r="C48" s="81">
        <v>26.38</v>
      </c>
      <c r="E48" s="97"/>
    </row>
    <row r="49" spans="1:19" x14ac:dyDescent="0.2">
      <c r="A49" s="97"/>
      <c r="B49" s="81"/>
      <c r="C49" s="81"/>
      <c r="E49" s="97"/>
      <c r="S49" s="97"/>
    </row>
    <row r="50" spans="1:19" x14ac:dyDescent="0.2">
      <c r="A50" s="97" t="s">
        <v>110</v>
      </c>
      <c r="B50" s="82">
        <v>0.27196700000000001</v>
      </c>
      <c r="C50" s="82">
        <v>0.27196700000000001</v>
      </c>
      <c r="D50" s="113"/>
      <c r="S50" s="97"/>
    </row>
    <row r="51" spans="1:19" x14ac:dyDescent="0.2">
      <c r="A51" s="97" t="s">
        <v>111</v>
      </c>
      <c r="B51" s="82">
        <v>0.26661000000000001</v>
      </c>
      <c r="C51" s="82">
        <v>0.26661000000000001</v>
      </c>
      <c r="E51" s="113"/>
    </row>
    <row r="52" spans="1:19" x14ac:dyDescent="0.2">
      <c r="A52" s="97" t="s">
        <v>112</v>
      </c>
      <c r="B52" s="82">
        <v>0.25873499999999999</v>
      </c>
      <c r="C52" s="82">
        <v>0.25873499999999999</v>
      </c>
      <c r="E52" s="113"/>
    </row>
    <row r="53" spans="1:19" x14ac:dyDescent="0.2">
      <c r="A53" s="97"/>
      <c r="B53" s="82"/>
      <c r="C53" s="82"/>
      <c r="E53" s="113"/>
    </row>
    <row r="54" spans="1:19" x14ac:dyDescent="0.2">
      <c r="A54" s="97" t="s">
        <v>113</v>
      </c>
      <c r="B54" s="82">
        <v>1.474E-2</v>
      </c>
      <c r="C54" s="82">
        <f>0.01474</f>
        <v>1.474E-2</v>
      </c>
      <c r="D54" s="97"/>
      <c r="E54" s="113"/>
    </row>
    <row r="55" spans="1:19" x14ac:dyDescent="0.2">
      <c r="A55" s="97" t="s">
        <v>114</v>
      </c>
      <c r="B55" s="82">
        <v>2.6981999999999999E-2</v>
      </c>
      <c r="C55" s="82">
        <v>2.6981999999999999E-2</v>
      </c>
      <c r="E55" s="113"/>
    </row>
    <row r="56" spans="1:19" x14ac:dyDescent="0.2">
      <c r="A56" s="97"/>
      <c r="B56" s="82"/>
      <c r="C56" s="82"/>
      <c r="E56" s="113"/>
    </row>
    <row r="57" spans="1:19" x14ac:dyDescent="0.2">
      <c r="A57" s="97" t="s">
        <v>117</v>
      </c>
      <c r="B57" s="82">
        <v>0.11511399999999999</v>
      </c>
      <c r="C57" s="82">
        <f>'Sch. 5'!$E$17+'Sch. 8'!$L$43</f>
        <v>0.129861</v>
      </c>
      <c r="E57" s="184"/>
    </row>
    <row r="58" spans="1:19" ht="15.75" x14ac:dyDescent="0.25">
      <c r="A58" s="97"/>
      <c r="B58" s="97"/>
      <c r="C58" s="185"/>
      <c r="K58" s="186"/>
      <c r="L58" s="97"/>
    </row>
    <row r="59" spans="1:19" x14ac:dyDescent="0.2">
      <c r="A59" s="113" t="s">
        <v>99</v>
      </c>
      <c r="K59" s="187"/>
    </row>
    <row r="60" spans="1:19" x14ac:dyDescent="0.2">
      <c r="A60" s="97"/>
    </row>
    <row r="61" spans="1:19" x14ac:dyDescent="0.2">
      <c r="A61" s="113"/>
    </row>
    <row r="62" spans="1:19" x14ac:dyDescent="0.2">
      <c r="A62" s="113"/>
    </row>
    <row r="63" spans="1:19" x14ac:dyDescent="0.2">
      <c r="A63" s="113"/>
    </row>
    <row r="64" spans="1:19" x14ac:dyDescent="0.2">
      <c r="A64" s="113"/>
    </row>
    <row r="65" spans="5:5" x14ac:dyDescent="0.2">
      <c r="E65" s="97"/>
    </row>
  </sheetData>
  <mergeCells count="1">
    <mergeCell ref="A44:E44"/>
  </mergeCells>
  <phoneticPr fontId="4" type="noConversion"/>
  <printOptions horizontalCentered="1"/>
  <pageMargins left="0.70866141732283461" right="0.70866141732283461" top="0.74803149606299213" bottom="0.74803149606299213" header="0.31496062992125984" footer="0.31496062992125984"/>
  <pageSetup scale="55" orientation="landscape" r:id="rId1"/>
  <headerFooter alignWithMargins="0"/>
  <rowBreaks count="1" manualBreakCount="1">
    <brk id="4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1613a2eda69fa326d68ff2bacecbdff6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4ff0f9cc990d266ad5f33c71d4b04240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6YNFE3WTN53P-1194385166-267</_dlc_DocId>
    <_dlc_DocIdUrl xmlns="2bc3004b-9ad1-483e-becf-bfd5ad8c6084">
      <Url>http://epcorweb/en-ca/departments/natgas/sites/ON/SB/_layouts/15/DocIdRedir.aspx?ID=6YNFE3WTN53P-1194385166-267</Url>
      <Description>6YNFE3WTN53P-1194385166-267</Description>
    </_dlc_DocIdUrl>
  </documentManagement>
</p:properties>
</file>

<file path=customXml/itemProps1.xml><?xml version="1.0" encoding="utf-8"?>
<ds:datastoreItem xmlns:ds="http://schemas.openxmlformats.org/officeDocument/2006/customXml" ds:itemID="{FC2A768A-9D11-4A04-8EB0-533B64E95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B809E-292D-49C8-97AD-C127AD75231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5C4DEA-5065-4ED4-A9FC-D0A1360D3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A42D42-417F-45D6-8F6A-5669B994691A}">
  <ds:schemaRefs>
    <ds:schemaRef ds:uri="http://schemas.microsoft.com/office/2006/metadata/properties"/>
    <ds:schemaRef ds:uri="http://schemas.microsoft.com/office/infopath/2007/PartnerControls"/>
    <ds:schemaRef ds:uri="2bc3004b-9ad1-483e-becf-bfd5ad8c60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Info</vt:lpstr>
      <vt:lpstr>Sch. 2</vt:lpstr>
      <vt:lpstr>Sch. 3</vt:lpstr>
      <vt:lpstr>Sch. 4</vt:lpstr>
      <vt:lpstr>Sch. 5</vt:lpstr>
      <vt:lpstr>Sch. 6</vt:lpstr>
      <vt:lpstr>Sch. 7</vt:lpstr>
      <vt:lpstr>Sch. 8</vt:lpstr>
      <vt:lpstr>Sch. 9</vt:lpstr>
      <vt:lpstr>Residential Consumption Profile</vt:lpstr>
      <vt:lpstr>'Sch. 2'!Print_Area</vt:lpstr>
      <vt:lpstr>'Sch. 5'!Print_Area</vt:lpstr>
      <vt:lpstr>'Sch. 8'!Print_Area</vt:lpstr>
      <vt:lpstr>'Sch.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Hesselink, Tim</cp:lastModifiedBy>
  <cp:lastPrinted>2020-09-23T12:59:32Z</cp:lastPrinted>
  <dcterms:created xsi:type="dcterms:W3CDTF">2006-05-13T22:49:09Z</dcterms:created>
  <dcterms:modified xsi:type="dcterms:W3CDTF">2020-09-23T13:00:29Z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3f973238-b122-4647-913b-a6103a72e356</vt:lpwstr>
  </property>
  <property fmtid="{D5CDD505-2E9C-101B-9397-08002B2CF9AE}" pid="3" name="ContentTypeId">
    <vt:lpwstr>0x010100931E9A510F33B3469141D21BCEB194FE</vt:lpwstr>
  </property>
</Properties>
</file>