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IRs\Backup\Gabe - In Progress\1-Staff-1 - Updated Models\"/>
    </mc:Choice>
  </mc:AlternateContent>
  <bookViews>
    <workbookView xWindow="780" yWindow="780" windowWidth="26985" windowHeight="1524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Inputs'!$B$1:$N$123</definedName>
  </definedNames>
  <calcPr calcId="162913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4" l="1"/>
  <c r="I9" i="4"/>
  <c r="J10" i="4"/>
  <c r="I10" i="4"/>
  <c r="H247" i="1" l="1"/>
  <c r="H246" i="1"/>
  <c r="H248" i="1" s="1"/>
  <c r="I113" i="1" l="1"/>
  <c r="H119" i="1"/>
  <c r="H121" i="1" s="1"/>
  <c r="G121" i="1"/>
  <c r="G118" i="4"/>
  <c r="G29" i="4"/>
  <c r="H37" i="4"/>
  <c r="G36" i="4"/>
  <c r="J54" i="1" l="1"/>
  <c r="I54" i="1"/>
  <c r="H130" i="1" l="1"/>
  <c r="J129" i="1"/>
  <c r="I129" i="1"/>
  <c r="H129" i="1" l="1"/>
  <c r="G52" i="1"/>
  <c r="I16" i="4" l="1"/>
  <c r="J16" i="4" s="1"/>
  <c r="I15" i="4" l="1"/>
  <c r="J15" i="4"/>
  <c r="J14" i="4" l="1"/>
  <c r="I14" i="4"/>
  <c r="H14" i="4" l="1"/>
  <c r="G129" i="1"/>
  <c r="G14" i="4" l="1"/>
  <c r="G97" i="1"/>
  <c r="K122" i="4"/>
  <c r="L122" i="4"/>
  <c r="M122" i="4"/>
  <c r="I113" i="4" l="1"/>
  <c r="J113" i="4"/>
  <c r="K113" i="4"/>
  <c r="L113" i="4"/>
  <c r="M113" i="4"/>
  <c r="H113" i="4"/>
  <c r="H114" i="4" s="1"/>
  <c r="I111" i="4"/>
  <c r="J111" i="4"/>
  <c r="K111" i="4"/>
  <c r="L111" i="4"/>
  <c r="M111" i="4"/>
  <c r="H111" i="4"/>
  <c r="I110" i="4"/>
  <c r="J110" i="4"/>
  <c r="K110" i="4"/>
  <c r="L110" i="4"/>
  <c r="M110" i="4"/>
  <c r="H110" i="4"/>
  <c r="I107" i="4"/>
  <c r="J107" i="4"/>
  <c r="K107" i="4"/>
  <c r="L107" i="4"/>
  <c r="M107" i="4"/>
  <c r="H107" i="4"/>
  <c r="I106" i="4"/>
  <c r="J106" i="4"/>
  <c r="K106" i="4"/>
  <c r="L106" i="4"/>
  <c r="M106" i="4"/>
  <c r="H106" i="4"/>
  <c r="I105" i="4"/>
  <c r="J105" i="4"/>
  <c r="K105" i="4"/>
  <c r="L105" i="4"/>
  <c r="M105" i="4"/>
  <c r="H105" i="4"/>
  <c r="I104" i="4"/>
  <c r="J104" i="4"/>
  <c r="K104" i="4"/>
  <c r="L104" i="4"/>
  <c r="M104" i="4"/>
  <c r="H104" i="4"/>
  <c r="I103" i="4"/>
  <c r="J103" i="4"/>
  <c r="K103" i="4"/>
  <c r="L103" i="4"/>
  <c r="M103" i="4"/>
  <c r="H103" i="4"/>
  <c r="I102" i="4"/>
  <c r="J102" i="4"/>
  <c r="K102" i="4"/>
  <c r="L102" i="4"/>
  <c r="M102" i="4"/>
  <c r="H102" i="4"/>
  <c r="I101" i="4"/>
  <c r="J101" i="4"/>
  <c r="K101" i="4"/>
  <c r="L101" i="4"/>
  <c r="M101" i="4"/>
  <c r="H101" i="4"/>
  <c r="I100" i="4"/>
  <c r="J100" i="4"/>
  <c r="K100" i="4"/>
  <c r="L100" i="4"/>
  <c r="M100" i="4"/>
  <c r="H100" i="4"/>
  <c r="I99" i="4"/>
  <c r="J99" i="4"/>
  <c r="K99" i="4"/>
  <c r="L99" i="4"/>
  <c r="M99" i="4"/>
  <c r="H99" i="4"/>
  <c r="I98" i="4"/>
  <c r="J98" i="4"/>
  <c r="K98" i="4"/>
  <c r="L98" i="4"/>
  <c r="M98" i="4"/>
  <c r="H98" i="4"/>
  <c r="I97" i="4"/>
  <c r="J97" i="4"/>
  <c r="K97" i="4"/>
  <c r="L97" i="4"/>
  <c r="M97" i="4"/>
  <c r="H97" i="4"/>
  <c r="I96" i="4"/>
  <c r="J96" i="4"/>
  <c r="K96" i="4"/>
  <c r="L96" i="4"/>
  <c r="M96" i="4"/>
  <c r="H96" i="4"/>
  <c r="I95" i="4"/>
  <c r="J95" i="4"/>
  <c r="K95" i="4"/>
  <c r="L95" i="4"/>
  <c r="M95" i="4"/>
  <c r="H95" i="4"/>
  <c r="I94" i="4"/>
  <c r="J94" i="4"/>
  <c r="K94" i="4"/>
  <c r="L94" i="4"/>
  <c r="M94" i="4"/>
  <c r="H94" i="4"/>
  <c r="I93" i="4"/>
  <c r="J93" i="4"/>
  <c r="K93" i="4"/>
  <c r="L93" i="4"/>
  <c r="M93" i="4"/>
  <c r="H93" i="4"/>
  <c r="I92" i="4"/>
  <c r="J92" i="4"/>
  <c r="K92" i="4"/>
  <c r="L92" i="4"/>
  <c r="M92" i="4"/>
  <c r="H92" i="4"/>
  <c r="I90" i="4"/>
  <c r="J90" i="4"/>
  <c r="K90" i="4"/>
  <c r="L90" i="4"/>
  <c r="M90" i="4"/>
  <c r="H90" i="4"/>
  <c r="I89" i="4"/>
  <c r="J89" i="4"/>
  <c r="K89" i="4"/>
  <c r="L89" i="4"/>
  <c r="M89" i="4"/>
  <c r="H89" i="4"/>
  <c r="I88" i="4"/>
  <c r="J88" i="4"/>
  <c r="K88" i="4"/>
  <c r="L88" i="4"/>
  <c r="M88" i="4"/>
  <c r="H88" i="4"/>
  <c r="I87" i="4"/>
  <c r="J87" i="4"/>
  <c r="K87" i="4"/>
  <c r="L87" i="4"/>
  <c r="M87" i="4"/>
  <c r="H87" i="4"/>
  <c r="I84" i="4"/>
  <c r="J84" i="4"/>
  <c r="K84" i="4"/>
  <c r="L84" i="4"/>
  <c r="M84" i="4"/>
  <c r="H84" i="4"/>
  <c r="I83" i="4"/>
  <c r="J83" i="4"/>
  <c r="K83" i="4"/>
  <c r="L83" i="4"/>
  <c r="M83" i="4"/>
  <c r="H83" i="4"/>
  <c r="I82" i="4"/>
  <c r="J82" i="4"/>
  <c r="K82" i="4"/>
  <c r="L82" i="4"/>
  <c r="M82" i="4"/>
  <c r="H82" i="4"/>
  <c r="I81" i="4"/>
  <c r="J81" i="4"/>
  <c r="K81" i="4"/>
  <c r="L81" i="4"/>
  <c r="M81" i="4"/>
  <c r="H81" i="4"/>
  <c r="I80" i="4" l="1"/>
  <c r="J80" i="4"/>
  <c r="K80" i="4"/>
  <c r="L80" i="4"/>
  <c r="M80" i="4"/>
  <c r="H80" i="4"/>
  <c r="I79" i="4"/>
  <c r="J79" i="4"/>
  <c r="K79" i="4"/>
  <c r="L79" i="4"/>
  <c r="M79" i="4"/>
  <c r="H79" i="4"/>
  <c r="I77" i="4"/>
  <c r="J77" i="4"/>
  <c r="K77" i="4"/>
  <c r="L77" i="4"/>
  <c r="M77" i="4"/>
  <c r="H77" i="4"/>
  <c r="I76" i="4"/>
  <c r="J76" i="4"/>
  <c r="K76" i="4"/>
  <c r="L76" i="4"/>
  <c r="M76" i="4"/>
  <c r="H76" i="4"/>
  <c r="I75" i="4"/>
  <c r="J75" i="4"/>
  <c r="K75" i="4"/>
  <c r="L75" i="4"/>
  <c r="M75" i="4"/>
  <c r="H75" i="4"/>
  <c r="I74" i="4"/>
  <c r="J74" i="4"/>
  <c r="K74" i="4"/>
  <c r="L74" i="4"/>
  <c r="M74" i="4"/>
  <c r="H74" i="4"/>
  <c r="I73" i="4"/>
  <c r="J73" i="4"/>
  <c r="K73" i="4"/>
  <c r="L73" i="4"/>
  <c r="M73" i="4"/>
  <c r="H73" i="4"/>
  <c r="I72" i="4"/>
  <c r="J72" i="4"/>
  <c r="K72" i="4"/>
  <c r="L72" i="4"/>
  <c r="M72" i="4"/>
  <c r="H72" i="4"/>
  <c r="I71" i="4"/>
  <c r="J71" i="4"/>
  <c r="K71" i="4"/>
  <c r="L71" i="4"/>
  <c r="M71" i="4"/>
  <c r="H71" i="4"/>
  <c r="I70" i="4"/>
  <c r="J70" i="4"/>
  <c r="K70" i="4"/>
  <c r="L70" i="4"/>
  <c r="M70" i="4"/>
  <c r="H70" i="4"/>
  <c r="I69" i="4"/>
  <c r="J69" i="4"/>
  <c r="K69" i="4"/>
  <c r="L69" i="4"/>
  <c r="M69" i="4"/>
  <c r="H69" i="4"/>
  <c r="I68" i="4"/>
  <c r="J68" i="4"/>
  <c r="K68" i="4"/>
  <c r="L68" i="4"/>
  <c r="M68" i="4"/>
  <c r="H68" i="4"/>
  <c r="I67" i="4"/>
  <c r="J67" i="4"/>
  <c r="K67" i="4"/>
  <c r="L67" i="4"/>
  <c r="M67" i="4"/>
  <c r="H67" i="4"/>
  <c r="I66" i="4"/>
  <c r="J66" i="4"/>
  <c r="K66" i="4"/>
  <c r="L66" i="4"/>
  <c r="M66" i="4"/>
  <c r="H66" i="4"/>
  <c r="I65" i="4"/>
  <c r="J65" i="4"/>
  <c r="K65" i="4"/>
  <c r="L65" i="4"/>
  <c r="M65" i="4"/>
  <c r="H65" i="4"/>
  <c r="I63" i="4"/>
  <c r="J63" i="4"/>
  <c r="K63" i="4"/>
  <c r="L63" i="4"/>
  <c r="M63" i="4"/>
  <c r="H63" i="4"/>
  <c r="I62" i="4"/>
  <c r="J62" i="4"/>
  <c r="K62" i="4"/>
  <c r="L62" i="4"/>
  <c r="M62" i="4"/>
  <c r="H62" i="4"/>
  <c r="I61" i="4"/>
  <c r="J61" i="4"/>
  <c r="K61" i="4"/>
  <c r="L61" i="4"/>
  <c r="M61" i="4"/>
  <c r="H61" i="4"/>
  <c r="I60" i="4"/>
  <c r="J60" i="4"/>
  <c r="K60" i="4"/>
  <c r="L60" i="4"/>
  <c r="M60" i="4"/>
  <c r="H60" i="4"/>
  <c r="I59" i="4"/>
  <c r="J59" i="4"/>
  <c r="K59" i="4"/>
  <c r="L59" i="4"/>
  <c r="M59" i="4"/>
  <c r="H59" i="4"/>
  <c r="I58" i="4"/>
  <c r="J58" i="4"/>
  <c r="K58" i="4"/>
  <c r="L58" i="4"/>
  <c r="M58" i="4"/>
  <c r="H58" i="4"/>
  <c r="I57" i="4"/>
  <c r="J57" i="4"/>
  <c r="K57" i="4"/>
  <c r="L57" i="4"/>
  <c r="M57" i="4"/>
  <c r="H57" i="4"/>
  <c r="I56" i="4"/>
  <c r="J56" i="4"/>
  <c r="K56" i="4"/>
  <c r="L56" i="4"/>
  <c r="M56" i="4"/>
  <c r="H56" i="4"/>
  <c r="I55" i="4"/>
  <c r="J55" i="4"/>
  <c r="K55" i="4"/>
  <c r="L55" i="4"/>
  <c r="M55" i="4"/>
  <c r="H55" i="4"/>
  <c r="I54" i="4"/>
  <c r="J54" i="4"/>
  <c r="K54" i="4"/>
  <c r="L54" i="4"/>
  <c r="M54" i="4"/>
  <c r="H54" i="4"/>
  <c r="I53" i="4"/>
  <c r="J53" i="4"/>
  <c r="K53" i="4"/>
  <c r="L53" i="4"/>
  <c r="M53" i="4"/>
  <c r="H53" i="4"/>
  <c r="I52" i="4"/>
  <c r="J52" i="4"/>
  <c r="K52" i="4"/>
  <c r="L52" i="4"/>
  <c r="M52" i="4"/>
  <c r="H52" i="4"/>
  <c r="I51" i="4"/>
  <c r="J51" i="4"/>
  <c r="K51" i="4"/>
  <c r="L51" i="4"/>
  <c r="M51" i="4"/>
  <c r="H51" i="4"/>
  <c r="I50" i="4"/>
  <c r="J50" i="4"/>
  <c r="K50" i="4"/>
  <c r="L50" i="4"/>
  <c r="M50" i="4"/>
  <c r="H50" i="4"/>
  <c r="I49" i="4"/>
  <c r="J49" i="4"/>
  <c r="K49" i="4"/>
  <c r="L49" i="4"/>
  <c r="M49" i="4"/>
  <c r="H49" i="4"/>
  <c r="I48" i="4"/>
  <c r="J48" i="4"/>
  <c r="K48" i="4"/>
  <c r="L48" i="4"/>
  <c r="M48" i="4"/>
  <c r="H48" i="4"/>
  <c r="I47" i="4"/>
  <c r="J47" i="4"/>
  <c r="K47" i="4"/>
  <c r="L47" i="4"/>
  <c r="M47" i="4"/>
  <c r="H47" i="4"/>
  <c r="I46" i="4"/>
  <c r="J46" i="4"/>
  <c r="K46" i="4"/>
  <c r="L46" i="4"/>
  <c r="M46" i="4"/>
  <c r="H46" i="4"/>
  <c r="I45" i="4"/>
  <c r="J45" i="4"/>
  <c r="K45" i="4"/>
  <c r="L45" i="4"/>
  <c r="M45" i="4"/>
  <c r="H45" i="4"/>
  <c r="I44" i="4"/>
  <c r="J44" i="4"/>
  <c r="K44" i="4"/>
  <c r="L44" i="4"/>
  <c r="M44" i="4"/>
  <c r="H44" i="4"/>
  <c r="K75" i="1"/>
  <c r="H86" i="1"/>
  <c r="I86" i="1"/>
  <c r="J86" i="1"/>
  <c r="K86" i="1"/>
  <c r="L86" i="1"/>
  <c r="M86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H84" i="1"/>
  <c r="I84" i="1"/>
  <c r="J84" i="1"/>
  <c r="K84" i="1"/>
  <c r="L84" i="1"/>
  <c r="M84" i="1"/>
  <c r="M52" i="1"/>
  <c r="K52" i="1"/>
  <c r="H52" i="1"/>
  <c r="I52" i="1"/>
  <c r="J52" i="1"/>
  <c r="L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H78" i="1"/>
  <c r="I78" i="1"/>
  <c r="J78" i="1"/>
  <c r="K78" i="1"/>
  <c r="L78" i="1"/>
  <c r="M78" i="1"/>
  <c r="H75" i="1"/>
  <c r="I75" i="1"/>
  <c r="J75" i="1"/>
  <c r="L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H87" i="1" l="1"/>
  <c r="M75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H36" i="4"/>
  <c r="I87" i="1"/>
  <c r="I36" i="4" s="1"/>
  <c r="J87" i="1"/>
  <c r="J36" i="4" s="1"/>
  <c r="K87" i="1"/>
  <c r="K36" i="4" s="1"/>
  <c r="L87" i="1"/>
  <c r="L36" i="4" s="1"/>
  <c r="M87" i="1"/>
  <c r="M36" i="4" s="1"/>
  <c r="G86" i="1"/>
  <c r="G85" i="1"/>
  <c r="G84" i="1"/>
  <c r="G87" i="1" l="1"/>
  <c r="H30" i="1"/>
  <c r="H81" i="1" s="1"/>
  <c r="I30" i="1"/>
  <c r="I81" i="1" s="1"/>
  <c r="J30" i="1"/>
  <c r="J81" i="1" s="1"/>
  <c r="K30" i="1"/>
  <c r="K81" i="1" s="1"/>
  <c r="L30" i="1"/>
  <c r="L81" i="1" s="1"/>
  <c r="M30" i="1"/>
  <c r="M81" i="1" s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F136" i="1" l="1"/>
  <c r="F139" i="1"/>
  <c r="F135" i="1"/>
  <c r="F134" i="1"/>
  <c r="I6" i="4"/>
  <c r="J6" i="4" s="1"/>
  <c r="K6" i="4" s="1"/>
  <c r="L6" i="4" s="1"/>
  <c r="M6" i="4" s="1"/>
  <c r="H6" i="4"/>
  <c r="F6" i="5"/>
  <c r="G6" i="5" s="1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C3" i="4"/>
  <c r="E3" i="1" l="1"/>
  <c r="G135" i="1" l="1"/>
  <c r="G136" i="1"/>
  <c r="G131" i="1"/>
  <c r="G89" i="1"/>
  <c r="G74" i="1"/>
  <c r="G53" i="1"/>
  <c r="G68" i="1"/>
  <c r="G67" i="1"/>
  <c r="G43" i="1"/>
  <c r="G27" i="1"/>
  <c r="G72" i="1"/>
  <c r="G56" i="1"/>
  <c r="G24" i="1"/>
  <c r="G29" i="1"/>
  <c r="G79" i="1"/>
  <c r="G80" i="1" s="1"/>
  <c r="G71" i="1"/>
  <c r="G39" i="1"/>
  <c r="G44" i="1" s="1"/>
  <c r="G77" i="1"/>
  <c r="G78" i="1" s="1"/>
  <c r="G28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16" i="1"/>
  <c r="G112" i="1"/>
  <c r="G99" i="1"/>
  <c r="G93" i="1"/>
  <c r="G242" i="1"/>
  <c r="G234" i="1"/>
  <c r="G226" i="1"/>
  <c r="G214" i="1"/>
  <c r="G206" i="1"/>
  <c r="G193" i="1"/>
  <c r="G185" i="1"/>
  <c r="G174" i="1"/>
  <c r="G166" i="1"/>
  <c r="G154" i="1"/>
  <c r="G139" i="1"/>
  <c r="G114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0" i="1"/>
  <c r="G119" i="1"/>
  <c r="G115" i="1"/>
  <c r="G111" i="1"/>
  <c r="G98" i="1"/>
  <c r="G92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57" i="1" l="1"/>
  <c r="G75" i="1"/>
  <c r="G30" i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J115" i="4" l="1"/>
  <c r="I115" i="4"/>
  <c r="G81" i="1"/>
  <c r="G115" i="4" s="1"/>
  <c r="H115" i="4"/>
  <c r="M115" i="4"/>
  <c r="L115" i="4"/>
  <c r="K115" i="4"/>
  <c r="G49" i="4"/>
  <c r="G17" i="4" l="1"/>
  <c r="I17" i="4" s="1"/>
  <c r="J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M110" i="1" s="1"/>
  <c r="G21" i="4"/>
  <c r="H21" i="4" s="1"/>
  <c r="I21" i="4" s="1"/>
  <c r="J21" i="4" s="1"/>
  <c r="G20" i="4"/>
  <c r="H20" i="4" s="1"/>
  <c r="I20" i="4" s="1"/>
  <c r="J20" i="4" s="1"/>
  <c r="G121" i="4"/>
  <c r="G45" i="4"/>
  <c r="G46" i="4"/>
  <c r="G47" i="4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G15" i="4"/>
  <c r="M98" i="1" s="1"/>
  <c r="M130" i="1" s="1"/>
  <c r="G16" i="4"/>
  <c r="G13" i="4"/>
  <c r="M96" i="1" s="1"/>
  <c r="G10" i="4"/>
  <c r="G9" i="4"/>
  <c r="M92" i="1" s="1"/>
  <c r="M114" i="1" s="1"/>
  <c r="L222" i="1"/>
  <c r="F10" i="5"/>
  <c r="M128" i="1" l="1"/>
  <c r="M153" i="1"/>
  <c r="M99" i="1"/>
  <c r="M142" i="1"/>
  <c r="H135" i="1"/>
  <c r="I145" i="1"/>
  <c r="H98" i="1"/>
  <c r="H93" i="1"/>
  <c r="H115" i="1" s="1"/>
  <c r="H134" i="1"/>
  <c r="H136" i="1" s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221" i="1" l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M136" i="1" l="1"/>
  <c r="M112" i="1"/>
  <c r="M116" i="1" s="1"/>
  <c r="K145" i="1"/>
  <c r="I139" i="1"/>
  <c r="J96" i="1"/>
  <c r="J98" i="1"/>
  <c r="J110" i="1"/>
  <c r="J113" i="1" s="1"/>
  <c r="J92" i="1"/>
  <c r="J114" i="1" s="1"/>
  <c r="J99" i="1"/>
  <c r="J142" i="1"/>
  <c r="J93" i="1"/>
  <c r="J115" i="1" s="1"/>
  <c r="H117" i="1"/>
  <c r="H152" i="1"/>
  <c r="H206" i="1" s="1"/>
  <c r="H131" i="1"/>
  <c r="H153" i="1"/>
  <c r="H207" i="1" s="1"/>
  <c r="H128" i="1"/>
  <c r="H157" i="1" s="1"/>
  <c r="H221" i="1" s="1"/>
  <c r="I130" i="1"/>
  <c r="H143" i="1"/>
  <c r="H139" i="1"/>
  <c r="H116" i="1"/>
  <c r="I131" i="1" l="1"/>
  <c r="K29" i="4"/>
  <c r="M113" i="1"/>
  <c r="M139" i="1" s="1"/>
  <c r="L145" i="1"/>
  <c r="K96" i="1"/>
  <c r="K99" i="1"/>
  <c r="K142" i="1"/>
  <c r="K92" i="1"/>
  <c r="K114" i="1" s="1"/>
  <c r="K98" i="1"/>
  <c r="K93" i="1"/>
  <c r="K115" i="1" s="1"/>
  <c r="K110" i="1"/>
  <c r="I116" i="1"/>
  <c r="H214" i="1"/>
  <c r="H210" i="1"/>
  <c r="J130" i="1"/>
  <c r="I153" i="1"/>
  <c r="I207" i="1" s="1"/>
  <c r="I128" i="1"/>
  <c r="I157" i="1" s="1"/>
  <c r="I221" i="1" s="1"/>
  <c r="J139" i="1"/>
  <c r="H156" i="1"/>
  <c r="H220" i="1" s="1"/>
  <c r="I143" i="1"/>
  <c r="H154" i="1"/>
  <c r="H208" i="1" s="1"/>
  <c r="H215" i="1" s="1"/>
  <c r="H211" i="1"/>
  <c r="I136" i="1"/>
  <c r="I137" i="1" s="1"/>
  <c r="M29" i="4" l="1"/>
  <c r="M31" i="4" s="1"/>
  <c r="M89" i="1" s="1"/>
  <c r="M107" i="1" s="1"/>
  <c r="L29" i="4"/>
  <c r="I117" i="1"/>
  <c r="I118" i="1" s="1"/>
  <c r="J117" i="1" s="1"/>
  <c r="L110" i="1"/>
  <c r="L113" i="1" s="1"/>
  <c r="L98" i="1"/>
  <c r="L93" i="1"/>
  <c r="L115" i="1" s="1"/>
  <c r="L92" i="1"/>
  <c r="L114" i="1" s="1"/>
  <c r="L96" i="1"/>
  <c r="L142" i="1"/>
  <c r="L99" i="1"/>
  <c r="K130" i="1"/>
  <c r="K113" i="1"/>
  <c r="K139" i="1" s="1"/>
  <c r="H212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I211" i="1"/>
  <c r="J136" i="1"/>
  <c r="J137" i="1" s="1"/>
  <c r="H217" i="1"/>
  <c r="L139" i="1" l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J211" i="1"/>
  <c r="I212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K154" i="1"/>
  <c r="K208" i="1" s="1"/>
  <c r="L131" i="1"/>
  <c r="K156" i="1"/>
  <c r="K220" i="1" s="1"/>
  <c r="L143" i="1"/>
  <c r="K118" i="1"/>
  <c r="L211" i="1"/>
  <c r="K211" i="1"/>
  <c r="K247" i="1"/>
  <c r="K152" i="1"/>
  <c r="K206" i="1" s="1"/>
  <c r="J215" i="1"/>
  <c r="J214" i="1"/>
  <c r="J210" i="1"/>
  <c r="J212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7" i="1"/>
  <c r="K212" i="1"/>
  <c r="L152" i="1"/>
  <c r="L206" i="1" s="1"/>
  <c r="K119" i="1"/>
  <c r="K121" i="1" s="1"/>
  <c r="L117" i="1"/>
  <c r="L118" i="1" s="1"/>
  <c r="K215" i="1"/>
  <c r="K214" i="1"/>
  <c r="K210" i="1"/>
  <c r="L212" i="1" l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2" i="1"/>
  <c r="M217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M215" i="1"/>
  <c r="M210" i="1"/>
  <c r="M214" i="1"/>
  <c r="H231" i="1"/>
  <c r="I167" i="1"/>
  <c r="J167" i="1" s="1"/>
  <c r="K167" i="1" s="1"/>
  <c r="I171" i="1"/>
  <c r="H235" i="1"/>
  <c r="H243" i="1"/>
  <c r="I179" i="1"/>
  <c r="H226" i="1"/>
  <c r="I162" i="1"/>
  <c r="I166" i="1"/>
  <c r="H227" i="1"/>
  <c r="I163" i="1"/>
  <c r="I174" i="1"/>
  <c r="H238" i="1"/>
  <c r="I242" i="1"/>
  <c r="J178" i="1"/>
  <c r="H236" i="1"/>
  <c r="I172" i="1"/>
  <c r="I175" i="1"/>
  <c r="J170" i="1"/>
  <c r="H241" i="1"/>
  <c r="I177" i="1"/>
  <c r="I176" i="1"/>
  <c r="H232" i="1"/>
  <c r="I168" i="1"/>
  <c r="H242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J176" i="1"/>
  <c r="K170" i="1"/>
  <c r="J172" i="1"/>
  <c r="I236" i="1"/>
  <c r="J166" i="1"/>
  <c r="J179" i="1"/>
  <c r="I243" i="1"/>
  <c r="I228" i="1"/>
  <c r="J164" i="1"/>
  <c r="J174" i="1"/>
  <c r="I238" i="1"/>
  <c r="I241" i="1"/>
  <c r="J177" i="1"/>
  <c r="J175" i="1"/>
  <c r="J163" i="1"/>
  <c r="I227" i="1"/>
  <c r="I235" i="1"/>
  <c r="J171" i="1"/>
  <c r="L231" i="1" l="1"/>
  <c r="M167" i="1"/>
  <c r="J238" i="1"/>
  <c r="K174" i="1"/>
  <c r="K164" i="1"/>
  <c r="J228" i="1"/>
  <c r="L170" i="1"/>
  <c r="K169" i="1"/>
  <c r="J233" i="1"/>
  <c r="K171" i="1"/>
  <c r="J235" i="1"/>
  <c r="K163" i="1"/>
  <c r="J227" i="1"/>
  <c r="K175" i="1"/>
  <c r="K176" i="1"/>
  <c r="L173" i="1"/>
  <c r="K162" i="1"/>
  <c r="J226" i="1"/>
  <c r="K179" i="1"/>
  <c r="J243" i="1"/>
  <c r="J236" i="1"/>
  <c r="K172" i="1"/>
  <c r="K177" i="1"/>
  <c r="J241" i="1"/>
  <c r="K166" i="1"/>
  <c r="K168" i="1"/>
  <c r="J232" i="1"/>
  <c r="L178" i="1"/>
  <c r="K242" i="1"/>
  <c r="J229" i="1"/>
  <c r="K165" i="1"/>
  <c r="M231" i="1" l="1"/>
  <c r="M173" i="1"/>
  <c r="M170" i="1"/>
  <c r="L242" i="1"/>
  <c r="M178" i="1"/>
  <c r="K236" i="1"/>
  <c r="L172" i="1"/>
  <c r="L166" i="1"/>
  <c r="L162" i="1"/>
  <c r="K226" i="1"/>
  <c r="L176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5" i="1"/>
  <c r="L171" i="1"/>
  <c r="M242" i="1" l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M176" i="1"/>
  <c r="L228" i="1"/>
  <c r="M164" i="1"/>
  <c r="L238" i="1"/>
  <c r="M174" i="1"/>
  <c r="M175" i="1"/>
  <c r="L232" i="1"/>
  <c r="M168" i="1"/>
  <c r="M166" i="1"/>
  <c r="M232" i="1" l="1"/>
  <c r="M233" i="1"/>
  <c r="M227" i="1"/>
  <c r="M243" i="1"/>
  <c r="M226" i="1"/>
  <c r="M228" i="1"/>
  <c r="M236" i="1"/>
  <c r="M241" i="1"/>
  <c r="M229" i="1"/>
  <c r="M235" i="1"/>
  <c r="M238" i="1"/>
  <c r="K37" i="4" l="1"/>
  <c r="K27" i="4" s="1"/>
  <c r="L37" i="4"/>
  <c r="L27" i="4" s="1"/>
  <c r="G88" i="1"/>
  <c r="M37" i="4"/>
  <c r="M27" i="4" s="1"/>
  <c r="G122" i="4" l="1"/>
  <c r="G31" i="4" s="1"/>
  <c r="H97" i="1"/>
  <c r="H155" i="1" s="1"/>
  <c r="H209" i="1" s="1"/>
  <c r="G37" i="4" l="1"/>
  <c r="G27" i="4" s="1"/>
  <c r="H122" i="4"/>
  <c r="I88" i="1"/>
  <c r="H27" i="4"/>
  <c r="H218" i="1"/>
  <c r="H239" i="1" s="1"/>
  <c r="H216" i="1"/>
  <c r="H237" i="1" s="1"/>
  <c r="H230" i="1"/>
  <c r="H219" i="1"/>
  <c r="H240" i="1" s="1"/>
  <c r="H213" i="1"/>
  <c r="H234" i="1" s="1"/>
  <c r="H31" i="4" l="1"/>
  <c r="H29" i="4"/>
  <c r="H257" i="1"/>
  <c r="G12" i="5" s="1"/>
  <c r="I122" i="4"/>
  <c r="I29" i="4" s="1"/>
  <c r="I31" i="4" s="1"/>
  <c r="I89" i="1" s="1"/>
  <c r="I107" i="1" s="1"/>
  <c r="I121" i="1" s="1"/>
  <c r="J88" i="1"/>
  <c r="I37" i="4"/>
  <c r="I27" i="4" s="1"/>
  <c r="H89" i="1" l="1"/>
  <c r="H107" i="1" s="1"/>
  <c r="J122" i="4"/>
  <c r="J29" i="4" s="1"/>
  <c r="J31" i="4" s="1"/>
  <c r="J89" i="1" s="1"/>
  <c r="J107" i="1" s="1"/>
  <c r="J121" i="1" s="1"/>
  <c r="J256" i="1" s="1"/>
  <c r="J37" i="4"/>
  <c r="J27" i="4" s="1"/>
  <c r="H10" i="5"/>
  <c r="I256" i="1"/>
  <c r="H256" i="1" l="1"/>
  <c r="G10" i="5"/>
  <c r="G16" i="5" s="1"/>
  <c r="G22" i="5" s="1"/>
  <c r="K97" i="1"/>
  <c r="I97" i="1"/>
  <c r="I155" i="1" s="1"/>
  <c r="I209" i="1" s="1"/>
  <c r="J97" i="1"/>
  <c r="G14" i="5" l="1"/>
  <c r="H261" i="1"/>
  <c r="H258" i="1"/>
  <c r="H259" i="1" s="1"/>
  <c r="K155" i="1"/>
  <c r="K209" i="1" s="1"/>
  <c r="I219" i="1"/>
  <c r="I240" i="1" s="1"/>
  <c r="I218" i="1"/>
  <c r="I239" i="1" s="1"/>
  <c r="I216" i="1"/>
  <c r="I237" i="1" s="1"/>
  <c r="I213" i="1"/>
  <c r="I234" i="1" s="1"/>
  <c r="I230" i="1"/>
  <c r="J155" i="1"/>
  <c r="J209" i="1" s="1"/>
  <c r="I245" i="1" l="1"/>
  <c r="I246" i="1" s="1"/>
  <c r="I248" i="1" s="1"/>
  <c r="I257" i="1" s="1"/>
  <c r="I261" i="1" s="1"/>
  <c r="J218" i="1"/>
  <c r="J239" i="1" s="1"/>
  <c r="J219" i="1"/>
  <c r="J240" i="1" s="1"/>
  <c r="J213" i="1"/>
  <c r="J234" i="1" s="1"/>
  <c r="J230" i="1"/>
  <c r="J216" i="1"/>
  <c r="J237" i="1" s="1"/>
  <c r="K219" i="1"/>
  <c r="K240" i="1" s="1"/>
  <c r="K213" i="1"/>
  <c r="K234" i="1" s="1"/>
  <c r="K216" i="1"/>
  <c r="K237" i="1" s="1"/>
  <c r="K230" i="1"/>
  <c r="K218" i="1"/>
  <c r="K239" i="1" s="1"/>
  <c r="H12" i="5" l="1"/>
  <c r="H14" i="5" s="1"/>
  <c r="I258" i="1"/>
  <c r="I259" i="1" s="1"/>
  <c r="J245" i="1"/>
  <c r="J246" i="1" s="1"/>
  <c r="J248" i="1" s="1"/>
  <c r="J257" i="1" s="1"/>
  <c r="K245" i="1"/>
  <c r="K246" i="1" s="1"/>
  <c r="K248" i="1" s="1"/>
  <c r="K257" i="1" s="1"/>
  <c r="H16" i="5" l="1"/>
  <c r="H22" i="5" s="1"/>
  <c r="I12" i="5"/>
  <c r="J258" i="1"/>
  <c r="J259" i="1" s="1"/>
  <c r="J261" i="1"/>
  <c r="K258" i="1"/>
  <c r="K259" i="1" s="1"/>
  <c r="K261" i="1"/>
  <c r="J12" i="5"/>
  <c r="H18" i="5" l="1"/>
  <c r="H24" i="5" s="1"/>
  <c r="J10" i="5"/>
  <c r="J14" i="5" s="1"/>
  <c r="J16" i="5" s="1"/>
  <c r="I10" i="5"/>
  <c r="I14" i="5" s="1"/>
  <c r="I16" i="5" s="1"/>
  <c r="J18" i="5" l="1"/>
  <c r="J24" i="5" s="1"/>
  <c r="J22" i="5"/>
  <c r="I22" i="5"/>
  <c r="I18" i="5"/>
  <c r="I24" i="5" s="1"/>
  <c r="M97" i="1"/>
  <c r="M155" i="1" s="1"/>
  <c r="M209" i="1" s="1"/>
  <c r="L97" i="1"/>
  <c r="L155" i="1" s="1"/>
  <c r="L209" i="1" s="1"/>
  <c r="L219" i="1" l="1"/>
  <c r="L240" i="1" s="1"/>
  <c r="L216" i="1"/>
  <c r="L237" i="1" s="1"/>
  <c r="L218" i="1"/>
  <c r="L239" i="1" s="1"/>
  <c r="L230" i="1"/>
  <c r="L213" i="1"/>
  <c r="L234" i="1" s="1"/>
  <c r="M219" i="1"/>
  <c r="M240" i="1" s="1"/>
  <c r="M216" i="1"/>
  <c r="M237" i="1" s="1"/>
  <c r="M230" i="1"/>
  <c r="M218" i="1"/>
  <c r="M239" i="1" s="1"/>
  <c r="M213" i="1"/>
  <c r="M234" i="1" s="1"/>
  <c r="M245" i="1" l="1"/>
  <c r="M246" i="1" s="1"/>
  <c r="M248" i="1" s="1"/>
  <c r="M257" i="1" s="1"/>
  <c r="L245" i="1"/>
  <c r="L246" i="1" s="1"/>
  <c r="L248" i="1" s="1"/>
  <c r="L257" i="1" s="1"/>
  <c r="L261" i="1" s="1"/>
  <c r="M261" i="1" l="1"/>
  <c r="L12" i="5"/>
  <c r="M258" i="1"/>
  <c r="M259" i="1" s="1"/>
  <c r="K12" i="5"/>
  <c r="K10" i="5" s="1"/>
  <c r="K14" i="5" s="1"/>
  <c r="K16" i="5" s="1"/>
  <c r="L258" i="1"/>
  <c r="L259" i="1" s="1"/>
  <c r="L10" i="5" l="1"/>
  <c r="L14" i="5" s="1"/>
  <c r="L16" i="5" s="1"/>
  <c r="K22" i="5"/>
  <c r="K18" i="5"/>
  <c r="K24" i="5" s="1"/>
  <c r="L22" i="5" l="1"/>
  <c r="L18" i="5"/>
  <c r="L24" i="5" s="1"/>
</calcChain>
</file>

<file path=xl/sharedStrings.xml><?xml version="1.0" encoding="utf-8"?>
<sst xmlns="http://schemas.openxmlformats.org/spreadsheetml/2006/main" count="518" uniqueCount="274">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</sst>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0.0000%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_-* #,##0_-;\-* #,##0_-;_-* &quot;-&quot;??_-;_-@_-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4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4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6" fontId="0" fillId="0" borderId="0" xfId="1" applyNumberFormat="1" applyFont="1"/>
    <xf numFmtId="166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4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4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9" fontId="0" fillId="0" borderId="0" xfId="2" applyNumberFormat="1" applyFont="1" applyFill="1"/>
    <xf numFmtId="164" fontId="0" fillId="0" borderId="0" xfId="1" applyFont="1" applyFill="1"/>
    <xf numFmtId="164" fontId="0" fillId="2" borderId="0" xfId="0" applyNumberFormat="1" applyFill="1"/>
    <xf numFmtId="0" fontId="0" fillId="0" borderId="0" xfId="0" applyFont="1" applyFill="1"/>
    <xf numFmtId="170" fontId="0" fillId="0" borderId="0" xfId="0" applyNumberFormat="1" applyFill="1"/>
    <xf numFmtId="167" fontId="0" fillId="0" borderId="0" xfId="0" applyNumberFormat="1" applyFill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66" fontId="0" fillId="0" borderId="0" xfId="0" applyNumberFormat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6" fontId="7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0" xfId="0" applyFill="1" applyBorder="1" applyAlignment="1"/>
    <xf numFmtId="166" fontId="0" fillId="0" borderId="0" xfId="0" applyNumberFormat="1" applyFill="1" applyBorder="1"/>
    <xf numFmtId="166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6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4" fontId="0" fillId="0" borderId="0" xfId="1" applyFont="1" applyFill="1" applyAlignment="1">
      <alignment horizontal="center"/>
    </xf>
    <xf numFmtId="166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6" fontId="0" fillId="0" borderId="0" xfId="1" applyNumberFormat="1" applyFont="1" applyFill="1" applyAlignment="1">
      <alignment horizontal="center"/>
    </xf>
    <xf numFmtId="166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8" fontId="0" fillId="0" borderId="0" xfId="0" applyNumberFormat="1" applyFill="1"/>
    <xf numFmtId="172" fontId="0" fillId="0" borderId="0" xfId="0" applyNumberFormat="1" applyFill="1"/>
    <xf numFmtId="10" fontId="0" fillId="0" borderId="0" xfId="0" applyNumberFormat="1" applyFill="1" applyAlignment="1"/>
    <xf numFmtId="166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4" fontId="0" fillId="4" borderId="0" xfId="1" applyFont="1" applyFill="1" applyAlignment="1">
      <alignment horizontal="center"/>
    </xf>
    <xf numFmtId="164" fontId="0" fillId="4" borderId="0" xfId="1" applyFont="1" applyFill="1"/>
    <xf numFmtId="164" fontId="0" fillId="4" borderId="0" xfId="0" applyNumberFormat="1" applyFill="1"/>
    <xf numFmtId="0" fontId="10" fillId="4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66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5" fontId="0" fillId="4" borderId="0" xfId="0" applyNumberFormat="1" applyFill="1"/>
    <xf numFmtId="166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6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6" fontId="0" fillId="0" borderId="16" xfId="1" applyNumberFormat="1" applyFont="1" applyBorder="1" applyAlignment="1">
      <alignment horizontal="center"/>
    </xf>
    <xf numFmtId="166" fontId="0" fillId="0" borderId="16" xfId="1" applyNumberFormat="1" applyFont="1" applyFill="1" applyBorder="1" applyAlignment="1">
      <alignment horizontal="center"/>
    </xf>
    <xf numFmtId="166" fontId="0" fillId="0" borderId="16" xfId="0" applyNumberFormat="1" applyFill="1" applyBorder="1"/>
    <xf numFmtId="173" fontId="0" fillId="0" borderId="0" xfId="2" applyNumberFormat="1" applyFont="1" applyBorder="1"/>
    <xf numFmtId="173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6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6" fontId="0" fillId="2" borderId="7" xfId="1" applyNumberFormat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166" fontId="0" fillId="2" borderId="10" xfId="1" applyNumberFormat="1" applyFont="1" applyFill="1" applyBorder="1"/>
    <xf numFmtId="166" fontId="0" fillId="2" borderId="11" xfId="1" applyNumberFormat="1" applyFont="1" applyFill="1" applyBorder="1"/>
    <xf numFmtId="166" fontId="0" fillId="2" borderId="12" xfId="1" applyNumberFormat="1" applyFont="1" applyFill="1" applyBorder="1"/>
    <xf numFmtId="166" fontId="0" fillId="2" borderId="15" xfId="1" applyNumberFormat="1" applyFont="1" applyFill="1" applyBorder="1"/>
    <xf numFmtId="166" fontId="0" fillId="2" borderId="16" xfId="1" applyNumberFormat="1" applyFont="1" applyFill="1" applyBorder="1"/>
    <xf numFmtId="166" fontId="0" fillId="2" borderId="17" xfId="1" applyNumberFormat="1" applyFont="1" applyFill="1" applyBorder="1"/>
    <xf numFmtId="168" fontId="0" fillId="2" borderId="7" xfId="0" applyNumberFormat="1" applyFill="1" applyBorder="1"/>
    <xf numFmtId="168" fontId="0" fillId="2" borderId="8" xfId="0" applyNumberFormat="1" applyFill="1" applyBorder="1"/>
    <xf numFmtId="168" fontId="0" fillId="2" borderId="9" xfId="0" applyNumberForma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0" fillId="2" borderId="9" xfId="1" applyFont="1" applyFill="1" applyBorder="1"/>
    <xf numFmtId="0" fontId="0" fillId="4" borderId="0" xfId="0" applyFill="1" applyBorder="1" applyAlignment="1"/>
    <xf numFmtId="173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4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6" fontId="0" fillId="6" borderId="0" xfId="1" applyNumberFormat="1" applyFon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6" fontId="0" fillId="6" borderId="0" xfId="1" applyNumberFormat="1" applyFont="1" applyFill="1" applyAlignment="1">
      <alignment horizontal="center"/>
    </xf>
    <xf numFmtId="166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9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0" fontId="0" fillId="6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2" fontId="0" fillId="6" borderId="0" xfId="0" applyNumberForma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6" fontId="0" fillId="0" borderId="0" xfId="1" applyNumberFormat="1" applyFont="1" applyFill="1" applyAlignment="1">
      <alignment horizontal="center" wrapText="1"/>
    </xf>
    <xf numFmtId="166" fontId="0" fillId="0" borderId="0" xfId="1" applyNumberFormat="1" applyFont="1" applyAlignment="1">
      <alignment horizontal="center"/>
    </xf>
    <xf numFmtId="166" fontId="12" fillId="0" borderId="0" xfId="1" applyNumberFormat="1" applyFont="1" applyFill="1" applyAlignment="1">
      <alignment horizontal="left"/>
    </xf>
    <xf numFmtId="166" fontId="11" fillId="0" borderId="0" xfId="1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73" fontId="0" fillId="2" borderId="6" xfId="2" applyNumberFormat="1" applyFont="1" applyFill="1" applyBorder="1"/>
    <xf numFmtId="174" fontId="0" fillId="0" borderId="0" xfId="1" applyNumberFormat="1" applyFont="1"/>
    <xf numFmtId="166" fontId="17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tabSelected="1" zoomScale="90" zoomScaleNormal="90" workbookViewId="0">
      <selection activeCell="J9" sqref="J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19" style="11" customWidth="1"/>
    <col min="15" max="15" width="24.28515625" style="89" customWidth="1"/>
  </cols>
  <sheetData>
    <row r="2" spans="2:15" ht="23.25" x14ac:dyDescent="0.35">
      <c r="C2" s="237" t="s">
        <v>190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2:15" ht="19.5" customHeight="1" x14ac:dyDescent="0.25">
      <c r="C3" s="238" t="str">
        <f>IF(F5="Click to Choose an LDC","",F5)</f>
        <v>Waterloo North Hydro Inc.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2:15" s="89" customFormat="1" ht="19.5" customHeight="1" thickBot="1" x14ac:dyDescent="0.3">
      <c r="B4" s="2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27"/>
    </row>
    <row r="5" spans="2:15" ht="25.5" customHeight="1" thickBot="1" x14ac:dyDescent="0.25">
      <c r="B5" s="122" t="s">
        <v>188</v>
      </c>
      <c r="E5" s="75"/>
      <c r="F5" s="123" t="s">
        <v>259</v>
      </c>
      <c r="G5" s="13" t="s">
        <v>175</v>
      </c>
      <c r="H5" s="231" t="s">
        <v>175</v>
      </c>
      <c r="I5" s="231" t="s">
        <v>176</v>
      </c>
      <c r="J5" s="231" t="s">
        <v>174</v>
      </c>
      <c r="K5" s="240" t="s">
        <v>177</v>
      </c>
      <c r="L5" s="240"/>
      <c r="M5" s="240"/>
      <c r="N5" s="81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2018</v>
      </c>
      <c r="H6" s="13">
        <f>G6+1</f>
        <v>2019</v>
      </c>
      <c r="I6" s="199">
        <f t="shared" ref="I6:M6" si="0">H6+1</f>
        <v>2020</v>
      </c>
      <c r="J6" s="199">
        <f t="shared" si="0"/>
        <v>2021</v>
      </c>
      <c r="K6" s="199">
        <f t="shared" si="0"/>
        <v>2022</v>
      </c>
      <c r="L6" s="199">
        <f t="shared" si="0"/>
        <v>2023</v>
      </c>
      <c r="M6" s="199">
        <f t="shared" si="0"/>
        <v>2024</v>
      </c>
      <c r="N6" s="128"/>
      <c r="O6" s="2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39"/>
      <c r="I8" s="239"/>
      <c r="J8" s="239"/>
      <c r="K8" s="239"/>
      <c r="L8" s="239"/>
      <c r="M8" s="239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19537430</v>
      </c>
      <c r="H9" s="115">
        <v>19651071</v>
      </c>
      <c r="I9" s="235">
        <f>20420974-1053674</f>
        <v>19367300</v>
      </c>
      <c r="J9" s="235">
        <f>19901370-1116490</f>
        <v>18784880</v>
      </c>
      <c r="K9" s="115"/>
      <c r="L9" s="115"/>
      <c r="M9" s="115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736383</v>
      </c>
      <c r="H10" s="115">
        <v>184374</v>
      </c>
      <c r="I10" s="235">
        <f>255786+797888</f>
        <v>1053674</v>
      </c>
      <c r="J10" s="235">
        <f>141129+975361</f>
        <v>1116490</v>
      </c>
      <c r="K10" s="115"/>
      <c r="L10" s="115"/>
      <c r="M10" s="115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0"/>
      <c r="I12" s="160"/>
      <c r="J12" s="160"/>
      <c r="K12" s="160"/>
      <c r="L12" s="160"/>
      <c r="M12" s="160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57472</v>
      </c>
      <c r="H13" s="115">
        <v>57856</v>
      </c>
      <c r="I13" s="235">
        <v>58273</v>
      </c>
      <c r="J13" s="235">
        <v>58693</v>
      </c>
      <c r="K13" s="115"/>
      <c r="L13" s="115"/>
      <c r="M13" s="115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Calculations'!G129</f>
        <v>1461137926</v>
      </c>
      <c r="H14" s="115">
        <f>'Benchmarking Calculations'!H129</f>
        <v>1431774008</v>
      </c>
      <c r="I14" s="235">
        <f>'Benchmarking Calculations'!I129</f>
        <v>1433417594</v>
      </c>
      <c r="J14" s="235">
        <f>'Benchmarking Calculations'!J129</f>
        <v>1434005015</v>
      </c>
      <c r="K14" s="115"/>
      <c r="L14" s="115"/>
      <c r="M14" s="115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290747</v>
      </c>
      <c r="H15" s="115">
        <v>271173</v>
      </c>
      <c r="I15" s="115">
        <f>283728</f>
        <v>283728</v>
      </c>
      <c r="J15" s="115">
        <f t="shared" ref="J15" si="1">I15*1.01</f>
        <v>286565.28000000003</v>
      </c>
      <c r="K15" s="115"/>
      <c r="L15" s="115"/>
      <c r="M15" s="115"/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1652</v>
      </c>
      <c r="H16" s="115">
        <v>1648</v>
      </c>
      <c r="I16" s="115">
        <f>H16+0.8+8</f>
        <v>1656.8</v>
      </c>
      <c r="J16" s="115">
        <f t="shared" ref="J16" si="2">I16+0.8+8</f>
        <v>1665.6</v>
      </c>
      <c r="K16" s="115"/>
      <c r="L16" s="115"/>
      <c r="M16" s="115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0.13855541027774476</v>
      </c>
      <c r="H17" s="233">
        <v>0.125</v>
      </c>
      <c r="I17" s="233">
        <f t="shared" ref="I17:J17" si="3">H17</f>
        <v>0.125</v>
      </c>
      <c r="J17" s="233">
        <f t="shared" si="3"/>
        <v>0.125</v>
      </c>
      <c r="K17" s="233"/>
      <c r="L17" s="233"/>
      <c r="M17" s="233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39"/>
      <c r="I19" s="239"/>
      <c r="J19" s="239"/>
      <c r="K19" s="239"/>
      <c r="L19" s="239"/>
      <c r="M19" s="239"/>
    </row>
    <row r="20" spans="2:15" x14ac:dyDescent="0.2">
      <c r="B20" s="2">
        <v>8</v>
      </c>
      <c r="C20" s="37"/>
      <c r="D20" s="74" t="s">
        <v>166</v>
      </c>
      <c r="F20" s="75"/>
      <c r="G20" s="87">
        <f>LN('Benchmarking Calculations'!G135/'Benchmarking Calculations'!F135)</f>
        <v>2.8783109434923061E-2</v>
      </c>
      <c r="H20" s="232">
        <f>G20</f>
        <v>2.8783109434923061E-2</v>
      </c>
      <c r="I20" s="232">
        <f t="shared" ref="I20:J20" si="4">H20</f>
        <v>2.8783109434923061E-2</v>
      </c>
      <c r="J20" s="232">
        <f t="shared" si="4"/>
        <v>2.8783109434923061E-2</v>
      </c>
      <c r="K20" s="232"/>
      <c r="L20" s="232"/>
      <c r="M20" s="232"/>
      <c r="N20" s="75" t="s">
        <v>273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f>LN('Benchmarking Calculations'!G134/'Benchmarking Calculations'!F134)</f>
        <v>1.6007659445930671E-2</v>
      </c>
      <c r="H21" s="232">
        <f t="shared" ref="H21:J22" si="5">G21</f>
        <v>1.6007659445930671E-2</v>
      </c>
      <c r="I21" s="232">
        <f t="shared" si="5"/>
        <v>1.6007659445930671E-2</v>
      </c>
      <c r="J21" s="232">
        <f t="shared" si="5"/>
        <v>1.6007659445930671E-2</v>
      </c>
      <c r="K21" s="232"/>
      <c r="L21" s="232"/>
      <c r="M21" s="232"/>
      <c r="N21" s="75" t="s">
        <v>273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6.0212000000000002E-2</v>
      </c>
      <c r="H22" s="232">
        <f t="shared" si="5"/>
        <v>6.0212000000000002E-2</v>
      </c>
      <c r="I22" s="232">
        <f t="shared" si="5"/>
        <v>6.0212000000000002E-2</v>
      </c>
      <c r="J22" s="232">
        <f t="shared" si="5"/>
        <v>6.0212000000000002E-2</v>
      </c>
      <c r="K22" s="232"/>
      <c r="L22" s="232"/>
      <c r="M22" s="232"/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1" t="s">
        <v>170</v>
      </c>
      <c r="F27" s="73" t="s">
        <v>197</v>
      </c>
      <c r="G27" s="50">
        <f>G35-G36+G37</f>
        <v>-364372.47</v>
      </c>
      <c r="H27" s="50">
        <f>H35-H36+H37</f>
        <v>-433126.58000000007</v>
      </c>
      <c r="I27" s="50">
        <f t="shared" ref="I27:M27" si="6">I35-I36+I37</f>
        <v>-326697.76160000003</v>
      </c>
      <c r="J27" s="50">
        <f>J35-J36+J37</f>
        <v>-291650.79503200005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73"/>
      <c r="G28" s="50"/>
      <c r="H28" s="50"/>
      <c r="I28" s="50"/>
      <c r="J28" s="50"/>
      <c r="K28" s="50"/>
      <c r="L28" s="50"/>
      <c r="M28" s="50"/>
      <c r="N28" s="75"/>
    </row>
    <row r="29" spans="2:15" ht="13.5" thickBot="1" x14ac:dyDescent="0.25">
      <c r="E29" s="121" t="s">
        <v>169</v>
      </c>
      <c r="F29" s="73" t="s">
        <v>201</v>
      </c>
      <c r="G29" s="50">
        <f>G115-G121+G122</f>
        <v>13812244.279999999</v>
      </c>
      <c r="H29" s="50">
        <f t="shared" ref="H29:M29" si="7">H115-H121+H122</f>
        <v>13878886.42</v>
      </c>
      <c r="I29" s="50">
        <f t="shared" si="7"/>
        <v>14561794.849697506</v>
      </c>
      <c r="J29" s="50">
        <f t="shared" si="7"/>
        <v>15329750.236265505</v>
      </c>
      <c r="K29" s="50">
        <f t="shared" si="7"/>
        <v>0</v>
      </c>
      <c r="L29" s="50">
        <f t="shared" si="7"/>
        <v>0</v>
      </c>
      <c r="M29" s="50">
        <f t="shared" si="7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13812244.279999999</v>
      </c>
      <c r="H31" s="50">
        <f t="shared" si="8"/>
        <v>13878886.42</v>
      </c>
      <c r="I31" s="50">
        <f t="shared" si="8"/>
        <v>14561794.849697506</v>
      </c>
      <c r="J31" s="50">
        <f t="shared" si="8"/>
        <v>15329750.236265505</v>
      </c>
      <c r="K31" s="50">
        <f t="shared" si="8"/>
        <v>0</v>
      </c>
      <c r="L31" s="50">
        <f t="shared" si="8"/>
        <v>0</v>
      </c>
      <c r="M31" s="50">
        <f t="shared" si="8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x14ac:dyDescent="0.2">
      <c r="B33" s="2"/>
      <c r="C33" s="12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0"/>
    </row>
    <row r="34" spans="2:14" x14ac:dyDescent="0.2">
      <c r="C34" s="131"/>
      <c r="D34" s="76" t="s">
        <v>179</v>
      </c>
      <c r="E34" s="25"/>
      <c r="F34" s="25"/>
      <c r="G34" s="83"/>
      <c r="H34" s="236" t="s">
        <v>183</v>
      </c>
      <c r="I34" s="236"/>
      <c r="J34" s="236"/>
      <c r="K34" s="236"/>
      <c r="L34" s="236"/>
      <c r="M34" s="236"/>
      <c r="N34" s="132"/>
    </row>
    <row r="35" spans="2:14" x14ac:dyDescent="0.2">
      <c r="C35" s="131"/>
      <c r="D35" s="147" t="s">
        <v>194</v>
      </c>
      <c r="E35" s="25" t="s">
        <v>202</v>
      </c>
      <c r="F35" s="25"/>
      <c r="G35" s="82"/>
      <c r="H35" s="115"/>
      <c r="I35" s="115"/>
      <c r="J35" s="115"/>
      <c r="K35" s="115"/>
      <c r="L35" s="115"/>
      <c r="M35" s="115"/>
      <c r="N35" s="132" t="s">
        <v>172</v>
      </c>
    </row>
    <row r="36" spans="2:14" x14ac:dyDescent="0.2">
      <c r="C36" s="131"/>
      <c r="D36" s="147" t="s">
        <v>195</v>
      </c>
      <c r="E36" s="25" t="s">
        <v>193</v>
      </c>
      <c r="F36" s="25"/>
      <c r="G36" s="50">
        <f>G121</f>
        <v>382708.70999999996</v>
      </c>
      <c r="H36" s="115">
        <f>'Benchmarking Calculations'!H87</f>
        <v>450547</v>
      </c>
      <c r="I36" s="115">
        <f>'Benchmarking Calculations'!I87</f>
        <v>344466.58999999997</v>
      </c>
      <c r="J36" s="115">
        <f>'Benchmarking Calculations'!J87</f>
        <v>309775</v>
      </c>
      <c r="K36" s="115">
        <f>'Benchmarking Calculations'!K87</f>
        <v>0</v>
      </c>
      <c r="L36" s="115">
        <f>'Benchmarking Calculations'!L87</f>
        <v>0</v>
      </c>
      <c r="M36" s="115">
        <f>'Benchmarking Calculations'!M87</f>
        <v>0</v>
      </c>
      <c r="N36" s="132" t="s">
        <v>172</v>
      </c>
    </row>
    <row r="37" spans="2:14" x14ac:dyDescent="0.2">
      <c r="C37" s="131"/>
      <c r="D37" s="148" t="s">
        <v>196</v>
      </c>
      <c r="E37" s="25" t="s">
        <v>83</v>
      </c>
      <c r="F37" s="25"/>
      <c r="G37" s="50">
        <f>G122</f>
        <v>18336.239999999998</v>
      </c>
      <c r="H37" s="115">
        <f>'Benchmarking Calculations'!H88</f>
        <v>17420.419999999925</v>
      </c>
      <c r="I37" s="115">
        <f>'Benchmarking Calculations'!I88</f>
        <v>17768.828399999926</v>
      </c>
      <c r="J37" s="115">
        <f>'Benchmarking Calculations'!J88</f>
        <v>18124.204967999925</v>
      </c>
      <c r="K37" s="115">
        <f>'Benchmarking Calculations'!K88</f>
        <v>0</v>
      </c>
      <c r="L37" s="115">
        <f>'Benchmarking Calculations'!L88</f>
        <v>0</v>
      </c>
      <c r="M37" s="115">
        <f>'Benchmarking Calculations'!M88</f>
        <v>0</v>
      </c>
      <c r="N37" s="132" t="s">
        <v>172</v>
      </c>
    </row>
    <row r="38" spans="2:14" s="89" customFormat="1" ht="13.5" thickBot="1" x14ac:dyDescent="0.25">
      <c r="B38" s="2"/>
      <c r="C38" s="133"/>
      <c r="D38" s="72"/>
      <c r="E38" s="72"/>
      <c r="F38" s="72"/>
      <c r="G38" s="134"/>
      <c r="H38" s="143"/>
      <c r="I38" s="143"/>
      <c r="J38" s="143"/>
      <c r="K38" s="143"/>
      <c r="L38" s="143"/>
      <c r="M38" s="143"/>
      <c r="N38" s="135"/>
    </row>
    <row r="39" spans="2:14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14" x14ac:dyDescent="0.2">
      <c r="C40" s="12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0"/>
    </row>
    <row r="41" spans="2:14" x14ac:dyDescent="0.2">
      <c r="C41" s="131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2"/>
    </row>
    <row r="42" spans="2:14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2"/>
    </row>
    <row r="43" spans="2:14" x14ac:dyDescent="0.2">
      <c r="C43" s="136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2"/>
    </row>
    <row r="44" spans="2:14" x14ac:dyDescent="0.2">
      <c r="C44" s="136"/>
      <c r="D44" s="25"/>
      <c r="E44" s="75">
        <v>5005</v>
      </c>
      <c r="F44" s="128" t="s">
        <v>8</v>
      </c>
      <c r="G44" s="57">
        <f>'Benchmarking Calculations'!G10</f>
        <v>1168935.04</v>
      </c>
      <c r="H44" s="119">
        <f>'Benchmarking Calculations'!H10</f>
        <v>1049431</v>
      </c>
      <c r="I44" s="119">
        <f>'Benchmarking Calculations'!I10</f>
        <v>1180387.01</v>
      </c>
      <c r="J44" s="119">
        <f>'Benchmarking Calculations'!J10</f>
        <v>1393095</v>
      </c>
      <c r="K44" s="119">
        <f>'Benchmarking Calculations'!K10</f>
        <v>0</v>
      </c>
      <c r="L44" s="119">
        <f>'Benchmarking Calculations'!L10</f>
        <v>0</v>
      </c>
      <c r="M44" s="119">
        <f>'Benchmarking Calculations'!M10</f>
        <v>0</v>
      </c>
      <c r="N44" s="132" t="s">
        <v>172</v>
      </c>
    </row>
    <row r="45" spans="2:14" x14ac:dyDescent="0.2">
      <c r="C45" s="136"/>
      <c r="D45" s="25"/>
      <c r="E45" s="75">
        <v>5010</v>
      </c>
      <c r="F45" s="128" t="s">
        <v>9</v>
      </c>
      <c r="G45" s="57">
        <f>'Benchmarking Calculations'!G11</f>
        <v>999917.81</v>
      </c>
      <c r="H45" s="119">
        <f>'Benchmarking Calculations'!H11</f>
        <v>1152893</v>
      </c>
      <c r="I45" s="119">
        <f>'Benchmarking Calculations'!I11</f>
        <v>1101759.07</v>
      </c>
      <c r="J45" s="119">
        <f>'Benchmarking Calculations'!J11</f>
        <v>1145203</v>
      </c>
      <c r="K45" s="119">
        <f>'Benchmarking Calculations'!K11</f>
        <v>0</v>
      </c>
      <c r="L45" s="119">
        <f>'Benchmarking Calculations'!L11</f>
        <v>0</v>
      </c>
      <c r="M45" s="119">
        <f>'Benchmarking Calculations'!M11</f>
        <v>0</v>
      </c>
      <c r="N45" s="132" t="s">
        <v>172</v>
      </c>
    </row>
    <row r="46" spans="2:14" x14ac:dyDescent="0.2">
      <c r="C46" s="136"/>
      <c r="D46" s="25"/>
      <c r="E46" s="75">
        <v>5012</v>
      </c>
      <c r="F46" s="128" t="s">
        <v>10</v>
      </c>
      <c r="G46" s="57">
        <f>'Benchmarking Calculations'!G12</f>
        <v>182336.08000000002</v>
      </c>
      <c r="H46" s="119">
        <f>'Benchmarking Calculations'!H12</f>
        <v>190124</v>
      </c>
      <c r="I46" s="119">
        <f>'Benchmarking Calculations'!I12</f>
        <v>226540.7</v>
      </c>
      <c r="J46" s="119">
        <f>'Benchmarking Calculations'!J12</f>
        <v>223336</v>
      </c>
      <c r="K46" s="119">
        <f>'Benchmarking Calculations'!K12</f>
        <v>0</v>
      </c>
      <c r="L46" s="119">
        <f>'Benchmarking Calculations'!L12</f>
        <v>0</v>
      </c>
      <c r="M46" s="119">
        <f>'Benchmarking Calculations'!M12</f>
        <v>0</v>
      </c>
      <c r="N46" s="132" t="s">
        <v>172</v>
      </c>
    </row>
    <row r="47" spans="2:14" x14ac:dyDescent="0.2">
      <c r="C47" s="136"/>
      <c r="D47" s="25"/>
      <c r="E47" s="75">
        <v>5014</v>
      </c>
      <c r="F47" s="128" t="s">
        <v>11</v>
      </c>
      <c r="G47" s="57">
        <f>'Benchmarking Calculations'!G13</f>
        <v>184625.99</v>
      </c>
      <c r="H47" s="119">
        <f>'Benchmarking Calculations'!H13</f>
        <v>278465</v>
      </c>
      <c r="I47" s="119">
        <f>'Benchmarking Calculations'!I13</f>
        <v>214205.48</v>
      </c>
      <c r="J47" s="119">
        <f>'Benchmarking Calculations'!J13</f>
        <v>174090</v>
      </c>
      <c r="K47" s="119">
        <f>'Benchmarking Calculations'!K13</f>
        <v>0</v>
      </c>
      <c r="L47" s="119">
        <f>'Benchmarking Calculations'!L13</f>
        <v>0</v>
      </c>
      <c r="M47" s="119">
        <f>'Benchmarking Calculations'!M13</f>
        <v>0</v>
      </c>
      <c r="N47" s="132" t="s">
        <v>172</v>
      </c>
    </row>
    <row r="48" spans="2:14" ht="25.5" x14ac:dyDescent="0.2">
      <c r="C48" s="136"/>
      <c r="D48" s="25"/>
      <c r="E48" s="75">
        <v>5015</v>
      </c>
      <c r="F48" s="128" t="s">
        <v>12</v>
      </c>
      <c r="G48" s="57">
        <f>'Benchmarking Calculations'!G14</f>
        <v>104523</v>
      </c>
      <c r="H48" s="119">
        <f>'Benchmarking Calculations'!H14</f>
        <v>127891</v>
      </c>
      <c r="I48" s="119">
        <f>'Benchmarking Calculations'!I14</f>
        <v>91005</v>
      </c>
      <c r="J48" s="119">
        <f>'Benchmarking Calculations'!J14</f>
        <v>96218</v>
      </c>
      <c r="K48" s="119">
        <f>'Benchmarking Calculations'!K14</f>
        <v>0</v>
      </c>
      <c r="L48" s="119">
        <f>'Benchmarking Calculations'!L14</f>
        <v>0</v>
      </c>
      <c r="M48" s="119">
        <f>'Benchmarking Calculations'!M14</f>
        <v>0</v>
      </c>
      <c r="N48" s="132" t="s">
        <v>172</v>
      </c>
    </row>
    <row r="49" spans="3:14" x14ac:dyDescent="0.2">
      <c r="C49" s="136"/>
      <c r="D49" s="25"/>
      <c r="E49" s="75">
        <v>5016</v>
      </c>
      <c r="F49" s="128" t="s">
        <v>13</v>
      </c>
      <c r="G49" s="57">
        <f>'Benchmarking Calculations'!G15</f>
        <v>165258.65</v>
      </c>
      <c r="H49" s="119">
        <f>'Benchmarking Calculations'!H15</f>
        <v>145279</v>
      </c>
      <c r="I49" s="119">
        <f>'Benchmarking Calculations'!I15</f>
        <v>150637.82999999999</v>
      </c>
      <c r="J49" s="119">
        <f>'Benchmarking Calculations'!J15</f>
        <v>218626</v>
      </c>
      <c r="K49" s="119">
        <f>'Benchmarking Calculations'!K15</f>
        <v>0</v>
      </c>
      <c r="L49" s="119">
        <f>'Benchmarking Calculations'!L15</f>
        <v>0</v>
      </c>
      <c r="M49" s="119">
        <f>'Benchmarking Calculations'!M15</f>
        <v>0</v>
      </c>
      <c r="N49" s="132" t="s">
        <v>172</v>
      </c>
    </row>
    <row r="50" spans="3:14" ht="25.5" x14ac:dyDescent="0.2">
      <c r="C50" s="136"/>
      <c r="D50" s="25"/>
      <c r="E50" s="75">
        <v>5017</v>
      </c>
      <c r="F50" s="128" t="s">
        <v>14</v>
      </c>
      <c r="G50" s="57">
        <f>'Benchmarking Calculations'!G16</f>
        <v>68244.260000000009</v>
      </c>
      <c r="H50" s="119">
        <f>'Benchmarking Calculations'!H16</f>
        <v>70130</v>
      </c>
      <c r="I50" s="119">
        <f>'Benchmarking Calculations'!I16</f>
        <v>96421.909999999989</v>
      </c>
      <c r="J50" s="119">
        <f>'Benchmarking Calculations'!J16</f>
        <v>104007.62</v>
      </c>
      <c r="K50" s="119">
        <f>'Benchmarking Calculations'!K16</f>
        <v>0</v>
      </c>
      <c r="L50" s="119">
        <f>'Benchmarking Calculations'!L16</f>
        <v>0</v>
      </c>
      <c r="M50" s="119">
        <f>'Benchmarking Calculations'!M16</f>
        <v>0</v>
      </c>
      <c r="N50" s="132" t="s">
        <v>172</v>
      </c>
    </row>
    <row r="51" spans="3:14" ht="25.5" x14ac:dyDescent="0.2">
      <c r="C51" s="136"/>
      <c r="D51" s="25"/>
      <c r="E51" s="75">
        <v>5020</v>
      </c>
      <c r="F51" s="128" t="s">
        <v>15</v>
      </c>
      <c r="G51" s="57">
        <f>'Benchmarking Calculations'!G17</f>
        <v>984116.87</v>
      </c>
      <c r="H51" s="119">
        <f>'Benchmarking Calculations'!H17</f>
        <v>880405</v>
      </c>
      <c r="I51" s="119">
        <f>'Benchmarking Calculations'!I17</f>
        <v>728440.83</v>
      </c>
      <c r="J51" s="119">
        <f>'Benchmarking Calculations'!J17</f>
        <v>678507</v>
      </c>
      <c r="K51" s="119">
        <f>'Benchmarking Calculations'!K17</f>
        <v>0</v>
      </c>
      <c r="L51" s="119">
        <f>'Benchmarking Calculations'!L17</f>
        <v>0</v>
      </c>
      <c r="M51" s="119">
        <f>'Benchmarking Calculations'!M17</f>
        <v>0</v>
      </c>
      <c r="N51" s="132" t="s">
        <v>172</v>
      </c>
    </row>
    <row r="52" spans="3:14" ht="25.5" x14ac:dyDescent="0.2">
      <c r="C52" s="136"/>
      <c r="D52" s="25"/>
      <c r="E52" s="75">
        <v>5025</v>
      </c>
      <c r="F52" s="128" t="s">
        <v>16</v>
      </c>
      <c r="G52" s="57">
        <f>'Benchmarking Calculations'!G18</f>
        <v>237587</v>
      </c>
      <c r="H52" s="119">
        <f>'Benchmarking Calculations'!H18</f>
        <v>240367</v>
      </c>
      <c r="I52" s="119">
        <f>'Benchmarking Calculations'!I18</f>
        <v>277311</v>
      </c>
      <c r="J52" s="119">
        <f>'Benchmarking Calculations'!J18</f>
        <v>285800</v>
      </c>
      <c r="K52" s="119">
        <f>'Benchmarking Calculations'!K18</f>
        <v>0</v>
      </c>
      <c r="L52" s="119">
        <f>'Benchmarking Calculations'!L18</f>
        <v>0</v>
      </c>
      <c r="M52" s="119">
        <f>'Benchmarking Calculations'!M18</f>
        <v>0</v>
      </c>
      <c r="N52" s="132" t="s">
        <v>172</v>
      </c>
    </row>
    <row r="53" spans="3:14" x14ac:dyDescent="0.2">
      <c r="C53" s="136"/>
      <c r="D53" s="25"/>
      <c r="E53" s="75">
        <v>5035</v>
      </c>
      <c r="F53" s="128" t="s">
        <v>17</v>
      </c>
      <c r="G53" s="57">
        <f>'Benchmarking Calculations'!G19</f>
        <v>2928.58</v>
      </c>
      <c r="H53" s="119">
        <f>'Benchmarking Calculations'!H19</f>
        <v>11434</v>
      </c>
      <c r="I53" s="119">
        <f>'Benchmarking Calculations'!I19</f>
        <v>3184.17</v>
      </c>
      <c r="J53" s="119">
        <f>'Benchmarking Calculations'!J19</f>
        <v>3234</v>
      </c>
      <c r="K53" s="119">
        <f>'Benchmarking Calculations'!K19</f>
        <v>0</v>
      </c>
      <c r="L53" s="119">
        <f>'Benchmarking Calculations'!L19</f>
        <v>0</v>
      </c>
      <c r="M53" s="119">
        <f>'Benchmarking Calculations'!M19</f>
        <v>0</v>
      </c>
      <c r="N53" s="132" t="s">
        <v>172</v>
      </c>
    </row>
    <row r="54" spans="3:14" ht="25.5" x14ac:dyDescent="0.2">
      <c r="C54" s="136"/>
      <c r="D54" s="25"/>
      <c r="E54" s="75">
        <v>5040</v>
      </c>
      <c r="F54" s="128" t="s">
        <v>18</v>
      </c>
      <c r="G54" s="57">
        <f>'Benchmarking Calculations'!G20</f>
        <v>77396.61</v>
      </c>
      <c r="H54" s="119">
        <f>'Benchmarking Calculations'!H20</f>
        <v>89228</v>
      </c>
      <c r="I54" s="119">
        <f>'Benchmarking Calculations'!I20</f>
        <v>62413.81</v>
      </c>
      <c r="J54" s="119">
        <f>'Benchmarking Calculations'!J20</f>
        <v>71724</v>
      </c>
      <c r="K54" s="119">
        <f>'Benchmarking Calculations'!K20</f>
        <v>0</v>
      </c>
      <c r="L54" s="119">
        <f>'Benchmarking Calculations'!L20</f>
        <v>0</v>
      </c>
      <c r="M54" s="119">
        <f>'Benchmarking Calculations'!M20</f>
        <v>0</v>
      </c>
      <c r="N54" s="132" t="s">
        <v>172</v>
      </c>
    </row>
    <row r="55" spans="3:14" ht="25.5" x14ac:dyDescent="0.2">
      <c r="C55" s="136"/>
      <c r="D55" s="25"/>
      <c r="E55" s="75">
        <v>5045</v>
      </c>
      <c r="F55" s="128" t="s">
        <v>19</v>
      </c>
      <c r="G55" s="57">
        <f>'Benchmarking Calculations'!G21</f>
        <v>30008</v>
      </c>
      <c r="H55" s="119">
        <f>'Benchmarking Calculations'!H21</f>
        <v>40103</v>
      </c>
      <c r="I55" s="119">
        <f>'Benchmarking Calculations'!I21</f>
        <v>29128</v>
      </c>
      <c r="J55" s="119">
        <f>'Benchmarking Calculations'!J21</f>
        <v>31448</v>
      </c>
      <c r="K55" s="119">
        <f>'Benchmarking Calculations'!K21</f>
        <v>0</v>
      </c>
      <c r="L55" s="119">
        <f>'Benchmarking Calculations'!L21</f>
        <v>0</v>
      </c>
      <c r="M55" s="119">
        <f>'Benchmarking Calculations'!M21</f>
        <v>0</v>
      </c>
      <c r="N55" s="132" t="s">
        <v>172</v>
      </c>
    </row>
    <row r="56" spans="3:14" x14ac:dyDescent="0.2">
      <c r="C56" s="136"/>
      <c r="D56" s="25"/>
      <c r="E56" s="75">
        <v>5055</v>
      </c>
      <c r="F56" s="128" t="s">
        <v>20</v>
      </c>
      <c r="G56" s="57">
        <f>'Benchmarking Calculations'!G22</f>
        <v>15192.949999999999</v>
      </c>
      <c r="H56" s="119">
        <f>'Benchmarking Calculations'!H22</f>
        <v>14638</v>
      </c>
      <c r="I56" s="119">
        <f>'Benchmarking Calculations'!I22</f>
        <v>4450.8500000000004</v>
      </c>
      <c r="J56" s="119">
        <f>'Benchmarking Calculations'!J22</f>
        <v>4526</v>
      </c>
      <c r="K56" s="119">
        <f>'Benchmarking Calculations'!K22</f>
        <v>0</v>
      </c>
      <c r="L56" s="119">
        <f>'Benchmarking Calculations'!L22</f>
        <v>0</v>
      </c>
      <c r="M56" s="119">
        <f>'Benchmarking Calculations'!M22</f>
        <v>0</v>
      </c>
      <c r="N56" s="132" t="s">
        <v>172</v>
      </c>
    </row>
    <row r="57" spans="3:14" x14ac:dyDescent="0.2">
      <c r="C57" s="136"/>
      <c r="D57" s="25"/>
      <c r="E57" s="75">
        <v>5065</v>
      </c>
      <c r="F57" s="128" t="s">
        <v>21</v>
      </c>
      <c r="G57" s="57">
        <f>'Benchmarking Calculations'!G23</f>
        <v>339211.09</v>
      </c>
      <c r="H57" s="119">
        <f>'Benchmarking Calculations'!H23</f>
        <v>409202</v>
      </c>
      <c r="I57" s="119">
        <f>'Benchmarking Calculations'!I23</f>
        <v>451942.67</v>
      </c>
      <c r="J57" s="119">
        <f>'Benchmarking Calculations'!J23</f>
        <v>460495</v>
      </c>
      <c r="K57" s="119">
        <f>'Benchmarking Calculations'!K23</f>
        <v>0</v>
      </c>
      <c r="L57" s="119">
        <f>'Benchmarking Calculations'!L23</f>
        <v>0</v>
      </c>
      <c r="M57" s="119">
        <f>'Benchmarking Calculations'!M23</f>
        <v>0</v>
      </c>
      <c r="N57" s="132" t="s">
        <v>172</v>
      </c>
    </row>
    <row r="58" spans="3:14" x14ac:dyDescent="0.2">
      <c r="C58" s="136"/>
      <c r="D58" s="25"/>
      <c r="E58" s="75">
        <v>5070</v>
      </c>
      <c r="F58" s="128" t="s">
        <v>22</v>
      </c>
      <c r="G58" s="57">
        <f>'Benchmarking Calculations'!G24</f>
        <v>0</v>
      </c>
      <c r="H58" s="119">
        <f>'Benchmarking Calculations'!H24</f>
        <v>0</v>
      </c>
      <c r="I58" s="119">
        <f>'Benchmarking Calculations'!I24</f>
        <v>0</v>
      </c>
      <c r="J58" s="119">
        <f>'Benchmarking Calculations'!J24</f>
        <v>0</v>
      </c>
      <c r="K58" s="119">
        <f>'Benchmarking Calculations'!K24</f>
        <v>0</v>
      </c>
      <c r="L58" s="119">
        <f>'Benchmarking Calculations'!L24</f>
        <v>0</v>
      </c>
      <c r="M58" s="119">
        <f>'Benchmarking Calculations'!M24</f>
        <v>0</v>
      </c>
      <c r="N58" s="132" t="s">
        <v>172</v>
      </c>
    </row>
    <row r="59" spans="3:14" ht="25.5" x14ac:dyDescent="0.2">
      <c r="C59" s="136"/>
      <c r="D59" s="25"/>
      <c r="E59" s="75">
        <v>5075</v>
      </c>
      <c r="F59" s="128" t="s">
        <v>23</v>
      </c>
      <c r="G59" s="57">
        <f>'Benchmarking Calculations'!G25</f>
        <v>460345</v>
      </c>
      <c r="H59" s="119">
        <f>'Benchmarking Calculations'!H25</f>
        <v>534768</v>
      </c>
      <c r="I59" s="119">
        <f>'Benchmarking Calculations'!I25</f>
        <v>396845</v>
      </c>
      <c r="J59" s="119">
        <f>'Benchmarking Calculations'!J25</f>
        <v>396878</v>
      </c>
      <c r="K59" s="119">
        <f>'Benchmarking Calculations'!K25</f>
        <v>0</v>
      </c>
      <c r="L59" s="119">
        <f>'Benchmarking Calculations'!L25</f>
        <v>0</v>
      </c>
      <c r="M59" s="119">
        <f>'Benchmarking Calculations'!M25</f>
        <v>0</v>
      </c>
      <c r="N59" s="132" t="s">
        <v>172</v>
      </c>
    </row>
    <row r="60" spans="3:14" x14ac:dyDescent="0.2">
      <c r="C60" s="136"/>
      <c r="D60" s="25"/>
      <c r="E60" s="75">
        <v>5085</v>
      </c>
      <c r="F60" s="128" t="s">
        <v>24</v>
      </c>
      <c r="G60" s="57">
        <f>'Benchmarking Calculations'!G26</f>
        <v>1001293.6900000002</v>
      </c>
      <c r="H60" s="119">
        <f>'Benchmarking Calculations'!H26</f>
        <v>1034643</v>
      </c>
      <c r="I60" s="119">
        <f>'Benchmarking Calculations'!I26</f>
        <v>1041547.15</v>
      </c>
      <c r="J60" s="119">
        <f>'Benchmarking Calculations'!J26</f>
        <v>1056055</v>
      </c>
      <c r="K60" s="119">
        <f>'Benchmarking Calculations'!K26</f>
        <v>0</v>
      </c>
      <c r="L60" s="119">
        <f>'Benchmarking Calculations'!L26</f>
        <v>0</v>
      </c>
      <c r="M60" s="119">
        <f>'Benchmarking Calculations'!M26</f>
        <v>0</v>
      </c>
      <c r="N60" s="132" t="s">
        <v>172</v>
      </c>
    </row>
    <row r="61" spans="3:14" ht="25.5" x14ac:dyDescent="0.2">
      <c r="C61" s="136"/>
      <c r="D61" s="25"/>
      <c r="E61" s="75">
        <v>5090</v>
      </c>
      <c r="F61" s="128" t="s">
        <v>25</v>
      </c>
      <c r="G61" s="57">
        <f>'Benchmarking Calculations'!G27</f>
        <v>0</v>
      </c>
      <c r="H61" s="119">
        <f>'Benchmarking Calculations'!H27</f>
        <v>0</v>
      </c>
      <c r="I61" s="119">
        <f>'Benchmarking Calculations'!I27</f>
        <v>0</v>
      </c>
      <c r="J61" s="119">
        <f>'Benchmarking Calculations'!J27</f>
        <v>0</v>
      </c>
      <c r="K61" s="119">
        <f>'Benchmarking Calculations'!K27</f>
        <v>0</v>
      </c>
      <c r="L61" s="119">
        <f>'Benchmarking Calculations'!L27</f>
        <v>0</v>
      </c>
      <c r="M61" s="119">
        <f>'Benchmarking Calculations'!M27</f>
        <v>0</v>
      </c>
      <c r="N61" s="132" t="s">
        <v>172</v>
      </c>
    </row>
    <row r="62" spans="3:14" ht="25.5" x14ac:dyDescent="0.2">
      <c r="C62" s="136"/>
      <c r="D62" s="25"/>
      <c r="E62" s="75">
        <v>5095</v>
      </c>
      <c r="F62" s="128" t="s">
        <v>26</v>
      </c>
      <c r="G62" s="57">
        <f>'Benchmarking Calculations'!G28</f>
        <v>0</v>
      </c>
      <c r="H62" s="119">
        <f>'Benchmarking Calculations'!H28</f>
        <v>0</v>
      </c>
      <c r="I62" s="119">
        <f>'Benchmarking Calculations'!I28</f>
        <v>0</v>
      </c>
      <c r="J62" s="119">
        <f>'Benchmarking Calculations'!J28</f>
        <v>0</v>
      </c>
      <c r="K62" s="119">
        <f>'Benchmarking Calculations'!K28</f>
        <v>0</v>
      </c>
      <c r="L62" s="119">
        <f>'Benchmarking Calculations'!L28</f>
        <v>0</v>
      </c>
      <c r="M62" s="119">
        <f>'Benchmarking Calculations'!M28</f>
        <v>0</v>
      </c>
      <c r="N62" s="132" t="s">
        <v>172</v>
      </c>
    </row>
    <row r="63" spans="3:14" x14ac:dyDescent="0.2">
      <c r="C63" s="136"/>
      <c r="D63" s="25"/>
      <c r="E63" s="105">
        <v>5096</v>
      </c>
      <c r="F63" s="146" t="s">
        <v>27</v>
      </c>
      <c r="G63" s="106">
        <f>'Benchmarking Calculations'!G29</f>
        <v>0</v>
      </c>
      <c r="H63" s="119">
        <f>'Benchmarking Calculations'!H29</f>
        <v>0</v>
      </c>
      <c r="I63" s="119">
        <f>'Benchmarking Calculations'!I29</f>
        <v>0</v>
      </c>
      <c r="J63" s="119">
        <f>'Benchmarking Calculations'!J29</f>
        <v>0</v>
      </c>
      <c r="K63" s="119">
        <f>'Benchmarking Calculations'!K29</f>
        <v>0</v>
      </c>
      <c r="L63" s="119">
        <f>'Benchmarking Calculations'!L29</f>
        <v>0</v>
      </c>
      <c r="M63" s="119">
        <f>'Benchmarking Calculations'!M29</f>
        <v>0</v>
      </c>
      <c r="N63" s="132" t="s">
        <v>172</v>
      </c>
    </row>
    <row r="64" spans="3:14" x14ac:dyDescent="0.2">
      <c r="C64" s="136"/>
      <c r="D64" s="25"/>
      <c r="E64" s="15"/>
      <c r="F64" s="77" t="s">
        <v>28</v>
      </c>
      <c r="G64" s="104">
        <f>'Benchmarking Calculations'!G30</f>
        <v>6021920.620000001</v>
      </c>
      <c r="H64" s="78">
        <f>SUM(H44:H63)</f>
        <v>6269001</v>
      </c>
      <c r="I64" s="78">
        <f t="shared" ref="I64:M64" si="9">SUM(I44:I63)</f>
        <v>6056220.4800000014</v>
      </c>
      <c r="J64" s="78">
        <f t="shared" si="9"/>
        <v>6343242.6200000001</v>
      </c>
      <c r="K64" s="78">
        <f t="shared" si="9"/>
        <v>0</v>
      </c>
      <c r="L64" s="78">
        <f t="shared" si="9"/>
        <v>0</v>
      </c>
      <c r="M64" s="78">
        <f t="shared" si="9"/>
        <v>0</v>
      </c>
      <c r="N64" s="137" t="s">
        <v>29</v>
      </c>
    </row>
    <row r="65" spans="3:14" x14ac:dyDescent="0.2">
      <c r="C65" s="136"/>
      <c r="D65" s="25"/>
      <c r="E65" s="75">
        <v>5105</v>
      </c>
      <c r="F65" s="128" t="s">
        <v>30</v>
      </c>
      <c r="G65" s="57">
        <f>'Benchmarking Calculations'!G31</f>
        <v>502685.30000000005</v>
      </c>
      <c r="H65" s="119">
        <f>'Benchmarking Calculations'!H31</f>
        <v>498950</v>
      </c>
      <c r="I65" s="119">
        <f>'Benchmarking Calculations'!I31</f>
        <v>467230.38</v>
      </c>
      <c r="J65" s="119">
        <f>'Benchmarking Calculations'!J31</f>
        <v>493651</v>
      </c>
      <c r="K65" s="119">
        <f>'Benchmarking Calculations'!K31</f>
        <v>0</v>
      </c>
      <c r="L65" s="119">
        <f>'Benchmarking Calculations'!L31</f>
        <v>0</v>
      </c>
      <c r="M65" s="119">
        <f>'Benchmarking Calculations'!M31</f>
        <v>0</v>
      </c>
      <c r="N65" s="132" t="s">
        <v>172</v>
      </c>
    </row>
    <row r="66" spans="3:14" x14ac:dyDescent="0.2">
      <c r="C66" s="136"/>
      <c r="D66" s="25"/>
      <c r="E66" s="75">
        <v>5110</v>
      </c>
      <c r="F66" s="128" t="s">
        <v>31</v>
      </c>
      <c r="G66" s="57">
        <f>'Benchmarking Calculations'!G32</f>
        <v>18874.190000000006</v>
      </c>
      <c r="H66" s="119">
        <f>'Benchmarking Calculations'!H32</f>
        <v>21416</v>
      </c>
      <c r="I66" s="119">
        <f>'Benchmarking Calculations'!I32</f>
        <v>31720.81</v>
      </c>
      <c r="J66" s="119">
        <f>'Benchmarking Calculations'!J32</f>
        <v>32175</v>
      </c>
      <c r="K66" s="119">
        <f>'Benchmarking Calculations'!K32</f>
        <v>0</v>
      </c>
      <c r="L66" s="119">
        <f>'Benchmarking Calculations'!L32</f>
        <v>0</v>
      </c>
      <c r="M66" s="119">
        <f>'Benchmarking Calculations'!M32</f>
        <v>0</v>
      </c>
      <c r="N66" s="132" t="s">
        <v>172</v>
      </c>
    </row>
    <row r="67" spans="3:14" x14ac:dyDescent="0.2">
      <c r="C67" s="136"/>
      <c r="D67" s="25"/>
      <c r="E67" s="75">
        <v>5112</v>
      </c>
      <c r="F67" s="128" t="s">
        <v>32</v>
      </c>
      <c r="G67" s="57">
        <f>'Benchmarking Calculations'!G33</f>
        <v>93559.719999999987</v>
      </c>
      <c r="H67" s="119">
        <f>'Benchmarking Calculations'!H33</f>
        <v>44191</v>
      </c>
      <c r="I67" s="119">
        <f>'Benchmarking Calculations'!I33</f>
        <v>39256.11</v>
      </c>
      <c r="J67" s="119">
        <f>'Benchmarking Calculations'!J33</f>
        <v>39467</v>
      </c>
      <c r="K67" s="119">
        <f>'Benchmarking Calculations'!K33</f>
        <v>0</v>
      </c>
      <c r="L67" s="119">
        <f>'Benchmarking Calculations'!L33</f>
        <v>0</v>
      </c>
      <c r="M67" s="119">
        <f>'Benchmarking Calculations'!M33</f>
        <v>0</v>
      </c>
      <c r="N67" s="132" t="s">
        <v>172</v>
      </c>
    </row>
    <row r="68" spans="3:14" x14ac:dyDescent="0.2">
      <c r="C68" s="136"/>
      <c r="D68" s="25"/>
      <c r="E68" s="75">
        <v>5114</v>
      </c>
      <c r="F68" s="128" t="s">
        <v>33</v>
      </c>
      <c r="G68" s="57">
        <f>'Benchmarking Calculations'!G34</f>
        <v>11212.819999999998</v>
      </c>
      <c r="H68" s="119">
        <f>'Benchmarking Calculations'!H34</f>
        <v>6504</v>
      </c>
      <c r="I68" s="119">
        <f>'Benchmarking Calculations'!I34</f>
        <v>43242.25</v>
      </c>
      <c r="J68" s="119">
        <f>'Benchmarking Calculations'!J34</f>
        <v>44427</v>
      </c>
      <c r="K68" s="119">
        <f>'Benchmarking Calculations'!K34</f>
        <v>0</v>
      </c>
      <c r="L68" s="119">
        <f>'Benchmarking Calculations'!L34</f>
        <v>0</v>
      </c>
      <c r="M68" s="119">
        <f>'Benchmarking Calculations'!M34</f>
        <v>0</v>
      </c>
      <c r="N68" s="132" t="s">
        <v>172</v>
      </c>
    </row>
    <row r="69" spans="3:14" x14ac:dyDescent="0.2">
      <c r="C69" s="136"/>
      <c r="D69" s="25"/>
      <c r="E69" s="75">
        <v>5120</v>
      </c>
      <c r="F69" s="128" t="s">
        <v>34</v>
      </c>
      <c r="G69" s="57">
        <f>'Benchmarking Calculations'!G35</f>
        <v>281022.28000000003</v>
      </c>
      <c r="H69" s="119">
        <f>'Benchmarking Calculations'!H35</f>
        <v>114092</v>
      </c>
      <c r="I69" s="119">
        <f>'Benchmarking Calculations'!I35</f>
        <v>285739.46999999997</v>
      </c>
      <c r="J69" s="119">
        <f>'Benchmarking Calculations'!J35</f>
        <v>319096</v>
      </c>
      <c r="K69" s="119">
        <f>'Benchmarking Calculations'!K35</f>
        <v>0</v>
      </c>
      <c r="L69" s="119">
        <f>'Benchmarking Calculations'!L35</f>
        <v>0</v>
      </c>
      <c r="M69" s="119">
        <f>'Benchmarking Calculations'!M35</f>
        <v>0</v>
      </c>
      <c r="N69" s="132" t="s">
        <v>172</v>
      </c>
    </row>
    <row r="70" spans="3:14" x14ac:dyDescent="0.2">
      <c r="C70" s="136"/>
      <c r="D70" s="25"/>
      <c r="E70" s="75">
        <v>5125</v>
      </c>
      <c r="F70" s="128" t="s">
        <v>35</v>
      </c>
      <c r="G70" s="57">
        <f>'Benchmarking Calculations'!G36</f>
        <v>227576.72999999998</v>
      </c>
      <c r="H70" s="119">
        <f>'Benchmarking Calculations'!H36</f>
        <v>88336</v>
      </c>
      <c r="I70" s="119">
        <f>'Benchmarking Calculations'!I36</f>
        <v>161371.56</v>
      </c>
      <c r="J70" s="119">
        <f>'Benchmarking Calculations'!J36</f>
        <v>142987</v>
      </c>
      <c r="K70" s="119">
        <f>'Benchmarking Calculations'!K36</f>
        <v>0</v>
      </c>
      <c r="L70" s="119">
        <f>'Benchmarking Calculations'!L36</f>
        <v>0</v>
      </c>
      <c r="M70" s="119">
        <f>'Benchmarking Calculations'!M36</f>
        <v>0</v>
      </c>
      <c r="N70" s="132" t="s">
        <v>172</v>
      </c>
    </row>
    <row r="71" spans="3:14" x14ac:dyDescent="0.2">
      <c r="C71" s="136"/>
      <c r="D71" s="25"/>
      <c r="E71" s="75">
        <v>5130</v>
      </c>
      <c r="F71" s="128" t="s">
        <v>36</v>
      </c>
      <c r="G71" s="57">
        <f>'Benchmarking Calculations'!G37</f>
        <v>67641.86</v>
      </c>
      <c r="H71" s="119">
        <f>'Benchmarking Calculations'!H37</f>
        <v>75959</v>
      </c>
      <c r="I71" s="119">
        <f>'Benchmarking Calculations'!I37</f>
        <v>72659.22</v>
      </c>
      <c r="J71" s="119">
        <f>'Benchmarking Calculations'!J37</f>
        <v>71937</v>
      </c>
      <c r="K71" s="119">
        <f>'Benchmarking Calculations'!K37</f>
        <v>0</v>
      </c>
      <c r="L71" s="119">
        <f>'Benchmarking Calculations'!L37</f>
        <v>0</v>
      </c>
      <c r="M71" s="119">
        <f>'Benchmarking Calculations'!M37</f>
        <v>0</v>
      </c>
      <c r="N71" s="132" t="s">
        <v>172</v>
      </c>
    </row>
    <row r="72" spans="3:14" ht="25.5" x14ac:dyDescent="0.2">
      <c r="C72" s="136"/>
      <c r="D72" s="25"/>
      <c r="E72" s="75">
        <v>5135</v>
      </c>
      <c r="F72" s="128" t="s">
        <v>37</v>
      </c>
      <c r="G72" s="57">
        <f>'Benchmarking Calculations'!G38</f>
        <v>316476.32999999996</v>
      </c>
      <c r="H72" s="119">
        <f>'Benchmarking Calculations'!H38</f>
        <v>370703</v>
      </c>
      <c r="I72" s="119">
        <f>'Benchmarking Calculations'!I38</f>
        <v>404315.54</v>
      </c>
      <c r="J72" s="119">
        <f>'Benchmarking Calculations'!J38</f>
        <v>405808</v>
      </c>
      <c r="K72" s="119">
        <f>'Benchmarking Calculations'!K38</f>
        <v>0</v>
      </c>
      <c r="L72" s="119">
        <f>'Benchmarking Calculations'!L38</f>
        <v>0</v>
      </c>
      <c r="M72" s="119">
        <f>'Benchmarking Calculations'!M38</f>
        <v>0</v>
      </c>
      <c r="N72" s="132" t="s">
        <v>172</v>
      </c>
    </row>
    <row r="73" spans="3:14" x14ac:dyDescent="0.2">
      <c r="C73" s="136"/>
      <c r="D73" s="25"/>
      <c r="E73" s="75">
        <v>5145</v>
      </c>
      <c r="F73" s="128" t="s">
        <v>38</v>
      </c>
      <c r="G73" s="57">
        <f>'Benchmarking Calculations'!G39</f>
        <v>0</v>
      </c>
      <c r="H73" s="119">
        <f>'Benchmarking Calculations'!H39</f>
        <v>0</v>
      </c>
      <c r="I73" s="119">
        <f>'Benchmarking Calculations'!I39</f>
        <v>0</v>
      </c>
      <c r="J73" s="119">
        <f>'Benchmarking Calculations'!J39</f>
        <v>0</v>
      </c>
      <c r="K73" s="119">
        <f>'Benchmarking Calculations'!K39</f>
        <v>0</v>
      </c>
      <c r="L73" s="119">
        <f>'Benchmarking Calculations'!L39</f>
        <v>0</v>
      </c>
      <c r="M73" s="119">
        <f>'Benchmarking Calculations'!M39</f>
        <v>0</v>
      </c>
      <c r="N73" s="132" t="s">
        <v>172</v>
      </c>
    </row>
    <row r="74" spans="3:14" ht="25.5" x14ac:dyDescent="0.2">
      <c r="C74" s="136"/>
      <c r="D74" s="25"/>
      <c r="E74" s="75">
        <v>5150</v>
      </c>
      <c r="F74" s="128" t="s">
        <v>39</v>
      </c>
      <c r="G74" s="57">
        <f>'Benchmarking Calculations'!G40</f>
        <v>423</v>
      </c>
      <c r="H74" s="119">
        <f>'Benchmarking Calculations'!H40</f>
        <v>0</v>
      </c>
      <c r="I74" s="119">
        <f>'Benchmarking Calculations'!I40</f>
        <v>1000</v>
      </c>
      <c r="J74" s="119">
        <f>'Benchmarking Calculations'!J40</f>
        <v>1000</v>
      </c>
      <c r="K74" s="119">
        <f>'Benchmarking Calculations'!K40</f>
        <v>0</v>
      </c>
      <c r="L74" s="119">
        <f>'Benchmarking Calculations'!L40</f>
        <v>0</v>
      </c>
      <c r="M74" s="119">
        <f>'Benchmarking Calculations'!M40</f>
        <v>0</v>
      </c>
      <c r="N74" s="132" t="s">
        <v>172</v>
      </c>
    </row>
    <row r="75" spans="3:14" x14ac:dyDescent="0.2">
      <c r="C75" s="136"/>
      <c r="D75" s="25"/>
      <c r="E75" s="75">
        <v>5155</v>
      </c>
      <c r="F75" s="128" t="s">
        <v>40</v>
      </c>
      <c r="G75" s="57">
        <f>'Benchmarking Calculations'!G41</f>
        <v>341977.95</v>
      </c>
      <c r="H75" s="119">
        <f>'Benchmarking Calculations'!H41</f>
        <v>241264</v>
      </c>
      <c r="I75" s="119">
        <f>'Benchmarking Calculations'!I41</f>
        <v>290918.93</v>
      </c>
      <c r="J75" s="119">
        <f>'Benchmarking Calculations'!J41</f>
        <v>293674</v>
      </c>
      <c r="K75" s="119">
        <f>'Benchmarking Calculations'!K41</f>
        <v>0</v>
      </c>
      <c r="L75" s="119">
        <f>'Benchmarking Calculations'!L41</f>
        <v>0</v>
      </c>
      <c r="M75" s="119">
        <f>'Benchmarking Calculations'!M41</f>
        <v>0</v>
      </c>
      <c r="N75" s="132" t="s">
        <v>172</v>
      </c>
    </row>
    <row r="76" spans="3:14" x14ac:dyDescent="0.2">
      <c r="C76" s="136"/>
      <c r="D76" s="25"/>
      <c r="E76" s="75">
        <v>5160</v>
      </c>
      <c r="F76" s="128" t="s">
        <v>41</v>
      </c>
      <c r="G76" s="57">
        <f>'Benchmarking Calculations'!G42</f>
        <v>101746.25</v>
      </c>
      <c r="H76" s="119">
        <f>'Benchmarking Calculations'!H42</f>
        <v>36288</v>
      </c>
      <c r="I76" s="119">
        <f>'Benchmarking Calculations'!I42</f>
        <v>72891.98</v>
      </c>
      <c r="J76" s="119">
        <f>'Benchmarking Calculations'!J42</f>
        <v>64740</v>
      </c>
      <c r="K76" s="119">
        <f>'Benchmarking Calculations'!K42</f>
        <v>0</v>
      </c>
      <c r="L76" s="119">
        <f>'Benchmarking Calculations'!L42</f>
        <v>0</v>
      </c>
      <c r="M76" s="119">
        <f>'Benchmarking Calculations'!M42</f>
        <v>0</v>
      </c>
      <c r="N76" s="132" t="s">
        <v>172</v>
      </c>
    </row>
    <row r="77" spans="3:14" x14ac:dyDescent="0.2">
      <c r="C77" s="136"/>
      <c r="D77" s="25"/>
      <c r="E77" s="105">
        <v>5175</v>
      </c>
      <c r="F77" s="146" t="s">
        <v>42</v>
      </c>
      <c r="G77" s="106">
        <f>'Benchmarking Calculations'!G43</f>
        <v>0</v>
      </c>
      <c r="H77" s="119">
        <f>'Benchmarking Calculations'!H43</f>
        <v>0</v>
      </c>
      <c r="I77" s="119">
        <f>'Benchmarking Calculations'!I43</f>
        <v>0</v>
      </c>
      <c r="J77" s="119">
        <f>'Benchmarking Calculations'!J43</f>
        <v>0</v>
      </c>
      <c r="K77" s="119">
        <f>'Benchmarking Calculations'!K43</f>
        <v>0</v>
      </c>
      <c r="L77" s="119">
        <f>'Benchmarking Calculations'!L43</f>
        <v>0</v>
      </c>
      <c r="M77" s="119">
        <f>'Benchmarking Calculations'!M43</f>
        <v>0</v>
      </c>
      <c r="N77" s="132" t="s">
        <v>172</v>
      </c>
    </row>
    <row r="78" spans="3:14" x14ac:dyDescent="0.2">
      <c r="C78" s="136"/>
      <c r="D78" s="25"/>
      <c r="E78" s="15"/>
      <c r="F78" s="77" t="s">
        <v>43</v>
      </c>
      <c r="G78" s="104">
        <f>'Benchmarking Calculations'!G44</f>
        <v>1963196.43</v>
      </c>
      <c r="H78" s="78">
        <f>SUM(H65:H77)</f>
        <v>1497703</v>
      </c>
      <c r="I78" s="78">
        <f t="shared" ref="I78:M78" si="10">SUM(I65:I77)</f>
        <v>1870346.25</v>
      </c>
      <c r="J78" s="78">
        <f t="shared" si="10"/>
        <v>1908962</v>
      </c>
      <c r="K78" s="78">
        <f t="shared" si="10"/>
        <v>0</v>
      </c>
      <c r="L78" s="78">
        <f t="shared" si="10"/>
        <v>0</v>
      </c>
      <c r="M78" s="78">
        <f t="shared" si="10"/>
        <v>0</v>
      </c>
      <c r="N78" s="137" t="s">
        <v>29</v>
      </c>
    </row>
    <row r="79" spans="3:14" x14ac:dyDescent="0.2">
      <c r="C79" s="136"/>
      <c r="D79" s="25"/>
      <c r="E79" s="75">
        <v>5305</v>
      </c>
      <c r="F79" s="75" t="s">
        <v>44</v>
      </c>
      <c r="G79" s="57">
        <f>'Benchmarking Calculations'!G45</f>
        <v>68428.95</v>
      </c>
      <c r="H79" s="119">
        <f>'Benchmarking Calculations'!H45</f>
        <v>66154</v>
      </c>
      <c r="I79" s="119">
        <f>'Benchmarking Calculations'!I45</f>
        <v>70906.8</v>
      </c>
      <c r="J79" s="119">
        <f>'Benchmarking Calculations'!J45</f>
        <v>72353</v>
      </c>
      <c r="K79" s="119">
        <f>'Benchmarking Calculations'!K45</f>
        <v>0</v>
      </c>
      <c r="L79" s="119">
        <f>'Benchmarking Calculations'!L45</f>
        <v>0</v>
      </c>
      <c r="M79" s="119">
        <f>'Benchmarking Calculations'!M45</f>
        <v>0</v>
      </c>
      <c r="N79" s="132" t="s">
        <v>172</v>
      </c>
    </row>
    <row r="80" spans="3:14" x14ac:dyDescent="0.2">
      <c r="C80" s="136"/>
      <c r="D80" s="25"/>
      <c r="E80" s="75">
        <v>5310</v>
      </c>
      <c r="F80" s="75" t="s">
        <v>45</v>
      </c>
      <c r="G80" s="57">
        <f>'Benchmarking Calculations'!G46</f>
        <v>480648.8</v>
      </c>
      <c r="H80" s="119">
        <f>'Benchmarking Calculations'!H46</f>
        <v>458184</v>
      </c>
      <c r="I80" s="119">
        <f>'Benchmarking Calculations'!I46</f>
        <v>503898.77</v>
      </c>
      <c r="J80" s="119">
        <f>'Benchmarking Calculations'!J46</f>
        <v>524164</v>
      </c>
      <c r="K80" s="119">
        <f>'Benchmarking Calculations'!K46</f>
        <v>0</v>
      </c>
      <c r="L80" s="119">
        <f>'Benchmarking Calculations'!L46</f>
        <v>0</v>
      </c>
      <c r="M80" s="119">
        <f>'Benchmarking Calculations'!M46</f>
        <v>0</v>
      </c>
      <c r="N80" s="132" t="s">
        <v>172</v>
      </c>
    </row>
    <row r="81" spans="3:14" x14ac:dyDescent="0.2">
      <c r="C81" s="136"/>
      <c r="D81" s="25"/>
      <c r="E81" s="75">
        <v>5315</v>
      </c>
      <c r="F81" s="75" t="s">
        <v>46</v>
      </c>
      <c r="G81" s="57">
        <f>'Benchmarking Calculations'!G47</f>
        <v>1650054.9999999998</v>
      </c>
      <c r="H81" s="119">
        <f>'Benchmarking Calculations'!H47</f>
        <v>1730574</v>
      </c>
      <c r="I81" s="119">
        <f>'Benchmarking Calculations'!I47</f>
        <v>1602397.74</v>
      </c>
      <c r="J81" s="119">
        <f>'Benchmarking Calculations'!J47</f>
        <v>1677425</v>
      </c>
      <c r="K81" s="119">
        <f>'Benchmarking Calculations'!K47</f>
        <v>0</v>
      </c>
      <c r="L81" s="119">
        <f>'Benchmarking Calculations'!L47</f>
        <v>0</v>
      </c>
      <c r="M81" s="119">
        <f>'Benchmarking Calculations'!M47</f>
        <v>0</v>
      </c>
      <c r="N81" s="132" t="s">
        <v>172</v>
      </c>
    </row>
    <row r="82" spans="3:14" x14ac:dyDescent="0.2">
      <c r="C82" s="136"/>
      <c r="D82" s="25"/>
      <c r="E82" s="75">
        <v>5320</v>
      </c>
      <c r="F82" s="75" t="s">
        <v>47</v>
      </c>
      <c r="G82" s="57">
        <f>'Benchmarking Calculations'!G48</f>
        <v>681622.46</v>
      </c>
      <c r="H82" s="119">
        <f>'Benchmarking Calculations'!H48</f>
        <v>625613</v>
      </c>
      <c r="I82" s="119">
        <f>'Benchmarking Calculations'!I48</f>
        <v>679336.57</v>
      </c>
      <c r="J82" s="119">
        <f>'Benchmarking Calculations'!J48</f>
        <v>715072</v>
      </c>
      <c r="K82" s="119">
        <f>'Benchmarking Calculations'!K48</f>
        <v>0</v>
      </c>
      <c r="L82" s="119">
        <f>'Benchmarking Calculations'!L48</f>
        <v>0</v>
      </c>
      <c r="M82" s="119">
        <f>'Benchmarking Calculations'!M48</f>
        <v>0</v>
      </c>
      <c r="N82" s="132" t="s">
        <v>172</v>
      </c>
    </row>
    <row r="83" spans="3:14" x14ac:dyDescent="0.2">
      <c r="C83" s="136"/>
      <c r="D83" s="25"/>
      <c r="E83" s="75">
        <v>5325</v>
      </c>
      <c r="F83" s="75" t="s">
        <v>48</v>
      </c>
      <c r="G83" s="57">
        <f>'Benchmarking Calculations'!G49</f>
        <v>0</v>
      </c>
      <c r="H83" s="119">
        <f>'Benchmarking Calculations'!H49</f>
        <v>0</v>
      </c>
      <c r="I83" s="119">
        <f>'Benchmarking Calculations'!I49</f>
        <v>0</v>
      </c>
      <c r="J83" s="119">
        <f>'Benchmarking Calculations'!J49</f>
        <v>0</v>
      </c>
      <c r="K83" s="119">
        <f>'Benchmarking Calculations'!K49</f>
        <v>0</v>
      </c>
      <c r="L83" s="119">
        <f>'Benchmarking Calculations'!L49</f>
        <v>0</v>
      </c>
      <c r="M83" s="119">
        <f>'Benchmarking Calculations'!M49</f>
        <v>0</v>
      </c>
      <c r="N83" s="132" t="s">
        <v>172</v>
      </c>
    </row>
    <row r="84" spans="3:14" x14ac:dyDescent="0.2">
      <c r="C84" s="136"/>
      <c r="D84" s="25"/>
      <c r="E84" s="75">
        <v>5330</v>
      </c>
      <c r="F84" s="75" t="s">
        <v>49</v>
      </c>
      <c r="G84" s="57">
        <f>'Benchmarking Calculations'!G50</f>
        <v>-113223</v>
      </c>
      <c r="H84" s="119">
        <f>'Benchmarking Calculations'!H50</f>
        <v>-61953</v>
      </c>
      <c r="I84" s="119">
        <f>'Benchmarking Calculations'!I50</f>
        <v>-29331</v>
      </c>
      <c r="J84" s="119">
        <f>'Benchmarking Calculations'!J50</f>
        <v>-29331</v>
      </c>
      <c r="K84" s="119">
        <f>'Benchmarking Calculations'!K50</f>
        <v>0</v>
      </c>
      <c r="L84" s="119">
        <f>'Benchmarking Calculations'!L50</f>
        <v>0</v>
      </c>
      <c r="M84" s="119">
        <f>'Benchmarking Calculations'!M50</f>
        <v>0</v>
      </c>
      <c r="N84" s="132" t="s">
        <v>172</v>
      </c>
    </row>
    <row r="85" spans="3:14" x14ac:dyDescent="0.2">
      <c r="C85" s="136"/>
      <c r="D85" s="25"/>
      <c r="E85" s="105">
        <v>5340</v>
      </c>
      <c r="F85" s="105" t="s">
        <v>50</v>
      </c>
      <c r="G85" s="106">
        <f>'Benchmarking Calculations'!G51</f>
        <v>0</v>
      </c>
      <c r="H85" s="119"/>
      <c r="I85" s="119"/>
      <c r="J85" s="120"/>
      <c r="K85" s="120"/>
      <c r="L85" s="120"/>
      <c r="M85" s="120"/>
      <c r="N85" s="132" t="s">
        <v>172</v>
      </c>
    </row>
    <row r="86" spans="3:14" x14ac:dyDescent="0.2">
      <c r="C86" s="136"/>
      <c r="D86" s="25"/>
      <c r="E86" s="15"/>
      <c r="F86" s="77" t="s">
        <v>51</v>
      </c>
      <c r="G86" s="104">
        <f>'Benchmarking Calculations'!G52</f>
        <v>2767532.21</v>
      </c>
      <c r="H86" s="78">
        <f>SUM(H79:H85)</f>
        <v>2818572</v>
      </c>
      <c r="I86" s="78">
        <f t="shared" ref="I86:M86" si="11">SUM(I79:I85)</f>
        <v>2827208.88</v>
      </c>
      <c r="J86" s="78">
        <f t="shared" si="11"/>
        <v>2959683</v>
      </c>
      <c r="K86" s="78">
        <f t="shared" si="11"/>
        <v>0</v>
      </c>
      <c r="L86" s="78">
        <f t="shared" si="11"/>
        <v>0</v>
      </c>
      <c r="M86" s="78">
        <f t="shared" si="11"/>
        <v>0</v>
      </c>
      <c r="N86" s="137" t="s">
        <v>29</v>
      </c>
    </row>
    <row r="87" spans="3:14" x14ac:dyDescent="0.2">
      <c r="C87" s="136"/>
      <c r="D87" s="25"/>
      <c r="E87" s="75">
        <v>5405</v>
      </c>
      <c r="F87" s="75" t="s">
        <v>52</v>
      </c>
      <c r="G87" s="57">
        <f>'Benchmarking Calculations'!G53</f>
        <v>0</v>
      </c>
      <c r="H87" s="119">
        <f>'Benchmarking Calculations'!H53</f>
        <v>0</v>
      </c>
      <c r="I87" s="119">
        <f>'Benchmarking Calculations'!I53</f>
        <v>48829</v>
      </c>
      <c r="J87" s="119">
        <f>'Benchmarking Calculations'!J53</f>
        <v>122701</v>
      </c>
      <c r="K87" s="119">
        <f>'Benchmarking Calculations'!K53</f>
        <v>0</v>
      </c>
      <c r="L87" s="119">
        <f>'Benchmarking Calculations'!L53</f>
        <v>0</v>
      </c>
      <c r="M87" s="119">
        <f>'Benchmarking Calculations'!M53</f>
        <v>0</v>
      </c>
      <c r="N87" s="132" t="s">
        <v>172</v>
      </c>
    </row>
    <row r="88" spans="3:14" x14ac:dyDescent="0.2">
      <c r="C88" s="136"/>
      <c r="D88" s="25"/>
      <c r="E88" s="75">
        <v>5410</v>
      </c>
      <c r="F88" s="75" t="s">
        <v>53</v>
      </c>
      <c r="G88" s="57">
        <f>'Benchmarking Calculations'!G54</f>
        <v>176175.06999999998</v>
      </c>
      <c r="H88" s="119">
        <f>'Benchmarking Calculations'!H54</f>
        <v>200382</v>
      </c>
      <c r="I88" s="119">
        <f>'Benchmarking Calculations'!I54</f>
        <v>260144.36</v>
      </c>
      <c r="J88" s="119">
        <f>'Benchmarking Calculations'!J54</f>
        <v>348226</v>
      </c>
      <c r="K88" s="119">
        <f>'Benchmarking Calculations'!K54</f>
        <v>0</v>
      </c>
      <c r="L88" s="119">
        <f>'Benchmarking Calculations'!L54</f>
        <v>0</v>
      </c>
      <c r="M88" s="119">
        <f>'Benchmarking Calculations'!M54</f>
        <v>0</v>
      </c>
      <c r="N88" s="132" t="s">
        <v>172</v>
      </c>
    </row>
    <row r="89" spans="3:14" x14ac:dyDescent="0.2">
      <c r="C89" s="136"/>
      <c r="D89" s="25"/>
      <c r="E89" s="75">
        <v>5420</v>
      </c>
      <c r="F89" s="75" t="s">
        <v>54</v>
      </c>
      <c r="G89" s="57">
        <f>'Benchmarking Calculations'!G55</f>
        <v>24155.14</v>
      </c>
      <c r="H89" s="119">
        <f>'Benchmarking Calculations'!H55</f>
        <v>43807</v>
      </c>
      <c r="I89" s="119">
        <f>'Benchmarking Calculations'!I55</f>
        <v>39607.19</v>
      </c>
      <c r="J89" s="119">
        <f>'Benchmarking Calculations'!J55</f>
        <v>40613</v>
      </c>
      <c r="K89" s="119">
        <f>'Benchmarking Calculations'!K55</f>
        <v>0</v>
      </c>
      <c r="L89" s="119">
        <f>'Benchmarking Calculations'!L55</f>
        <v>0</v>
      </c>
      <c r="M89" s="119">
        <f>'Benchmarking Calculations'!M55</f>
        <v>0</v>
      </c>
      <c r="N89" s="132" t="s">
        <v>172</v>
      </c>
    </row>
    <row r="90" spans="3:14" x14ac:dyDescent="0.2">
      <c r="C90" s="136"/>
      <c r="D90" s="25"/>
      <c r="E90" s="105">
        <v>5425</v>
      </c>
      <c r="F90" s="105" t="s">
        <v>55</v>
      </c>
      <c r="G90" s="106">
        <f>'Benchmarking Calculations'!G56</f>
        <v>0</v>
      </c>
      <c r="H90" s="119">
        <f>'Benchmarking Calculations'!H56</f>
        <v>0</v>
      </c>
      <c r="I90" s="119">
        <f>'Benchmarking Calculations'!I56</f>
        <v>0</v>
      </c>
      <c r="J90" s="119">
        <f>'Benchmarking Calculations'!J56</f>
        <v>0</v>
      </c>
      <c r="K90" s="119">
        <f>'Benchmarking Calculations'!K56</f>
        <v>0</v>
      </c>
      <c r="L90" s="119">
        <f>'Benchmarking Calculations'!L56</f>
        <v>0</v>
      </c>
      <c r="M90" s="119">
        <f>'Benchmarking Calculations'!M56</f>
        <v>0</v>
      </c>
      <c r="N90" s="132" t="s">
        <v>172</v>
      </c>
    </row>
    <row r="91" spans="3:14" x14ac:dyDescent="0.2">
      <c r="C91" s="136"/>
      <c r="D91" s="25"/>
      <c r="E91" s="15"/>
      <c r="F91" s="77" t="s">
        <v>56</v>
      </c>
      <c r="G91" s="104">
        <f>'Benchmarking Calculations'!G57</f>
        <v>200330.20999999996</v>
      </c>
      <c r="H91" s="78">
        <f>SUM(H87:H90)</f>
        <v>244189</v>
      </c>
      <c r="I91" s="78">
        <f t="shared" ref="I91:M91" si="12">SUM(I87:I90)</f>
        <v>348580.55</v>
      </c>
      <c r="J91" s="78">
        <f t="shared" si="12"/>
        <v>511540</v>
      </c>
      <c r="K91" s="78">
        <f t="shared" si="12"/>
        <v>0</v>
      </c>
      <c r="L91" s="78">
        <f t="shared" si="12"/>
        <v>0</v>
      </c>
      <c r="M91" s="78">
        <f t="shared" si="12"/>
        <v>0</v>
      </c>
      <c r="N91" s="137" t="s">
        <v>29</v>
      </c>
    </row>
    <row r="92" spans="3:14" x14ac:dyDescent="0.2">
      <c r="C92" s="136"/>
      <c r="D92" s="25"/>
      <c r="E92" s="75">
        <v>5605</v>
      </c>
      <c r="F92" s="75" t="s">
        <v>57</v>
      </c>
      <c r="G92" s="57">
        <f>'Benchmarking Calculations'!G58</f>
        <v>826589.26</v>
      </c>
      <c r="H92" s="119">
        <f>'Benchmarking Calculations'!H58</f>
        <v>769946</v>
      </c>
      <c r="I92" s="119">
        <f>'Benchmarking Calculations'!I58</f>
        <v>800121.23</v>
      </c>
      <c r="J92" s="119">
        <f>'Benchmarking Calculations'!J58</f>
        <v>862122</v>
      </c>
      <c r="K92" s="119">
        <f>'Benchmarking Calculations'!K58</f>
        <v>0</v>
      </c>
      <c r="L92" s="119">
        <f>'Benchmarking Calculations'!L58</f>
        <v>0</v>
      </c>
      <c r="M92" s="119">
        <f>'Benchmarking Calculations'!M58</f>
        <v>0</v>
      </c>
      <c r="N92" s="132" t="s">
        <v>172</v>
      </c>
    </row>
    <row r="93" spans="3:14" x14ac:dyDescent="0.2">
      <c r="C93" s="136"/>
      <c r="D93" s="25"/>
      <c r="E93" s="75">
        <v>5610</v>
      </c>
      <c r="F93" s="75" t="s">
        <v>58</v>
      </c>
      <c r="G93" s="57">
        <f>'Benchmarking Calculations'!G59</f>
        <v>148979</v>
      </c>
      <c r="H93" s="119">
        <f>'Benchmarking Calculations'!H59</f>
        <v>169709</v>
      </c>
      <c r="I93" s="119">
        <f>'Benchmarking Calculations'!I59</f>
        <v>169709</v>
      </c>
      <c r="J93" s="119">
        <f>'Benchmarking Calculations'!J59</f>
        <v>169709</v>
      </c>
      <c r="K93" s="119">
        <f>'Benchmarking Calculations'!K59</f>
        <v>0</v>
      </c>
      <c r="L93" s="119">
        <f>'Benchmarking Calculations'!L59</f>
        <v>0</v>
      </c>
      <c r="M93" s="119">
        <f>'Benchmarking Calculations'!M59</f>
        <v>0</v>
      </c>
      <c r="N93" s="132" t="s">
        <v>172</v>
      </c>
    </row>
    <row r="94" spans="3:14" x14ac:dyDescent="0.2">
      <c r="C94" s="136"/>
      <c r="D94" s="25"/>
      <c r="E94" s="75">
        <v>5615</v>
      </c>
      <c r="F94" s="75" t="s">
        <v>59</v>
      </c>
      <c r="G94" s="57">
        <f>'Benchmarking Calculations'!G60</f>
        <v>1004588.13</v>
      </c>
      <c r="H94" s="119">
        <f>'Benchmarking Calculations'!H60</f>
        <v>995304</v>
      </c>
      <c r="I94" s="119">
        <f>'Benchmarking Calculations'!I60</f>
        <v>1163417.44</v>
      </c>
      <c r="J94" s="119">
        <f>'Benchmarking Calculations'!J60</f>
        <v>1227663.6199999999</v>
      </c>
      <c r="K94" s="119">
        <f>'Benchmarking Calculations'!K60</f>
        <v>0</v>
      </c>
      <c r="L94" s="119">
        <f>'Benchmarking Calculations'!L60</f>
        <v>0</v>
      </c>
      <c r="M94" s="119">
        <f>'Benchmarking Calculations'!M60</f>
        <v>0</v>
      </c>
      <c r="N94" s="132" t="s">
        <v>172</v>
      </c>
    </row>
    <row r="95" spans="3:14" x14ac:dyDescent="0.2">
      <c r="C95" s="136"/>
      <c r="D95" s="25"/>
      <c r="E95" s="75">
        <v>5620</v>
      </c>
      <c r="F95" s="75" t="s">
        <v>60</v>
      </c>
      <c r="G95" s="57">
        <f>'Benchmarking Calculations'!G61</f>
        <v>187113</v>
      </c>
      <c r="H95" s="119">
        <f>'Benchmarking Calculations'!H61</f>
        <v>356917</v>
      </c>
      <c r="I95" s="119">
        <f>'Benchmarking Calculations'!I61</f>
        <v>294181</v>
      </c>
      <c r="J95" s="119">
        <f>'Benchmarking Calculations'!J61</f>
        <v>310024</v>
      </c>
      <c r="K95" s="119">
        <f>'Benchmarking Calculations'!K61</f>
        <v>0</v>
      </c>
      <c r="L95" s="119">
        <f>'Benchmarking Calculations'!L61</f>
        <v>0</v>
      </c>
      <c r="M95" s="119">
        <f>'Benchmarking Calculations'!M61</f>
        <v>0</v>
      </c>
      <c r="N95" s="132" t="s">
        <v>172</v>
      </c>
    </row>
    <row r="96" spans="3:14" x14ac:dyDescent="0.2">
      <c r="C96" s="136"/>
      <c r="D96" s="25"/>
      <c r="E96" s="75">
        <v>5625</v>
      </c>
      <c r="F96" s="75" t="s">
        <v>61</v>
      </c>
      <c r="G96" s="57">
        <f>'Benchmarking Calculations'!G62</f>
        <v>-827655</v>
      </c>
      <c r="H96" s="119">
        <f>'Benchmarking Calculations'!H62</f>
        <v>-576374</v>
      </c>
      <c r="I96" s="119">
        <f>'Benchmarking Calculations'!I62</f>
        <v>-501539</v>
      </c>
      <c r="J96" s="119">
        <f>'Benchmarking Calculations'!J62</f>
        <v>-610059</v>
      </c>
      <c r="K96" s="119">
        <f>'Benchmarking Calculations'!K62</f>
        <v>0</v>
      </c>
      <c r="L96" s="119">
        <f>'Benchmarking Calculations'!L62</f>
        <v>0</v>
      </c>
      <c r="M96" s="119">
        <f>'Benchmarking Calculations'!M62</f>
        <v>0</v>
      </c>
      <c r="N96" s="132" t="s">
        <v>172</v>
      </c>
    </row>
    <row r="97" spans="3:14" x14ac:dyDescent="0.2">
      <c r="C97" s="136"/>
      <c r="D97" s="25"/>
      <c r="E97" s="75">
        <v>5630</v>
      </c>
      <c r="F97" s="75" t="s">
        <v>62</v>
      </c>
      <c r="G97" s="57">
        <f>'Benchmarking Calculations'!G63</f>
        <v>118749</v>
      </c>
      <c r="H97" s="119">
        <f>'Benchmarking Calculations'!H63</f>
        <v>68264</v>
      </c>
      <c r="I97" s="119">
        <f>'Benchmarking Calculations'!I63</f>
        <v>72540</v>
      </c>
      <c r="J97" s="119">
        <f>'Benchmarking Calculations'!J63</f>
        <v>73420</v>
      </c>
      <c r="K97" s="119">
        <f>'Benchmarking Calculations'!K63</f>
        <v>0</v>
      </c>
      <c r="L97" s="119">
        <f>'Benchmarking Calculations'!L63</f>
        <v>0</v>
      </c>
      <c r="M97" s="119">
        <f>'Benchmarking Calculations'!M63</f>
        <v>0</v>
      </c>
      <c r="N97" s="132" t="s">
        <v>172</v>
      </c>
    </row>
    <row r="98" spans="3:14" x14ac:dyDescent="0.2">
      <c r="C98" s="136"/>
      <c r="D98" s="25"/>
      <c r="E98" s="75">
        <v>5640</v>
      </c>
      <c r="F98" s="75" t="s">
        <v>63</v>
      </c>
      <c r="G98" s="57">
        <f>'Benchmarking Calculations'!G64</f>
        <v>1998</v>
      </c>
      <c r="H98" s="119">
        <f>'Benchmarking Calculations'!H64</f>
        <v>1711</v>
      </c>
      <c r="I98" s="119">
        <f>'Benchmarking Calculations'!I64</f>
        <v>6000</v>
      </c>
      <c r="J98" s="119">
        <f>'Benchmarking Calculations'!J64</f>
        <v>6000</v>
      </c>
      <c r="K98" s="119">
        <f>'Benchmarking Calculations'!K64</f>
        <v>0</v>
      </c>
      <c r="L98" s="119">
        <f>'Benchmarking Calculations'!L64</f>
        <v>0</v>
      </c>
      <c r="M98" s="119">
        <f>'Benchmarking Calculations'!M64</f>
        <v>0</v>
      </c>
      <c r="N98" s="132" t="s">
        <v>172</v>
      </c>
    </row>
    <row r="99" spans="3:14" x14ac:dyDescent="0.2">
      <c r="C99" s="136"/>
      <c r="D99" s="25"/>
      <c r="E99" s="75">
        <v>5645</v>
      </c>
      <c r="F99" s="75" t="s">
        <v>64</v>
      </c>
      <c r="G99" s="57">
        <f>'Benchmarking Calculations'!G65</f>
        <v>0</v>
      </c>
      <c r="H99" s="119">
        <f>'Benchmarking Calculations'!H65</f>
        <v>0</v>
      </c>
      <c r="I99" s="119">
        <f>'Benchmarking Calculations'!I65</f>
        <v>0</v>
      </c>
      <c r="J99" s="119">
        <f>'Benchmarking Calculations'!J65</f>
        <v>0</v>
      </c>
      <c r="K99" s="119">
        <f>'Benchmarking Calculations'!K65</f>
        <v>0</v>
      </c>
      <c r="L99" s="119">
        <f>'Benchmarking Calculations'!L65</f>
        <v>0</v>
      </c>
      <c r="M99" s="119">
        <f>'Benchmarking Calculations'!M65</f>
        <v>0</v>
      </c>
      <c r="N99" s="132" t="s">
        <v>172</v>
      </c>
    </row>
    <row r="100" spans="3:14" x14ac:dyDescent="0.2">
      <c r="C100" s="136"/>
      <c r="D100" s="25"/>
      <c r="E100" s="75">
        <v>5646</v>
      </c>
      <c r="F100" s="75" t="s">
        <v>65</v>
      </c>
      <c r="G100" s="57">
        <f>'Benchmarking Calculations'!G66</f>
        <v>181572</v>
      </c>
      <c r="H100" s="119">
        <f>'Benchmarking Calculations'!H66</f>
        <v>171225</v>
      </c>
      <c r="I100" s="119">
        <f>'Benchmarking Calculations'!I66</f>
        <v>170985.88129750601</v>
      </c>
      <c r="J100" s="119">
        <f>'Benchmarking Calculations'!J66</f>
        <v>170985.88129750601</v>
      </c>
      <c r="K100" s="119">
        <f>'Benchmarking Calculations'!K66</f>
        <v>0</v>
      </c>
      <c r="L100" s="119">
        <f>'Benchmarking Calculations'!L66</f>
        <v>0</v>
      </c>
      <c r="M100" s="119">
        <f>'Benchmarking Calculations'!M66</f>
        <v>0</v>
      </c>
      <c r="N100" s="132" t="s">
        <v>172</v>
      </c>
    </row>
    <row r="101" spans="3:14" x14ac:dyDescent="0.2">
      <c r="C101" s="136"/>
      <c r="D101" s="25"/>
      <c r="E101" s="75">
        <v>5647</v>
      </c>
      <c r="F101" s="75" t="s">
        <v>66</v>
      </c>
      <c r="G101" s="57">
        <f>'Benchmarking Calculations'!G67</f>
        <v>0</v>
      </c>
      <c r="H101" s="119">
        <f>'Benchmarking Calculations'!H67</f>
        <v>0</v>
      </c>
      <c r="I101" s="119">
        <f>'Benchmarking Calculations'!I67</f>
        <v>0</v>
      </c>
      <c r="J101" s="119">
        <f>'Benchmarking Calculations'!J67</f>
        <v>0</v>
      </c>
      <c r="K101" s="119">
        <f>'Benchmarking Calculations'!K67</f>
        <v>0</v>
      </c>
      <c r="L101" s="119">
        <f>'Benchmarking Calculations'!L67</f>
        <v>0</v>
      </c>
      <c r="M101" s="119">
        <f>'Benchmarking Calculations'!M67</f>
        <v>0</v>
      </c>
      <c r="N101" s="132" t="s">
        <v>172</v>
      </c>
    </row>
    <row r="102" spans="3:14" x14ac:dyDescent="0.2">
      <c r="C102" s="136"/>
      <c r="D102" s="25"/>
      <c r="E102" s="75">
        <v>5650</v>
      </c>
      <c r="F102" s="75" t="s">
        <v>67</v>
      </c>
      <c r="G102" s="57">
        <f>'Benchmarking Calculations'!G68</f>
        <v>0</v>
      </c>
      <c r="H102" s="119">
        <f>'Benchmarking Calculations'!H68</f>
        <v>0</v>
      </c>
      <c r="I102" s="119">
        <f>'Benchmarking Calculations'!I68</f>
        <v>0</v>
      </c>
      <c r="J102" s="119">
        <f>'Benchmarking Calculations'!J68</f>
        <v>0</v>
      </c>
      <c r="K102" s="119">
        <f>'Benchmarking Calculations'!K68</f>
        <v>0</v>
      </c>
      <c r="L102" s="119">
        <f>'Benchmarking Calculations'!L68</f>
        <v>0</v>
      </c>
      <c r="M102" s="119">
        <f>'Benchmarking Calculations'!M68</f>
        <v>0</v>
      </c>
      <c r="N102" s="132" t="s">
        <v>172</v>
      </c>
    </row>
    <row r="103" spans="3:14" x14ac:dyDescent="0.2">
      <c r="C103" s="136"/>
      <c r="D103" s="25"/>
      <c r="E103" s="75">
        <v>5655</v>
      </c>
      <c r="F103" s="75" t="s">
        <v>68</v>
      </c>
      <c r="G103" s="57">
        <f>'Benchmarking Calculations'!G69</f>
        <v>411068.89</v>
      </c>
      <c r="H103" s="119">
        <f>'Benchmarking Calculations'!H69</f>
        <v>409604</v>
      </c>
      <c r="I103" s="119">
        <f>'Benchmarking Calculations'!I69</f>
        <v>439924.24000000005</v>
      </c>
      <c r="J103" s="119">
        <f>'Benchmarking Calculations'!J69</f>
        <v>529276.91</v>
      </c>
      <c r="K103" s="119">
        <f>'Benchmarking Calculations'!K69</f>
        <v>0</v>
      </c>
      <c r="L103" s="119">
        <f>'Benchmarking Calculations'!L69</f>
        <v>0</v>
      </c>
      <c r="M103" s="119">
        <f>'Benchmarking Calculations'!M69</f>
        <v>0</v>
      </c>
      <c r="N103" s="132" t="s">
        <v>172</v>
      </c>
    </row>
    <row r="104" spans="3:14" x14ac:dyDescent="0.2">
      <c r="C104" s="136"/>
      <c r="D104" s="25"/>
      <c r="E104" s="75">
        <v>5665</v>
      </c>
      <c r="F104" s="75" t="s">
        <v>69</v>
      </c>
      <c r="G104" s="57">
        <f>'Benchmarking Calculations'!G70</f>
        <v>329238</v>
      </c>
      <c r="H104" s="119">
        <f>'Benchmarking Calculations'!H70</f>
        <v>338184</v>
      </c>
      <c r="I104" s="119">
        <f>'Benchmarking Calculations'!I70</f>
        <v>294487</v>
      </c>
      <c r="J104" s="119">
        <f>'Benchmarking Calculations'!J70</f>
        <v>306332</v>
      </c>
      <c r="K104" s="119">
        <f>'Benchmarking Calculations'!K70</f>
        <v>0</v>
      </c>
      <c r="L104" s="119">
        <f>'Benchmarking Calculations'!L70</f>
        <v>0</v>
      </c>
      <c r="M104" s="119">
        <f>'Benchmarking Calculations'!M70</f>
        <v>0</v>
      </c>
      <c r="N104" s="132" t="s">
        <v>172</v>
      </c>
    </row>
    <row r="105" spans="3:14" x14ac:dyDescent="0.2">
      <c r="C105" s="136"/>
      <c r="D105" s="25"/>
      <c r="E105" s="75">
        <v>5670</v>
      </c>
      <c r="F105" s="75" t="s">
        <v>70</v>
      </c>
      <c r="G105" s="57">
        <f>'Benchmarking Calculations'!G71</f>
        <v>0</v>
      </c>
      <c r="H105" s="119">
        <f>'Benchmarking Calculations'!H71</f>
        <v>0</v>
      </c>
      <c r="I105" s="119">
        <f>'Benchmarking Calculations'!I71</f>
        <v>0</v>
      </c>
      <c r="J105" s="119">
        <f>'Benchmarking Calculations'!J71</f>
        <v>0</v>
      </c>
      <c r="K105" s="119">
        <f>'Benchmarking Calculations'!K71</f>
        <v>0</v>
      </c>
      <c r="L105" s="119">
        <f>'Benchmarking Calculations'!L71</f>
        <v>0</v>
      </c>
      <c r="M105" s="119">
        <f>'Benchmarking Calculations'!M71</f>
        <v>0</v>
      </c>
      <c r="N105" s="132" t="s">
        <v>172</v>
      </c>
    </row>
    <row r="106" spans="3:14" x14ac:dyDescent="0.2">
      <c r="C106" s="136"/>
      <c r="D106" s="25"/>
      <c r="E106" s="75">
        <v>5672</v>
      </c>
      <c r="F106" s="75" t="s">
        <v>71</v>
      </c>
      <c r="G106" s="57">
        <f>'Benchmarking Calculations'!G72</f>
        <v>0</v>
      </c>
      <c r="H106" s="119">
        <f>'Benchmarking Calculations'!H72</f>
        <v>0</v>
      </c>
      <c r="I106" s="119">
        <f>'Benchmarking Calculations'!I72</f>
        <v>0</v>
      </c>
      <c r="J106" s="119">
        <f>'Benchmarking Calculations'!J72</f>
        <v>0</v>
      </c>
      <c r="K106" s="119">
        <f>'Benchmarking Calculations'!K72</f>
        <v>0</v>
      </c>
      <c r="L106" s="119">
        <f>'Benchmarking Calculations'!L72</f>
        <v>0</v>
      </c>
      <c r="M106" s="119">
        <f>'Benchmarking Calculations'!M72</f>
        <v>0</v>
      </c>
      <c r="N106" s="132" t="s">
        <v>172</v>
      </c>
    </row>
    <row r="107" spans="3:14" x14ac:dyDescent="0.2">
      <c r="C107" s="136"/>
      <c r="D107" s="25"/>
      <c r="E107" s="75">
        <v>5675</v>
      </c>
      <c r="F107" s="75" t="s">
        <v>72</v>
      </c>
      <c r="G107" s="57">
        <f>'Benchmarking Calculations'!G73</f>
        <v>653549</v>
      </c>
      <c r="H107" s="119">
        <f>'Benchmarking Calculations'!H73</f>
        <v>596738</v>
      </c>
      <c r="I107" s="119">
        <f>'Benchmarking Calculations'!I73</f>
        <v>684704.66</v>
      </c>
      <c r="J107" s="119">
        <f>'Benchmarking Calculations'!J73</f>
        <v>660894</v>
      </c>
      <c r="K107" s="119">
        <f>'Benchmarking Calculations'!K73</f>
        <v>0</v>
      </c>
      <c r="L107" s="119">
        <f>'Benchmarking Calculations'!L73</f>
        <v>0</v>
      </c>
      <c r="M107" s="119">
        <f>'Benchmarking Calculations'!M73</f>
        <v>0</v>
      </c>
      <c r="N107" s="132" t="s">
        <v>172</v>
      </c>
    </row>
    <row r="108" spans="3:14" x14ac:dyDescent="0.2">
      <c r="C108" s="136"/>
      <c r="D108" s="25"/>
      <c r="E108" s="105">
        <v>5680</v>
      </c>
      <c r="F108" s="105" t="s">
        <v>73</v>
      </c>
      <c r="G108" s="106">
        <f>'Benchmarking Calculations'!G74</f>
        <v>0</v>
      </c>
      <c r="H108" s="119"/>
      <c r="I108" s="119"/>
      <c r="J108" s="120"/>
      <c r="K108" s="120"/>
      <c r="L108" s="120"/>
      <c r="M108" s="120"/>
      <c r="N108" s="132" t="s">
        <v>172</v>
      </c>
    </row>
    <row r="109" spans="3:14" x14ac:dyDescent="0.2">
      <c r="C109" s="136"/>
      <c r="D109" s="25"/>
      <c r="E109" s="12"/>
      <c r="F109" s="77" t="s">
        <v>74</v>
      </c>
      <c r="G109" s="104">
        <f>'Benchmarking Calculations'!G75</f>
        <v>3035789.2800000003</v>
      </c>
      <c r="H109" s="78">
        <f>SUM(H92:H108)</f>
        <v>3301228</v>
      </c>
      <c r="I109" s="78">
        <f t="shared" ref="I109:M109" si="13">SUM(I92:I108)</f>
        <v>3594531.4512975062</v>
      </c>
      <c r="J109" s="78">
        <f t="shared" si="13"/>
        <v>3706368.4112975062</v>
      </c>
      <c r="K109" s="78">
        <f t="shared" si="13"/>
        <v>0</v>
      </c>
      <c r="L109" s="78">
        <f t="shared" si="13"/>
        <v>0</v>
      </c>
      <c r="M109" s="78">
        <f t="shared" si="13"/>
        <v>0</v>
      </c>
      <c r="N109" s="137" t="s">
        <v>29</v>
      </c>
    </row>
    <row r="110" spans="3:14" x14ac:dyDescent="0.2">
      <c r="C110" s="136"/>
      <c r="D110" s="25"/>
      <c r="E110" s="75">
        <v>5635</v>
      </c>
      <c r="F110" s="75" t="s">
        <v>75</v>
      </c>
      <c r="G110" s="57">
        <f>'Benchmarking Calculations'!G76</f>
        <v>187848</v>
      </c>
      <c r="H110" s="119">
        <f>'Benchmarking Calculations'!H76</f>
        <v>181320</v>
      </c>
      <c r="I110" s="119">
        <f>'Benchmarking Calculations'!I76</f>
        <v>191605</v>
      </c>
      <c r="J110" s="119">
        <f>'Benchmarking Calculations'!J76</f>
        <v>191605</v>
      </c>
      <c r="K110" s="119">
        <f>'Benchmarking Calculations'!K76</f>
        <v>0</v>
      </c>
      <c r="L110" s="119">
        <f>'Benchmarking Calculations'!L76</f>
        <v>0</v>
      </c>
      <c r="M110" s="119">
        <f>'Benchmarking Calculations'!M76</f>
        <v>0</v>
      </c>
      <c r="N110" s="132" t="s">
        <v>172</v>
      </c>
    </row>
    <row r="111" spans="3:14" x14ac:dyDescent="0.2">
      <c r="C111" s="136"/>
      <c r="D111" s="25"/>
      <c r="E111" s="105">
        <v>6210</v>
      </c>
      <c r="F111" s="105" t="s">
        <v>76</v>
      </c>
      <c r="G111" s="106">
        <f>'Benchmarking Calculations'!G77</f>
        <v>0</v>
      </c>
      <c r="H111" s="119">
        <f>'Benchmarking Calculations'!H77</f>
        <v>0</v>
      </c>
      <c r="I111" s="119">
        <f>'Benchmarking Calculations'!I77</f>
        <v>0</v>
      </c>
      <c r="J111" s="119">
        <f>'Benchmarking Calculations'!J77</f>
        <v>0</v>
      </c>
      <c r="K111" s="119">
        <f>'Benchmarking Calculations'!K77</f>
        <v>0</v>
      </c>
      <c r="L111" s="119">
        <f>'Benchmarking Calculations'!L77</f>
        <v>0</v>
      </c>
      <c r="M111" s="119">
        <f>'Benchmarking Calculations'!M77</f>
        <v>0</v>
      </c>
      <c r="N111" s="132" t="s">
        <v>172</v>
      </c>
    </row>
    <row r="112" spans="3:14" x14ac:dyDescent="0.2">
      <c r="C112" s="136"/>
      <c r="D112" s="25"/>
      <c r="E112" s="25"/>
      <c r="F112" s="77" t="s">
        <v>77</v>
      </c>
      <c r="G112" s="104">
        <f>'Benchmarking Calculations'!G78</f>
        <v>187848</v>
      </c>
      <c r="H112" s="78">
        <f>H110+H111</f>
        <v>181320</v>
      </c>
      <c r="I112" s="78">
        <f t="shared" ref="I112:M112" si="14">I110+I111</f>
        <v>191605</v>
      </c>
      <c r="J112" s="78">
        <f t="shared" si="14"/>
        <v>191605</v>
      </c>
      <c r="K112" s="78">
        <f t="shared" si="14"/>
        <v>0</v>
      </c>
      <c r="L112" s="78">
        <f t="shared" si="14"/>
        <v>0</v>
      </c>
      <c r="M112" s="78">
        <f t="shared" si="14"/>
        <v>0</v>
      </c>
      <c r="N112" s="137" t="s">
        <v>29</v>
      </c>
    </row>
    <row r="113" spans="3:14" x14ac:dyDescent="0.2">
      <c r="C113" s="136"/>
      <c r="D113" s="25"/>
      <c r="E113" s="107">
        <v>5515</v>
      </c>
      <c r="F113" s="105" t="s">
        <v>78</v>
      </c>
      <c r="G113" s="106">
        <f>'Benchmarking Calculations'!G79</f>
        <v>0</v>
      </c>
      <c r="H113" s="119">
        <f>'Benchmarking Calculations'!H79</f>
        <v>0</v>
      </c>
      <c r="I113" s="119">
        <f>'Benchmarking Calculations'!I79</f>
        <v>0</v>
      </c>
      <c r="J113" s="119">
        <f>'Benchmarking Calculations'!J79</f>
        <v>0</v>
      </c>
      <c r="K113" s="119">
        <f>'Benchmarking Calculations'!K79</f>
        <v>0</v>
      </c>
      <c r="L113" s="119">
        <f>'Benchmarking Calculations'!L79</f>
        <v>0</v>
      </c>
      <c r="M113" s="119">
        <f>'Benchmarking Calculations'!M79</f>
        <v>0</v>
      </c>
      <c r="N113" s="132" t="s">
        <v>172</v>
      </c>
    </row>
    <row r="114" spans="3:14" x14ac:dyDescent="0.2">
      <c r="C114" s="136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15">I113</f>
        <v>0</v>
      </c>
      <c r="J114" s="78">
        <f t="shared" si="15"/>
        <v>0</v>
      </c>
      <c r="K114" s="78">
        <f t="shared" si="15"/>
        <v>0</v>
      </c>
      <c r="L114" s="78">
        <f t="shared" si="15"/>
        <v>0</v>
      </c>
      <c r="M114" s="78">
        <f t="shared" si="15"/>
        <v>0</v>
      </c>
      <c r="N114" s="137" t="s">
        <v>29</v>
      </c>
    </row>
    <row r="115" spans="3:14" x14ac:dyDescent="0.2">
      <c r="C115" s="136"/>
      <c r="D115" s="74"/>
      <c r="E115" s="149" t="s">
        <v>198</v>
      </c>
      <c r="F115" s="77" t="s">
        <v>80</v>
      </c>
      <c r="G115" s="57">
        <f>'Benchmarking Calculations'!G81</f>
        <v>14176616.75</v>
      </c>
      <c r="H115" s="78">
        <f>H114+H112+H109+H91+H86+H78+H64</f>
        <v>14312013</v>
      </c>
      <c r="I115" s="78">
        <f t="shared" ref="I115:M115" si="16">I114+I112+I109+I91+I86+I78+I64</f>
        <v>14888492.611297507</v>
      </c>
      <c r="J115" s="78">
        <f t="shared" si="16"/>
        <v>15621401.031297505</v>
      </c>
      <c r="K115" s="78">
        <f t="shared" si="16"/>
        <v>0</v>
      </c>
      <c r="L115" s="78">
        <f t="shared" si="16"/>
        <v>0</v>
      </c>
      <c r="M115" s="78">
        <f t="shared" si="16"/>
        <v>0</v>
      </c>
      <c r="N115" s="137" t="s">
        <v>29</v>
      </c>
    </row>
    <row r="116" spans="3:14" x14ac:dyDescent="0.2">
      <c r="C116" s="136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2"/>
    </row>
    <row r="117" spans="3:14" x14ac:dyDescent="0.2">
      <c r="C117" s="136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2"/>
    </row>
    <row r="118" spans="3:14" x14ac:dyDescent="0.2">
      <c r="C118" s="136"/>
      <c r="D118" s="81"/>
      <c r="E118" s="81"/>
      <c r="F118" s="58">
        <v>5014</v>
      </c>
      <c r="G118" s="57">
        <f>G47</f>
        <v>184625.99</v>
      </c>
      <c r="H118" s="57">
        <f t="shared" ref="H118:L118" si="17">H47</f>
        <v>278465</v>
      </c>
      <c r="I118" s="57">
        <f t="shared" si="17"/>
        <v>214205.48</v>
      </c>
      <c r="J118" s="57">
        <f t="shared" si="17"/>
        <v>174090</v>
      </c>
      <c r="K118" s="57">
        <f t="shared" si="17"/>
        <v>0</v>
      </c>
      <c r="L118" s="57">
        <f t="shared" si="17"/>
        <v>0</v>
      </c>
      <c r="M118" s="57">
        <f t="shared" ref="M118" si="18">M47</f>
        <v>0</v>
      </c>
      <c r="N118" s="137" t="s">
        <v>29</v>
      </c>
    </row>
    <row r="119" spans="3:14" x14ac:dyDescent="0.2">
      <c r="C119" s="136"/>
      <c r="D119" s="81"/>
      <c r="F119" s="58">
        <v>5015</v>
      </c>
      <c r="G119" s="57">
        <f>G48</f>
        <v>104523</v>
      </c>
      <c r="H119" s="57">
        <f t="shared" ref="H119:L119" si="19">H48</f>
        <v>127891</v>
      </c>
      <c r="I119" s="57">
        <f t="shared" si="19"/>
        <v>91005</v>
      </c>
      <c r="J119" s="57">
        <f t="shared" si="19"/>
        <v>96218</v>
      </c>
      <c r="K119" s="57">
        <f t="shared" si="19"/>
        <v>0</v>
      </c>
      <c r="L119" s="57">
        <f t="shared" si="19"/>
        <v>0</v>
      </c>
      <c r="M119" s="57">
        <f t="shared" ref="M119" si="20">M48</f>
        <v>0</v>
      </c>
      <c r="N119" s="137" t="s">
        <v>29</v>
      </c>
    </row>
    <row r="120" spans="3:14" x14ac:dyDescent="0.2">
      <c r="C120" s="136"/>
      <c r="D120" s="81"/>
      <c r="F120" s="58">
        <v>5112</v>
      </c>
      <c r="G120" s="57">
        <f>G67</f>
        <v>93559.719999999987</v>
      </c>
      <c r="H120" s="57">
        <f t="shared" ref="H120:L120" si="21">H67</f>
        <v>44191</v>
      </c>
      <c r="I120" s="57">
        <f t="shared" si="21"/>
        <v>39256.11</v>
      </c>
      <c r="J120" s="57">
        <f t="shared" si="21"/>
        <v>39467</v>
      </c>
      <c r="K120" s="57">
        <f t="shared" si="21"/>
        <v>0</v>
      </c>
      <c r="L120" s="57">
        <f t="shared" si="21"/>
        <v>0</v>
      </c>
      <c r="M120" s="57">
        <f t="shared" ref="M120" si="22">M67</f>
        <v>0</v>
      </c>
      <c r="N120" s="137" t="s">
        <v>29</v>
      </c>
    </row>
    <row r="121" spans="3:14" x14ac:dyDescent="0.2">
      <c r="C121" s="136"/>
      <c r="D121" s="74"/>
      <c r="E121" s="149" t="s">
        <v>199</v>
      </c>
      <c r="F121" s="77" t="s">
        <v>82</v>
      </c>
      <c r="G121" s="104">
        <f>'Benchmarking Calculations'!G87</f>
        <v>382708.70999999996</v>
      </c>
      <c r="H121" s="104">
        <f>H47+H48+H67</f>
        <v>450547</v>
      </c>
      <c r="I121" s="104">
        <f t="shared" ref="I121:L121" si="23">I47+I48+I67</f>
        <v>344466.58999999997</v>
      </c>
      <c r="J121" s="104">
        <f t="shared" si="23"/>
        <v>309775</v>
      </c>
      <c r="K121" s="104">
        <f t="shared" si="23"/>
        <v>0</v>
      </c>
      <c r="L121" s="104">
        <f t="shared" si="23"/>
        <v>0</v>
      </c>
      <c r="M121" s="104">
        <f t="shared" ref="M121" si="24">M47+M48+M67</f>
        <v>0</v>
      </c>
      <c r="N121" s="150" t="s">
        <v>29</v>
      </c>
    </row>
    <row r="122" spans="3:14" x14ac:dyDescent="0.2">
      <c r="C122" s="136"/>
      <c r="D122" s="74"/>
      <c r="E122" s="151" t="s">
        <v>200</v>
      </c>
      <c r="F122" s="77" t="s">
        <v>83</v>
      </c>
      <c r="G122" s="104">
        <f>'Benchmarking Calculations'!G88</f>
        <v>18336.239999999998</v>
      </c>
      <c r="H122" s="152">
        <f>'Benchmarking Calculations'!H88</f>
        <v>17420.419999999925</v>
      </c>
      <c r="I122" s="152">
        <f>'Benchmarking Calculations'!I88</f>
        <v>17768.828399999926</v>
      </c>
      <c r="J122" s="152">
        <f>'Benchmarking Calculations'!J88</f>
        <v>18124.204967999925</v>
      </c>
      <c r="K122" s="152">
        <f>'Benchmarking Calculations'!K88</f>
        <v>0</v>
      </c>
      <c r="L122" s="152">
        <f>'Benchmarking Calculations'!L88</f>
        <v>0</v>
      </c>
      <c r="M122" s="152">
        <f>'Benchmarking Calculations'!M88</f>
        <v>0</v>
      </c>
      <c r="N122" s="153" t="s">
        <v>172</v>
      </c>
    </row>
    <row r="123" spans="3:14" ht="13.5" thickBot="1" x14ac:dyDescent="0.25">
      <c r="C123" s="138"/>
      <c r="D123" s="139"/>
      <c r="E123" s="139"/>
      <c r="F123" s="140"/>
      <c r="G123" s="134"/>
      <c r="H123" s="141"/>
      <c r="I123" s="142"/>
      <c r="J123" s="72"/>
      <c r="K123" s="72"/>
      <c r="L123" s="72"/>
      <c r="M123" s="72"/>
      <c r="N123" s="135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6"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scale="46" fitToHeight="0" orientation="portrait" r:id="rId1"/>
  <rowBreaks count="1" manualBreakCount="1">
    <brk id="64" min="1" max="1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282"/>
  <sheetViews>
    <sheetView zoomScale="80" zoomScaleNormal="80" workbookViewId="0">
      <pane ySplit="5" topLeftCell="A160" activePane="bottomLeft" state="frozen"/>
      <selection activeCell="G33" sqref="G33"/>
      <selection pane="bottomLeft" activeCell="H137" sqref="H137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0" hidden="1" customWidth="1"/>
    <col min="15" max="15" width="9.140625" style="108" hidden="1" customWidth="1"/>
    <col min="16" max="16" width="16.140625" style="108" hidden="1" customWidth="1"/>
    <col min="17" max="17" width="19" style="108" hidden="1" customWidth="1"/>
    <col min="18" max="18" width="18.140625" style="108" hidden="1" customWidth="1"/>
    <col min="19" max="19" width="14.28515625" style="108" hidden="1" customWidth="1"/>
    <col min="20" max="20" width="17.140625" style="108" hidden="1" customWidth="1"/>
    <col min="21" max="23" width="14.28515625" style="108" hidden="1" customWidth="1"/>
    <col min="24" max="24" width="17.140625" style="108" hidden="1" customWidth="1"/>
    <col min="25" max="25" width="21.42578125" style="108" hidden="1" customWidth="1"/>
    <col min="26" max="26" width="21" style="108" hidden="1" customWidth="1"/>
    <col min="27" max="27" width="19.42578125" style="108" hidden="1" customWidth="1"/>
    <col min="28" max="29" width="14.28515625" style="108" hidden="1" customWidth="1"/>
    <col min="30" max="30" width="16.42578125" style="108" hidden="1" customWidth="1"/>
    <col min="31" max="31" width="15.42578125" style="108" hidden="1" customWidth="1"/>
    <col min="32" max="32" width="19.28515625" style="108" hidden="1" customWidth="1"/>
    <col min="33" max="33" width="18.85546875" style="108" hidden="1" customWidth="1"/>
    <col min="34" max="34" width="18.140625" style="108" hidden="1" customWidth="1"/>
    <col min="35" max="35" width="14.28515625" style="108" hidden="1" customWidth="1"/>
    <col min="36" max="36" width="18.28515625" style="108" hidden="1" customWidth="1"/>
    <col min="37" max="37" width="14.28515625" style="108" hidden="1" customWidth="1"/>
    <col min="38" max="38" width="17.42578125" style="108" hidden="1" customWidth="1"/>
    <col min="39" max="39" width="16.5703125" style="108" hidden="1" customWidth="1"/>
    <col min="40" max="40" width="18.7109375" style="108" hidden="1" customWidth="1"/>
    <col min="41" max="41" width="16.7109375" style="108" hidden="1" customWidth="1"/>
    <col min="42" max="43" width="13.42578125" style="108" hidden="1" customWidth="1"/>
    <col min="44" max="44" width="19.140625" style="108" hidden="1" customWidth="1"/>
    <col min="45" max="45" width="15.85546875" style="108" hidden="1" customWidth="1"/>
    <col min="46" max="46" width="17.28515625" style="108" hidden="1" customWidth="1"/>
    <col min="47" max="47" width="18" style="108" hidden="1" customWidth="1"/>
    <col min="48" max="48" width="13.42578125" style="108" hidden="1" customWidth="1"/>
    <col min="49" max="49" width="17.28515625" style="108" hidden="1" customWidth="1"/>
    <col min="50" max="50" width="13.42578125" style="108" hidden="1" customWidth="1"/>
    <col min="51" max="51" width="17.28515625" style="108" hidden="1" customWidth="1"/>
    <col min="52" max="52" width="18.140625" style="108" hidden="1" customWidth="1"/>
    <col min="53" max="53" width="21.28515625" style="108" hidden="1" customWidth="1"/>
    <col min="54" max="54" width="18.42578125" style="108" hidden="1" customWidth="1"/>
    <col min="55" max="55" width="18" style="108" hidden="1" customWidth="1"/>
    <col min="56" max="60" width="13.42578125" style="108" hidden="1" customWidth="1"/>
    <col min="61" max="61" width="14.85546875" style="108" hidden="1" customWidth="1"/>
    <col min="62" max="62" width="15.85546875" style="108" hidden="1" customWidth="1"/>
    <col min="63" max="63" width="13.42578125" style="108" hidden="1" customWidth="1"/>
    <col min="64" max="64" width="16.42578125" style="108" hidden="1" customWidth="1"/>
    <col min="65" max="65" width="16.140625" style="108" hidden="1" customWidth="1"/>
    <col min="66" max="69" width="13.42578125" style="108" hidden="1" customWidth="1"/>
    <col min="70" max="70" width="15.28515625" style="108" hidden="1" customWidth="1"/>
    <col min="71" max="71" width="13.42578125" style="108" hidden="1" customWidth="1"/>
    <col min="72" max="72" width="15.85546875" style="108" hidden="1" customWidth="1"/>
    <col min="73" max="73" width="13.42578125" style="108" hidden="1" customWidth="1"/>
    <col min="74" max="74" width="16.140625" style="108" hidden="1" customWidth="1"/>
    <col min="75" max="78" width="13.42578125" style="108" hidden="1" customWidth="1"/>
    <col min="79" max="79" width="17.140625" style="108" hidden="1" customWidth="1"/>
    <col min="80" max="83" width="13.42578125" style="108" hidden="1" customWidth="1"/>
    <col min="84" max="150" width="9.140625" hidden="1" customWidth="1"/>
    <col min="155" max="160" width="12" bestFit="1" customWidth="1"/>
  </cols>
  <sheetData>
    <row r="1" spans="1:149" ht="24" thickBot="1" x14ac:dyDescent="0.4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O1" s="116"/>
      <c r="P1" s="182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</row>
    <row r="2" spans="1:149" ht="21" thickTop="1" thickBot="1" x14ac:dyDescent="0.4">
      <c r="A2" s="1"/>
      <c r="B2" s="95"/>
      <c r="C2" s="3"/>
      <c r="D2" s="3"/>
      <c r="E2" s="9"/>
      <c r="Q2" s="157"/>
      <c r="R2" s="157"/>
    </row>
    <row r="3" spans="1:149" s="187" customFormat="1" ht="75.75" customHeight="1" thickBot="1" x14ac:dyDescent="0.3">
      <c r="B3" s="243" t="s">
        <v>1</v>
      </c>
      <c r="C3" s="243"/>
      <c r="D3" s="185"/>
      <c r="E3" s="96" t="str">
        <f>'Model Inputs'!F5</f>
        <v>Waterloo North Hydro Inc.</v>
      </c>
      <c r="F3" s="188"/>
      <c r="G3" s="188"/>
      <c r="H3" s="189"/>
      <c r="I3" s="189"/>
      <c r="J3" s="189"/>
      <c r="K3" s="189"/>
      <c r="N3" s="201"/>
      <c r="O3" s="159">
        <v>1</v>
      </c>
      <c r="P3" s="159" t="s">
        <v>267</v>
      </c>
      <c r="Q3" s="186" t="s">
        <v>268</v>
      </c>
      <c r="R3" s="186" t="s">
        <v>203</v>
      </c>
      <c r="S3" s="186" t="s">
        <v>204</v>
      </c>
      <c r="T3" s="186" t="s">
        <v>205</v>
      </c>
      <c r="U3" s="186" t="s">
        <v>206</v>
      </c>
      <c r="V3" s="186" t="s">
        <v>207</v>
      </c>
      <c r="W3" s="186" t="s">
        <v>208</v>
      </c>
      <c r="X3" s="186" t="s">
        <v>209</v>
      </c>
      <c r="Y3" s="186" t="s">
        <v>210</v>
      </c>
      <c r="Z3" s="186" t="s">
        <v>271</v>
      </c>
      <c r="AA3" s="186" t="s">
        <v>212</v>
      </c>
      <c r="AB3" s="186" t="s">
        <v>213</v>
      </c>
      <c r="AC3" s="186" t="s">
        <v>269</v>
      </c>
      <c r="AD3" s="186" t="s">
        <v>214</v>
      </c>
      <c r="AE3" s="186" t="s">
        <v>215</v>
      </c>
      <c r="AF3" s="186" t="s">
        <v>272</v>
      </c>
      <c r="AG3" s="186" t="s">
        <v>217</v>
      </c>
      <c r="AH3" s="186" t="s">
        <v>218</v>
      </c>
      <c r="AI3" s="186" t="s">
        <v>219</v>
      </c>
      <c r="AJ3" s="186" t="s">
        <v>220</v>
      </c>
      <c r="AK3" s="186" t="s">
        <v>221</v>
      </c>
      <c r="AL3" s="186" t="s">
        <v>222</v>
      </c>
      <c r="AM3" s="186" t="s">
        <v>223</v>
      </c>
      <c r="AN3" s="186" t="s">
        <v>224</v>
      </c>
      <c r="AO3" s="186" t="s">
        <v>225</v>
      </c>
      <c r="AP3" s="186" t="s">
        <v>226</v>
      </c>
      <c r="AQ3" s="186" t="s">
        <v>227</v>
      </c>
      <c r="AR3" s="186" t="s">
        <v>228</v>
      </c>
      <c r="AS3" s="186" t="s">
        <v>229</v>
      </c>
      <c r="AT3" s="186" t="s">
        <v>270</v>
      </c>
      <c r="AU3" s="186" t="s">
        <v>230</v>
      </c>
      <c r="AV3" s="186" t="s">
        <v>231</v>
      </c>
      <c r="AW3" s="186" t="s">
        <v>232</v>
      </c>
      <c r="AX3" s="186" t="s">
        <v>233</v>
      </c>
      <c r="AY3" s="186" t="s">
        <v>234</v>
      </c>
      <c r="AZ3" s="186" t="s">
        <v>235</v>
      </c>
      <c r="BA3" s="186" t="s">
        <v>236</v>
      </c>
      <c r="BB3" s="186" t="s">
        <v>237</v>
      </c>
      <c r="BC3" s="186" t="s">
        <v>238</v>
      </c>
      <c r="BD3" s="186" t="s">
        <v>239</v>
      </c>
      <c r="BE3" s="186" t="s">
        <v>240</v>
      </c>
      <c r="BF3" s="186" t="s">
        <v>241</v>
      </c>
      <c r="BG3" s="186" t="s">
        <v>242</v>
      </c>
      <c r="BH3" s="186" t="s">
        <v>243</v>
      </c>
      <c r="BI3" s="186" t="s">
        <v>244</v>
      </c>
      <c r="BJ3" s="186" t="s">
        <v>245</v>
      </c>
      <c r="BK3" s="186" t="s">
        <v>246</v>
      </c>
      <c r="BL3" s="186" t="s">
        <v>247</v>
      </c>
      <c r="BM3" s="186" t="s">
        <v>248</v>
      </c>
      <c r="BN3" s="186" t="s">
        <v>249</v>
      </c>
      <c r="BO3" s="186" t="s">
        <v>250</v>
      </c>
      <c r="BP3" s="186" t="s">
        <v>251</v>
      </c>
      <c r="BQ3" s="186" t="s">
        <v>252</v>
      </c>
      <c r="BR3" s="186" t="s">
        <v>253</v>
      </c>
      <c r="BS3" s="186" t="s">
        <v>254</v>
      </c>
      <c r="BT3" s="186" t="s">
        <v>255</v>
      </c>
      <c r="BU3" s="186" t="s">
        <v>256</v>
      </c>
      <c r="BV3" s="186" t="s">
        <v>257</v>
      </c>
      <c r="BW3" s="186" t="s">
        <v>258</v>
      </c>
      <c r="BX3" s="186" t="s">
        <v>259</v>
      </c>
      <c r="BY3" s="186" t="s">
        <v>260</v>
      </c>
      <c r="BZ3" s="186" t="s">
        <v>261</v>
      </c>
      <c r="CA3" s="186" t="s">
        <v>262</v>
      </c>
      <c r="CB3" s="186" t="s">
        <v>263</v>
      </c>
      <c r="CC3" s="186" t="s">
        <v>264</v>
      </c>
      <c r="CD3" s="159"/>
      <c r="CE3" s="159"/>
      <c r="CF3" s="159"/>
      <c r="CG3" s="159"/>
      <c r="CH3" s="159"/>
      <c r="CI3" s="159"/>
      <c r="CJ3" s="159"/>
      <c r="CK3" s="159"/>
      <c r="CL3" s="159"/>
    </row>
    <row r="4" spans="1:149" s="221" customFormat="1" ht="101.25" customHeight="1" x14ac:dyDescent="0.25">
      <c r="E4" s="222"/>
      <c r="F4" s="244"/>
      <c r="G4" s="245"/>
      <c r="H4" s="246" t="s">
        <v>2</v>
      </c>
      <c r="I4" s="247"/>
      <c r="J4" s="247"/>
      <c r="K4" s="247"/>
      <c r="L4" s="247"/>
      <c r="M4" s="247"/>
      <c r="N4" s="223"/>
      <c r="O4" s="224">
        <v>2</v>
      </c>
      <c r="P4" s="224"/>
      <c r="Q4" s="225"/>
      <c r="R4" s="225"/>
      <c r="S4" s="225"/>
      <c r="T4" s="225"/>
      <c r="U4" s="225"/>
      <c r="V4" s="225"/>
      <c r="W4" s="225"/>
      <c r="X4" s="225"/>
      <c r="Y4" s="225"/>
      <c r="Z4" s="186" t="s">
        <v>211</v>
      </c>
      <c r="AA4" s="225"/>
      <c r="AB4" s="225"/>
      <c r="AC4" s="225"/>
      <c r="AD4" s="225"/>
      <c r="AE4" s="225"/>
      <c r="AF4" s="186" t="s">
        <v>216</v>
      </c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</row>
    <row r="5" spans="1:149" ht="38.25" x14ac:dyDescent="0.2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4">
        <f>G5+1</f>
        <v>2019</v>
      </c>
      <c r="I5" s="84">
        <f t="shared" ref="I5:M5" si="0">H5+1</f>
        <v>2020</v>
      </c>
      <c r="J5" s="84">
        <f t="shared" si="0"/>
        <v>2021</v>
      </c>
      <c r="K5" s="84">
        <f t="shared" si="0"/>
        <v>2022</v>
      </c>
      <c r="L5" s="84">
        <f t="shared" si="0"/>
        <v>2023</v>
      </c>
      <c r="M5" s="84">
        <f t="shared" si="0"/>
        <v>2024</v>
      </c>
      <c r="N5" s="203" t="s">
        <v>265</v>
      </c>
      <c r="O5" s="108">
        <v>3</v>
      </c>
      <c r="CG5" s="51"/>
    </row>
    <row r="6" spans="1:149" x14ac:dyDescent="0.2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spans="1:149" s="3" customFormat="1" ht="13.5" thickBot="1" x14ac:dyDescent="0.25">
      <c r="A7" s="241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124"/>
      <c r="N7" s="204"/>
      <c r="O7" s="108">
        <v>5</v>
      </c>
      <c r="P7" s="108">
        <v>0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2">
      <c r="A8" s="8"/>
      <c r="B8" s="3"/>
      <c r="O8" s="108">
        <v>6</v>
      </c>
      <c r="P8" s="108">
        <v>0</v>
      </c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1:149" x14ac:dyDescent="0.2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149" s="3" customFormat="1" outlineLevel="1" x14ac:dyDescent="0.2">
      <c r="A10" s="8"/>
      <c r="B10" s="9">
        <v>2</v>
      </c>
      <c r="C10" s="19">
        <v>5005</v>
      </c>
      <c r="D10" s="184">
        <v>2</v>
      </c>
      <c r="E10" s="19" t="s">
        <v>8</v>
      </c>
      <c r="F10" s="98"/>
      <c r="G10" s="98">
        <v>1168935.04</v>
      </c>
      <c r="H10" s="98">
        <v>1049431</v>
      </c>
      <c r="I10" s="98">
        <v>1180387.01</v>
      </c>
      <c r="J10" s="98">
        <v>1393095</v>
      </c>
      <c r="K10" s="98"/>
      <c r="L10" s="98"/>
      <c r="M10" s="98"/>
      <c r="N10" s="93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6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3">
        <v>170325.02</v>
      </c>
      <c r="AM10" s="93">
        <v>2108871.2000000002</v>
      </c>
      <c r="AN10" s="93">
        <v>389815.02</v>
      </c>
      <c r="AO10" s="93">
        <v>0</v>
      </c>
      <c r="AP10" s="93">
        <v>0</v>
      </c>
      <c r="AQ10" s="93">
        <v>0</v>
      </c>
      <c r="AR10" s="93">
        <v>3027425.53</v>
      </c>
      <c r="AS10" s="93">
        <v>0</v>
      </c>
      <c r="AT10" s="93">
        <v>278243.96000000002</v>
      </c>
      <c r="AU10" s="93">
        <v>0</v>
      </c>
      <c r="AV10" s="93">
        <v>216344</v>
      </c>
      <c r="AW10" s="93">
        <v>2238345.0499999998</v>
      </c>
      <c r="AX10" s="93">
        <v>102982.45</v>
      </c>
      <c r="AY10" s="93">
        <v>0</v>
      </c>
      <c r="AZ10" s="93">
        <v>2178397.8199999998</v>
      </c>
      <c r="BA10" s="93"/>
      <c r="BB10" s="93">
        <v>0</v>
      </c>
      <c r="BC10" s="93">
        <v>565720.54</v>
      </c>
      <c r="BD10" s="93">
        <v>883891.94</v>
      </c>
      <c r="BE10" s="93">
        <v>36084.050000000003</v>
      </c>
      <c r="BF10" s="93">
        <v>0</v>
      </c>
      <c r="BG10" s="93">
        <v>224272.94</v>
      </c>
      <c r="BH10" s="93">
        <v>2889328.23</v>
      </c>
      <c r="BI10" s="93">
        <v>0</v>
      </c>
      <c r="BJ10" s="93">
        <v>567485</v>
      </c>
      <c r="BK10" s="93">
        <v>781514</v>
      </c>
      <c r="BL10" s="93">
        <v>109143.24</v>
      </c>
      <c r="BM10" s="93">
        <v>1062515.76</v>
      </c>
      <c r="BN10" s="93">
        <v>513870.62</v>
      </c>
      <c r="BO10" s="93">
        <v>0</v>
      </c>
      <c r="BP10" s="93">
        <v>155577.06</v>
      </c>
      <c r="BQ10" s="93">
        <v>0</v>
      </c>
      <c r="BR10" s="93"/>
      <c r="BS10" s="93">
        <v>448973.65</v>
      </c>
      <c r="BT10" s="93">
        <v>126619.75</v>
      </c>
      <c r="BU10" s="93">
        <v>25122606.920000002</v>
      </c>
      <c r="BV10" s="93">
        <v>1073635</v>
      </c>
      <c r="BW10" s="93">
        <v>0</v>
      </c>
      <c r="BX10" s="93">
        <v>664584</v>
      </c>
      <c r="BY10" s="93">
        <v>298198.77</v>
      </c>
      <c r="BZ10" s="93">
        <v>151447.92000000001</v>
      </c>
      <c r="CA10" s="93">
        <v>34353</v>
      </c>
      <c r="CB10" s="93">
        <v>0</v>
      </c>
      <c r="CC10" s="93">
        <v>330221.48</v>
      </c>
      <c r="CD10" s="93"/>
      <c r="CE10" s="93"/>
      <c r="CF10" s="93"/>
      <c r="CG10" s="93">
        <v>14538841.82</v>
      </c>
      <c r="CH10" s="93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">
      <c r="A11" s="8"/>
      <c r="B11" s="9">
        <v>3</v>
      </c>
      <c r="C11" s="11">
        <v>5010</v>
      </c>
      <c r="D11" s="184">
        <v>3</v>
      </c>
      <c r="E11" s="11" t="s">
        <v>9</v>
      </c>
      <c r="F11" s="98"/>
      <c r="G11" s="98">
        <v>999917.81</v>
      </c>
      <c r="H11" s="227">
        <v>1152893</v>
      </c>
      <c r="I11" s="227">
        <v>1101759.07</v>
      </c>
      <c r="J11" s="227">
        <v>1145203</v>
      </c>
      <c r="K11" s="98"/>
      <c r="L11" s="98"/>
      <c r="M11" s="98"/>
      <c r="N11" s="197"/>
      <c r="O11" s="108">
        <v>9</v>
      </c>
      <c r="P11" s="108">
        <v>0</v>
      </c>
      <c r="Q11" s="155">
        <v>9261459.9100000001</v>
      </c>
      <c r="R11" s="155">
        <v>135356.12</v>
      </c>
      <c r="S11" s="155">
        <v>0</v>
      </c>
      <c r="T11" s="155">
        <v>433496</v>
      </c>
      <c r="U11" s="155">
        <v>86657.78</v>
      </c>
      <c r="V11" s="155">
        <v>2284096.7799999998</v>
      </c>
      <c r="W11" s="155">
        <v>281163.44</v>
      </c>
      <c r="X11" s="191">
        <v>12710.21</v>
      </c>
      <c r="Y11" s="155">
        <v>0</v>
      </c>
      <c r="Z11" s="155">
        <v>131865.9</v>
      </c>
      <c r="AA11" s="155">
        <v>0</v>
      </c>
      <c r="AB11" s="155">
        <v>525.02</v>
      </c>
      <c r="AC11" s="155">
        <v>767357.06</v>
      </c>
      <c r="AD11" s="155">
        <v>75271.94</v>
      </c>
      <c r="AE11" s="155">
        <v>198631.33</v>
      </c>
      <c r="AF11" s="155">
        <v>0</v>
      </c>
      <c r="AG11" s="155">
        <v>0</v>
      </c>
      <c r="AH11" s="155">
        <v>25779.57</v>
      </c>
      <c r="AI11" s="155">
        <v>60698.21</v>
      </c>
      <c r="AJ11" s="155">
        <v>0</v>
      </c>
      <c r="AK11" s="155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7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8"/>
      <c r="B12" s="9">
        <v>4</v>
      </c>
      <c r="C12" s="11">
        <v>5012</v>
      </c>
      <c r="D12" s="184">
        <v>4</v>
      </c>
      <c r="E12" s="11" t="s">
        <v>10</v>
      </c>
      <c r="F12" s="98"/>
      <c r="G12" s="98">
        <v>182336.08000000002</v>
      </c>
      <c r="H12" s="227">
        <v>190124</v>
      </c>
      <c r="I12" s="227">
        <v>226540.7</v>
      </c>
      <c r="J12" s="227">
        <v>223336</v>
      </c>
      <c r="K12" s="98"/>
      <c r="L12" s="98"/>
      <c r="M12" s="98"/>
      <c r="N12" s="197"/>
      <c r="O12" s="108">
        <v>10</v>
      </c>
      <c r="P12" s="108">
        <v>0</v>
      </c>
      <c r="Q12" s="155">
        <v>1489117.33</v>
      </c>
      <c r="R12" s="155">
        <v>83660.47</v>
      </c>
      <c r="S12" s="155">
        <v>0</v>
      </c>
      <c r="T12" s="155">
        <v>17298</v>
      </c>
      <c r="U12" s="155">
        <v>16024.46</v>
      </c>
      <c r="V12" s="155">
        <v>81708.5</v>
      </c>
      <c r="W12" s="155">
        <v>131040.78</v>
      </c>
      <c r="X12" s="191">
        <v>89529.96</v>
      </c>
      <c r="Y12" s="155">
        <v>0</v>
      </c>
      <c r="Z12" s="155">
        <v>31006.03</v>
      </c>
      <c r="AA12" s="155">
        <v>1187.07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55">
        <v>2711.68</v>
      </c>
      <c r="AH12" s="155">
        <v>0</v>
      </c>
      <c r="AI12" s="155">
        <v>15467.85</v>
      </c>
      <c r="AJ12" s="155">
        <v>60672.62</v>
      </c>
      <c r="AK12" s="155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7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8"/>
      <c r="B13" s="9">
        <v>5</v>
      </c>
      <c r="C13" s="11">
        <v>5014</v>
      </c>
      <c r="D13" s="184">
        <v>5</v>
      </c>
      <c r="E13" s="11" t="s">
        <v>11</v>
      </c>
      <c r="F13" s="98"/>
      <c r="G13" s="98">
        <v>184625.99</v>
      </c>
      <c r="H13" s="227">
        <v>278465</v>
      </c>
      <c r="I13" s="98">
        <v>214205.48</v>
      </c>
      <c r="J13" s="98">
        <v>174090</v>
      </c>
      <c r="K13" s="98"/>
      <c r="L13" s="98"/>
      <c r="M13" s="98"/>
      <c r="N13" s="197"/>
      <c r="O13" s="108">
        <v>11</v>
      </c>
      <c r="P13" s="108">
        <v>0</v>
      </c>
      <c r="Q13" s="155">
        <v>363307.15</v>
      </c>
      <c r="R13" s="155">
        <v>0</v>
      </c>
      <c r="S13" s="155">
        <v>0</v>
      </c>
      <c r="T13" s="155">
        <v>0</v>
      </c>
      <c r="U13" s="155">
        <v>2489.17</v>
      </c>
      <c r="V13" s="155">
        <v>0</v>
      </c>
      <c r="W13" s="155">
        <v>0</v>
      </c>
      <c r="X13" s="191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270171.8</v>
      </c>
      <c r="AF13" s="155">
        <v>0</v>
      </c>
      <c r="AG13" s="155">
        <v>0</v>
      </c>
      <c r="AH13" s="155">
        <v>0</v>
      </c>
      <c r="AI13" s="155">
        <v>2610.94</v>
      </c>
      <c r="AJ13" s="155">
        <v>41273.25</v>
      </c>
      <c r="AK13" s="155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7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8"/>
      <c r="B14" s="9">
        <v>6</v>
      </c>
      <c r="C14" s="11">
        <v>5015</v>
      </c>
      <c r="D14" s="184">
        <v>6</v>
      </c>
      <c r="E14" s="11" t="s">
        <v>12</v>
      </c>
      <c r="F14" s="98"/>
      <c r="G14" s="98">
        <v>104523</v>
      </c>
      <c r="H14" s="227">
        <v>127891</v>
      </c>
      <c r="I14" s="98">
        <v>91005</v>
      </c>
      <c r="J14" s="98">
        <v>96218</v>
      </c>
      <c r="K14" s="98"/>
      <c r="L14" s="98"/>
      <c r="M14" s="98"/>
      <c r="N14" s="197"/>
      <c r="O14" s="108">
        <v>12</v>
      </c>
      <c r="P14" s="108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86632.84</v>
      </c>
      <c r="V14" s="155">
        <v>0</v>
      </c>
      <c r="W14" s="155">
        <v>0</v>
      </c>
      <c r="X14" s="191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206212.91</v>
      </c>
      <c r="AD14" s="155">
        <v>0</v>
      </c>
      <c r="AE14" s="155">
        <v>1889.06</v>
      </c>
      <c r="AF14" s="155">
        <v>0</v>
      </c>
      <c r="AG14" s="155">
        <v>0</v>
      </c>
      <c r="AH14" s="155">
        <v>0</v>
      </c>
      <c r="AI14" s="155">
        <v>126451.39</v>
      </c>
      <c r="AJ14" s="155">
        <v>12504.63</v>
      </c>
      <c r="AK14" s="155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7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8"/>
      <c r="B15" s="9">
        <v>7</v>
      </c>
      <c r="C15" s="11">
        <v>5016</v>
      </c>
      <c r="D15" s="184">
        <v>7</v>
      </c>
      <c r="E15" s="11" t="s">
        <v>13</v>
      </c>
      <c r="F15" s="98"/>
      <c r="G15" s="98">
        <v>165258.65</v>
      </c>
      <c r="H15" s="227">
        <v>145279</v>
      </c>
      <c r="I15" s="228">
        <v>150637.82999999999</v>
      </c>
      <c r="J15" s="98">
        <v>218626</v>
      </c>
      <c r="K15" s="98"/>
      <c r="L15" s="98"/>
      <c r="M15" s="98"/>
      <c r="N15" s="197"/>
      <c r="O15" s="108">
        <v>13</v>
      </c>
      <c r="P15" s="108">
        <v>0</v>
      </c>
      <c r="Q15" s="155">
        <v>3263795.02</v>
      </c>
      <c r="R15" s="155">
        <v>30772.639999999999</v>
      </c>
      <c r="S15" s="155">
        <v>17455.009999999998</v>
      </c>
      <c r="T15" s="155">
        <v>27097</v>
      </c>
      <c r="U15" s="155">
        <v>0</v>
      </c>
      <c r="V15" s="155">
        <v>140412.18</v>
      </c>
      <c r="W15" s="155">
        <v>119543.89</v>
      </c>
      <c r="X15" s="191">
        <v>0</v>
      </c>
      <c r="Y15" s="155">
        <v>2281.09</v>
      </c>
      <c r="Z15" s="155">
        <v>0</v>
      </c>
      <c r="AA15" s="155">
        <v>0</v>
      </c>
      <c r="AB15" s="155">
        <v>8567.44</v>
      </c>
      <c r="AC15" s="155">
        <v>0</v>
      </c>
      <c r="AD15" s="155">
        <v>84042.97</v>
      </c>
      <c r="AE15" s="155">
        <v>0</v>
      </c>
      <c r="AF15" s="155">
        <v>0</v>
      </c>
      <c r="AG15" s="155">
        <v>12683.02</v>
      </c>
      <c r="AH15" s="155">
        <v>0</v>
      </c>
      <c r="AI15" s="155">
        <v>0</v>
      </c>
      <c r="AJ15" s="155">
        <v>0</v>
      </c>
      <c r="AK15" s="155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7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8"/>
      <c r="B16" s="9">
        <v>8</v>
      </c>
      <c r="C16" s="11">
        <v>5017</v>
      </c>
      <c r="D16" s="184">
        <v>8</v>
      </c>
      <c r="E16" s="11" t="s">
        <v>14</v>
      </c>
      <c r="F16" s="98"/>
      <c r="G16" s="98">
        <v>68244.260000000009</v>
      </c>
      <c r="H16" s="227">
        <v>70130</v>
      </c>
      <c r="I16" s="98">
        <v>96421.909999999989</v>
      </c>
      <c r="J16" s="98">
        <v>104007.62</v>
      </c>
      <c r="K16" s="98"/>
      <c r="L16" s="98"/>
      <c r="M16" s="98"/>
      <c r="N16" s="197"/>
      <c r="O16" s="108">
        <v>14</v>
      </c>
      <c r="P16" s="108">
        <v>0</v>
      </c>
      <c r="Q16" s="155">
        <v>426891.08</v>
      </c>
      <c r="R16" s="155">
        <v>28012.57</v>
      </c>
      <c r="S16" s="155">
        <v>0</v>
      </c>
      <c r="T16" s="155">
        <v>11220</v>
      </c>
      <c r="U16" s="155">
        <v>0</v>
      </c>
      <c r="V16" s="155">
        <v>237718.74</v>
      </c>
      <c r="W16" s="155">
        <v>11166.55</v>
      </c>
      <c r="X16" s="191">
        <v>14117.76</v>
      </c>
      <c r="Y16" s="155">
        <v>50</v>
      </c>
      <c r="Z16" s="155">
        <v>0</v>
      </c>
      <c r="AA16" s="155">
        <v>0</v>
      </c>
      <c r="AB16" s="155">
        <v>0</v>
      </c>
      <c r="AC16" s="155">
        <v>0</v>
      </c>
      <c r="AD16" s="155">
        <v>86237.64</v>
      </c>
      <c r="AE16" s="155">
        <v>0</v>
      </c>
      <c r="AF16" s="155">
        <v>0</v>
      </c>
      <c r="AG16" s="155">
        <v>21534.9</v>
      </c>
      <c r="AH16" s="155">
        <v>0</v>
      </c>
      <c r="AI16" s="155">
        <v>0</v>
      </c>
      <c r="AJ16" s="155">
        <v>0</v>
      </c>
      <c r="AK16" s="155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7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50" outlineLevel="1" x14ac:dyDescent="0.2">
      <c r="A17" s="8"/>
      <c r="B17" s="9">
        <v>9</v>
      </c>
      <c r="C17" s="11">
        <v>5020</v>
      </c>
      <c r="D17" s="184">
        <v>9</v>
      </c>
      <c r="E17" s="11" t="s">
        <v>15</v>
      </c>
      <c r="F17" s="98"/>
      <c r="G17" s="98">
        <v>984116.87</v>
      </c>
      <c r="H17" s="227">
        <v>880405</v>
      </c>
      <c r="I17" s="98">
        <v>728440.83</v>
      </c>
      <c r="J17" s="98">
        <v>678507</v>
      </c>
      <c r="K17" s="98"/>
      <c r="L17" s="98"/>
      <c r="M17" s="98"/>
      <c r="N17" s="197"/>
      <c r="O17" s="108">
        <v>15</v>
      </c>
      <c r="P17" s="108">
        <v>0</v>
      </c>
      <c r="Q17" s="155">
        <v>1734623.1</v>
      </c>
      <c r="R17" s="155">
        <v>131083.73000000001</v>
      </c>
      <c r="S17" s="155">
        <v>337679.9</v>
      </c>
      <c r="T17" s="155">
        <v>885157</v>
      </c>
      <c r="U17" s="155">
        <v>915.06</v>
      </c>
      <c r="V17" s="155">
        <v>285259.2</v>
      </c>
      <c r="W17" s="155">
        <v>95308.9</v>
      </c>
      <c r="X17" s="191">
        <v>4653.1899999999996</v>
      </c>
      <c r="Y17" s="155">
        <v>164676.78</v>
      </c>
      <c r="Z17" s="155">
        <v>34882.559999999998</v>
      </c>
      <c r="AA17" s="155">
        <v>0</v>
      </c>
      <c r="AB17" s="155">
        <v>21775.03</v>
      </c>
      <c r="AC17" s="155">
        <v>215913.38</v>
      </c>
      <c r="AD17" s="155">
        <v>149391.22</v>
      </c>
      <c r="AE17" s="155">
        <v>1870961.56</v>
      </c>
      <c r="AF17" s="155">
        <v>0</v>
      </c>
      <c r="AG17" s="155">
        <v>63063.89</v>
      </c>
      <c r="AH17" s="155">
        <v>78898.490000000005</v>
      </c>
      <c r="AI17" s="155">
        <v>12563.4</v>
      </c>
      <c r="AJ17" s="155">
        <v>-1967.29</v>
      </c>
      <c r="AK17" s="155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7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50" outlineLevel="1" x14ac:dyDescent="0.2">
      <c r="A18" s="8"/>
      <c r="B18" s="9">
        <v>10</v>
      </c>
      <c r="C18" s="11">
        <v>5025</v>
      </c>
      <c r="D18" s="184">
        <v>10</v>
      </c>
      <c r="E18" s="11" t="s">
        <v>16</v>
      </c>
      <c r="F18" s="98"/>
      <c r="G18" s="98">
        <v>237587</v>
      </c>
      <c r="H18" s="227">
        <v>240367</v>
      </c>
      <c r="I18" s="98">
        <v>277311</v>
      </c>
      <c r="J18" s="98">
        <v>285800</v>
      </c>
      <c r="K18" s="98"/>
      <c r="L18" s="98"/>
      <c r="M18" s="98"/>
      <c r="N18" s="197"/>
      <c r="O18" s="108">
        <v>16</v>
      </c>
      <c r="P18" s="108">
        <v>0</v>
      </c>
      <c r="Q18" s="155">
        <v>819334.25</v>
      </c>
      <c r="R18" s="155">
        <v>57191.86</v>
      </c>
      <c r="S18" s="155">
        <v>44188.19</v>
      </c>
      <c r="T18" s="155">
        <v>409796</v>
      </c>
      <c r="U18" s="155">
        <v>17687.21</v>
      </c>
      <c r="V18" s="155">
        <v>388705.52</v>
      </c>
      <c r="W18" s="155">
        <v>24423.34</v>
      </c>
      <c r="X18" s="191">
        <v>6672.47</v>
      </c>
      <c r="Y18" s="155">
        <v>-774.7</v>
      </c>
      <c r="Z18" s="155">
        <v>60435.85</v>
      </c>
      <c r="AA18" s="155">
        <v>0</v>
      </c>
      <c r="AB18" s="155">
        <v>-723.21</v>
      </c>
      <c r="AC18" s="155">
        <v>152590.59</v>
      </c>
      <c r="AD18" s="155">
        <v>4241.62</v>
      </c>
      <c r="AE18" s="155">
        <v>166321.4</v>
      </c>
      <c r="AF18" s="155">
        <v>0</v>
      </c>
      <c r="AG18" s="155">
        <v>42520.29</v>
      </c>
      <c r="AH18" s="155">
        <v>29966.93</v>
      </c>
      <c r="AI18" s="155">
        <v>36593.42</v>
      </c>
      <c r="AJ18" s="155">
        <v>2226.4299999999998</v>
      </c>
      <c r="AK18" s="155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7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50" outlineLevel="1" x14ac:dyDescent="0.2">
      <c r="A19" s="8"/>
      <c r="B19" s="9">
        <v>11</v>
      </c>
      <c r="C19" s="11">
        <v>5035</v>
      </c>
      <c r="D19" s="184">
        <v>11</v>
      </c>
      <c r="E19" s="11" t="s">
        <v>17</v>
      </c>
      <c r="F19" s="98"/>
      <c r="G19" s="98">
        <v>2928.58</v>
      </c>
      <c r="H19" s="227">
        <v>11434</v>
      </c>
      <c r="I19" s="98">
        <v>3184.17</v>
      </c>
      <c r="J19" s="98">
        <v>3234</v>
      </c>
      <c r="K19" s="98"/>
      <c r="L19" s="98"/>
      <c r="M19" s="98"/>
      <c r="N19" s="197"/>
      <c r="O19" s="108">
        <v>17</v>
      </c>
      <c r="P19" s="108">
        <v>0</v>
      </c>
      <c r="Q19" s="155">
        <v>124292.68</v>
      </c>
      <c r="R19" s="155">
        <v>3519.91</v>
      </c>
      <c r="S19" s="155">
        <v>0</v>
      </c>
      <c r="T19" s="155">
        <v>0</v>
      </c>
      <c r="U19" s="155">
        <v>0</v>
      </c>
      <c r="V19" s="155">
        <v>-48906.559999999998</v>
      </c>
      <c r="W19" s="155">
        <v>50123.12</v>
      </c>
      <c r="X19" s="191">
        <v>195.96</v>
      </c>
      <c r="Y19" s="155">
        <v>0</v>
      </c>
      <c r="Z19" s="155">
        <v>214.72</v>
      </c>
      <c r="AA19" s="155">
        <v>7666.61</v>
      </c>
      <c r="AB19" s="155">
        <v>8882.14</v>
      </c>
      <c r="AC19" s="155">
        <v>53095.94</v>
      </c>
      <c r="AD19" s="155">
        <v>351.07</v>
      </c>
      <c r="AE19" s="155">
        <v>62092.480000000003</v>
      </c>
      <c r="AF19" s="155">
        <v>0</v>
      </c>
      <c r="AG19" s="155">
        <v>18844.66</v>
      </c>
      <c r="AH19" s="155">
        <v>22082.37</v>
      </c>
      <c r="AI19" s="155">
        <v>13742.56</v>
      </c>
      <c r="AJ19" s="155">
        <v>0</v>
      </c>
      <c r="AK19" s="155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7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50" outlineLevel="1" x14ac:dyDescent="0.2">
      <c r="A20" s="8"/>
      <c r="B20" s="9">
        <v>12</v>
      </c>
      <c r="C20" s="11">
        <v>5040</v>
      </c>
      <c r="D20" s="184">
        <v>12</v>
      </c>
      <c r="E20" s="11" t="s">
        <v>18</v>
      </c>
      <c r="F20" s="98"/>
      <c r="G20" s="98">
        <v>77396.61</v>
      </c>
      <c r="H20" s="227">
        <v>89228</v>
      </c>
      <c r="I20" s="98">
        <v>62413.81</v>
      </c>
      <c r="J20" s="98">
        <v>71724</v>
      </c>
      <c r="K20" s="98"/>
      <c r="L20" s="98"/>
      <c r="M20" s="98"/>
      <c r="N20" s="197"/>
      <c r="O20" s="108">
        <v>18</v>
      </c>
      <c r="P20" s="108">
        <v>0</v>
      </c>
      <c r="Q20" s="155">
        <v>902001.33</v>
      </c>
      <c r="R20" s="155">
        <v>10075.18</v>
      </c>
      <c r="S20" s="155">
        <v>0</v>
      </c>
      <c r="T20" s="155">
        <v>523524</v>
      </c>
      <c r="U20" s="155">
        <v>406.38</v>
      </c>
      <c r="V20" s="155">
        <v>13716.73</v>
      </c>
      <c r="W20" s="155">
        <v>140058.54</v>
      </c>
      <c r="X20" s="191">
        <v>0</v>
      </c>
      <c r="Y20" s="155">
        <v>0</v>
      </c>
      <c r="Z20" s="155">
        <v>8677.64</v>
      </c>
      <c r="AA20" s="155">
        <v>0</v>
      </c>
      <c r="AB20" s="155">
        <v>155928.51999999999</v>
      </c>
      <c r="AC20" s="155">
        <v>61999.14</v>
      </c>
      <c r="AD20" s="155">
        <v>218939.11</v>
      </c>
      <c r="AE20" s="155">
        <v>986133.41</v>
      </c>
      <c r="AF20" s="155">
        <v>0</v>
      </c>
      <c r="AG20" s="155">
        <v>41263.32</v>
      </c>
      <c r="AH20" s="155">
        <v>43237.14</v>
      </c>
      <c r="AI20" s="155">
        <v>6323.44</v>
      </c>
      <c r="AJ20" s="155">
        <v>10488.19</v>
      </c>
      <c r="AK20" s="155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7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50" ht="15.75" outlineLevel="1" x14ac:dyDescent="0.25">
      <c r="A21" s="8"/>
      <c r="B21" s="9">
        <v>13</v>
      </c>
      <c r="C21" s="11">
        <v>5045</v>
      </c>
      <c r="D21" s="184">
        <v>13</v>
      </c>
      <c r="E21" s="11" t="s">
        <v>19</v>
      </c>
      <c r="F21" s="98"/>
      <c r="G21" s="98">
        <v>30008</v>
      </c>
      <c r="H21" s="227">
        <v>40103</v>
      </c>
      <c r="I21" s="229">
        <v>29128</v>
      </c>
      <c r="J21" s="98">
        <v>31448</v>
      </c>
      <c r="K21" s="98"/>
      <c r="L21" s="98"/>
      <c r="M21" s="98"/>
      <c r="N21" s="197"/>
      <c r="O21" s="108">
        <v>19</v>
      </c>
      <c r="P21" s="108">
        <v>0</v>
      </c>
      <c r="Q21" s="155">
        <v>1275467.3700000001</v>
      </c>
      <c r="R21" s="155">
        <v>0</v>
      </c>
      <c r="S21" s="155">
        <v>0</v>
      </c>
      <c r="T21" s="155">
        <v>142542</v>
      </c>
      <c r="U21" s="155">
        <v>110779.93</v>
      </c>
      <c r="V21" s="155">
        <v>281624.12</v>
      </c>
      <c r="W21" s="155">
        <v>108514.3</v>
      </c>
      <c r="X21" s="191">
        <v>337.5</v>
      </c>
      <c r="Y21" s="155">
        <v>0</v>
      </c>
      <c r="Z21" s="155">
        <v>1982.4</v>
      </c>
      <c r="AA21" s="155">
        <v>0</v>
      </c>
      <c r="AB21" s="155">
        <v>0</v>
      </c>
      <c r="AC21" s="155">
        <v>120057.14</v>
      </c>
      <c r="AD21" s="155">
        <v>343336.06</v>
      </c>
      <c r="AE21" s="155">
        <v>276621.18</v>
      </c>
      <c r="AF21" s="155">
        <v>0</v>
      </c>
      <c r="AG21" s="155">
        <v>23821.82</v>
      </c>
      <c r="AH21" s="155">
        <v>22276.31</v>
      </c>
      <c r="AI21" s="155">
        <v>324.13</v>
      </c>
      <c r="AJ21" s="155">
        <v>674.92</v>
      </c>
      <c r="AK21" s="155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7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50" outlineLevel="1" x14ac:dyDescent="0.2">
      <c r="A22" s="8"/>
      <c r="B22" s="9">
        <v>14</v>
      </c>
      <c r="C22" s="11">
        <v>5055</v>
      </c>
      <c r="D22" s="184">
        <v>14</v>
      </c>
      <c r="E22" s="11" t="s">
        <v>20</v>
      </c>
      <c r="F22" s="98"/>
      <c r="G22" s="98">
        <v>15192.949999999999</v>
      </c>
      <c r="H22" s="227">
        <v>14638</v>
      </c>
      <c r="I22" s="98">
        <v>4450.8500000000004</v>
      </c>
      <c r="J22" s="98">
        <v>4526</v>
      </c>
      <c r="K22" s="98"/>
      <c r="L22" s="98"/>
      <c r="M22" s="98"/>
      <c r="N22" s="197"/>
      <c r="O22" s="108">
        <v>20</v>
      </c>
      <c r="P22" s="108">
        <v>0</v>
      </c>
      <c r="Q22" s="155">
        <v>131272.98000000001</v>
      </c>
      <c r="R22" s="155">
        <v>0</v>
      </c>
      <c r="S22" s="155">
        <v>0</v>
      </c>
      <c r="T22" s="155">
        <v>0</v>
      </c>
      <c r="U22" s="155">
        <v>0</v>
      </c>
      <c r="V22" s="155">
        <v>19254.490000000002</v>
      </c>
      <c r="W22" s="155">
        <v>6995.66</v>
      </c>
      <c r="X22" s="191">
        <v>12791.81</v>
      </c>
      <c r="Y22" s="155">
        <v>0</v>
      </c>
      <c r="Z22" s="155">
        <v>591.04999999999995</v>
      </c>
      <c r="AA22" s="155">
        <v>1309.18</v>
      </c>
      <c r="AB22" s="155">
        <v>16252.02</v>
      </c>
      <c r="AC22" s="155">
        <v>50872.41</v>
      </c>
      <c r="AD22" s="155">
        <v>4.5599999999999996</v>
      </c>
      <c r="AE22" s="155">
        <v>239238.08</v>
      </c>
      <c r="AF22" s="155">
        <v>0</v>
      </c>
      <c r="AG22" s="155">
        <v>11494.98</v>
      </c>
      <c r="AH22" s="155">
        <v>50157.67</v>
      </c>
      <c r="AI22" s="155">
        <v>16977.89</v>
      </c>
      <c r="AJ22" s="155">
        <v>0</v>
      </c>
      <c r="AK22" s="155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7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50" outlineLevel="1" x14ac:dyDescent="0.2">
      <c r="A23" s="8"/>
      <c r="B23" s="9">
        <v>15</v>
      </c>
      <c r="C23" s="11">
        <v>5065</v>
      </c>
      <c r="D23" s="184">
        <v>15</v>
      </c>
      <c r="E23" s="11" t="s">
        <v>21</v>
      </c>
      <c r="F23" s="98"/>
      <c r="G23" s="98">
        <v>339211.09</v>
      </c>
      <c r="H23" s="227">
        <v>409202</v>
      </c>
      <c r="I23" s="98">
        <v>451942.67</v>
      </c>
      <c r="J23" s="98">
        <v>460495</v>
      </c>
      <c r="K23" s="98"/>
      <c r="L23" s="98"/>
      <c r="M23" s="98"/>
      <c r="N23" s="197"/>
      <c r="O23" s="108">
        <v>21</v>
      </c>
      <c r="P23" s="108">
        <v>0</v>
      </c>
      <c r="Q23" s="155">
        <v>6193117.0599999996</v>
      </c>
      <c r="R23" s="155">
        <v>294963.31</v>
      </c>
      <c r="S23" s="155">
        <v>16654.46</v>
      </c>
      <c r="T23" s="155">
        <v>520355</v>
      </c>
      <c r="U23" s="155">
        <v>176568.19</v>
      </c>
      <c r="V23" s="155">
        <v>113301.06</v>
      </c>
      <c r="W23" s="155">
        <v>306813.24</v>
      </c>
      <c r="X23" s="191">
        <v>87195.82</v>
      </c>
      <c r="Y23" s="155">
        <v>392.43</v>
      </c>
      <c r="Z23" s="155">
        <v>257.77999999999997</v>
      </c>
      <c r="AA23" s="155">
        <v>0</v>
      </c>
      <c r="AB23" s="155">
        <v>16892.439999999999</v>
      </c>
      <c r="AC23" s="155">
        <v>1007550.91</v>
      </c>
      <c r="AD23" s="155">
        <v>89373.26</v>
      </c>
      <c r="AE23" s="155">
        <v>565196.07999999996</v>
      </c>
      <c r="AF23" s="155">
        <v>0</v>
      </c>
      <c r="AG23" s="155">
        <v>6104.5</v>
      </c>
      <c r="AH23" s="155">
        <v>271853.82</v>
      </c>
      <c r="AI23" s="155">
        <v>322898.88</v>
      </c>
      <c r="AJ23" s="155">
        <v>15814.63</v>
      </c>
      <c r="AK23" s="155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7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50" outlineLevel="1" x14ac:dyDescent="0.2">
      <c r="A24" s="8"/>
      <c r="B24" s="9">
        <v>16</v>
      </c>
      <c r="C24" s="11">
        <v>5070</v>
      </c>
      <c r="D24" s="184">
        <v>16</v>
      </c>
      <c r="E24" s="11" t="s">
        <v>22</v>
      </c>
      <c r="F24" s="98"/>
      <c r="G24" s="98">
        <f>HLOOKUP($E$3,$P$3:$CE$269,O24,TRUE)</f>
        <v>0</v>
      </c>
      <c r="H24" s="227">
        <v>0</v>
      </c>
      <c r="I24" s="227"/>
      <c r="J24" s="227"/>
      <c r="K24" s="98"/>
      <c r="L24" s="98"/>
      <c r="M24" s="98"/>
      <c r="N24" s="197"/>
      <c r="O24" s="108">
        <v>22</v>
      </c>
      <c r="P24" s="108">
        <v>0</v>
      </c>
      <c r="Q24" s="155">
        <v>6042127.7000000002</v>
      </c>
      <c r="R24" s="155">
        <v>115732.58</v>
      </c>
      <c r="S24" s="155">
        <v>0</v>
      </c>
      <c r="T24" s="155">
        <v>352265</v>
      </c>
      <c r="U24" s="155">
        <v>0</v>
      </c>
      <c r="V24" s="155">
        <v>210907.21</v>
      </c>
      <c r="W24" s="155">
        <v>5475.81</v>
      </c>
      <c r="X24" s="191">
        <v>0</v>
      </c>
      <c r="Y24" s="155">
        <v>0</v>
      </c>
      <c r="Z24" s="155">
        <v>0</v>
      </c>
      <c r="AA24" s="155">
        <v>0</v>
      </c>
      <c r="AB24" s="155">
        <v>0</v>
      </c>
      <c r="AC24" s="155">
        <v>0</v>
      </c>
      <c r="AD24" s="155">
        <v>7925.48</v>
      </c>
      <c r="AE24" s="155">
        <v>106726.15</v>
      </c>
      <c r="AF24" s="155">
        <v>0</v>
      </c>
      <c r="AG24" s="155">
        <v>34674.39</v>
      </c>
      <c r="AH24" s="155">
        <v>301252.71999999997</v>
      </c>
      <c r="AI24" s="155">
        <v>217496.06</v>
      </c>
      <c r="AJ24" s="155">
        <v>51547.77</v>
      </c>
      <c r="AK24" s="155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7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50" outlineLevel="1" x14ac:dyDescent="0.2">
      <c r="A25" s="8"/>
      <c r="B25" s="9">
        <v>17</v>
      </c>
      <c r="C25" s="11">
        <v>5075</v>
      </c>
      <c r="D25" s="184">
        <v>17</v>
      </c>
      <c r="E25" s="11" t="s">
        <v>23</v>
      </c>
      <c r="F25" s="98"/>
      <c r="G25" s="98">
        <v>460345</v>
      </c>
      <c r="H25" s="227">
        <v>534768</v>
      </c>
      <c r="I25" s="227">
        <v>396845</v>
      </c>
      <c r="J25" s="227">
        <v>396878</v>
      </c>
      <c r="K25" s="98"/>
      <c r="L25" s="98"/>
      <c r="M25" s="98"/>
      <c r="N25" s="197"/>
      <c r="O25" s="108">
        <v>23</v>
      </c>
      <c r="P25" s="108">
        <v>0</v>
      </c>
      <c r="Q25" s="155">
        <v>645799.72</v>
      </c>
      <c r="R25" s="155">
        <v>18096.509999999998</v>
      </c>
      <c r="S25" s="155">
        <v>0</v>
      </c>
      <c r="T25" s="155">
        <v>0</v>
      </c>
      <c r="U25" s="155">
        <v>0</v>
      </c>
      <c r="V25" s="155">
        <v>73984.91</v>
      </c>
      <c r="W25" s="155">
        <v>2433.73</v>
      </c>
      <c r="X25" s="191">
        <v>0</v>
      </c>
      <c r="Y25" s="155">
        <v>0</v>
      </c>
      <c r="Z25" s="155">
        <v>0</v>
      </c>
      <c r="AA25" s="155">
        <v>19664.439999999999</v>
      </c>
      <c r="AB25" s="155">
        <v>0</v>
      </c>
      <c r="AC25" s="155">
        <v>2585.13</v>
      </c>
      <c r="AD25" s="155">
        <v>2612.21</v>
      </c>
      <c r="AE25" s="155">
        <v>10528.45</v>
      </c>
      <c r="AF25" s="155">
        <v>0</v>
      </c>
      <c r="AG25" s="155">
        <v>1323.25</v>
      </c>
      <c r="AH25" s="155">
        <v>0</v>
      </c>
      <c r="AI25" s="155">
        <v>5688.98</v>
      </c>
      <c r="AJ25" s="155">
        <v>5088.82</v>
      </c>
      <c r="AK25" s="155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7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50" outlineLevel="1" x14ac:dyDescent="0.2">
      <c r="A26" s="8"/>
      <c r="B26" s="9">
        <v>18</v>
      </c>
      <c r="C26" s="11">
        <v>5085</v>
      </c>
      <c r="D26" s="184">
        <v>18</v>
      </c>
      <c r="E26" s="11" t="s">
        <v>24</v>
      </c>
      <c r="F26" s="98"/>
      <c r="G26" s="98">
        <v>1001293.6900000002</v>
      </c>
      <c r="H26" s="227">
        <v>1034643</v>
      </c>
      <c r="I26" s="227">
        <v>1041547.15</v>
      </c>
      <c r="J26" s="227">
        <v>1056055</v>
      </c>
      <c r="K26" s="98"/>
      <c r="L26" s="98"/>
      <c r="M26" s="98"/>
      <c r="N26" s="197"/>
      <c r="O26" s="108">
        <v>24</v>
      </c>
      <c r="P26" s="108">
        <v>0</v>
      </c>
      <c r="Q26" s="155">
        <v>8419474.1500000004</v>
      </c>
      <c r="R26" s="155">
        <v>314897.65000000002</v>
      </c>
      <c r="S26" s="155">
        <v>3709.66</v>
      </c>
      <c r="T26" s="155">
        <v>458443</v>
      </c>
      <c r="U26" s="155">
        <v>254491.81</v>
      </c>
      <c r="V26" s="155">
        <v>0</v>
      </c>
      <c r="W26" s="155">
        <v>368513.63</v>
      </c>
      <c r="X26" s="191">
        <v>55299.51</v>
      </c>
      <c r="Y26" s="155">
        <v>373.98</v>
      </c>
      <c r="Z26" s="155">
        <v>124099.88</v>
      </c>
      <c r="AA26" s="155">
        <v>8275.4699999999993</v>
      </c>
      <c r="AB26" s="155">
        <v>0</v>
      </c>
      <c r="AC26" s="155">
        <v>0</v>
      </c>
      <c r="AD26" s="155">
        <v>84201.07</v>
      </c>
      <c r="AE26" s="155">
        <v>20453.09</v>
      </c>
      <c r="AF26" s="155">
        <v>152950.39999999999</v>
      </c>
      <c r="AG26" s="155">
        <v>7308.58</v>
      </c>
      <c r="AH26" s="155">
        <v>167282.56</v>
      </c>
      <c r="AI26" s="155">
        <v>6325.86</v>
      </c>
      <c r="AJ26" s="155">
        <v>120769</v>
      </c>
      <c r="AK26" s="155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7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50" outlineLevel="1" x14ac:dyDescent="0.2">
      <c r="A27" s="8"/>
      <c r="B27" s="9">
        <v>19</v>
      </c>
      <c r="C27" s="11">
        <v>5090</v>
      </c>
      <c r="D27" s="184">
        <v>19</v>
      </c>
      <c r="E27" s="11" t="s">
        <v>25</v>
      </c>
      <c r="F27" s="98"/>
      <c r="G27" s="98">
        <f>HLOOKUP($E$3,$P$3:$CE$269,O27,TRUE)</f>
        <v>0</v>
      </c>
      <c r="H27" s="227">
        <v>0</v>
      </c>
      <c r="I27" s="227"/>
      <c r="J27" s="227"/>
      <c r="K27" s="227"/>
      <c r="L27" s="227"/>
      <c r="M27" s="227"/>
      <c r="N27" s="197"/>
      <c r="O27" s="108">
        <v>25</v>
      </c>
      <c r="P27" s="108">
        <v>0</v>
      </c>
      <c r="Q27" s="155">
        <v>0</v>
      </c>
      <c r="R27" s="155">
        <v>0</v>
      </c>
      <c r="S27" s="155">
        <v>0</v>
      </c>
      <c r="T27" s="155">
        <v>0</v>
      </c>
      <c r="U27" s="155">
        <v>0</v>
      </c>
      <c r="V27" s="155">
        <v>0</v>
      </c>
      <c r="W27" s="155">
        <v>0</v>
      </c>
      <c r="X27" s="191">
        <v>0</v>
      </c>
      <c r="Y27" s="155">
        <v>0</v>
      </c>
      <c r="Z27" s="155">
        <v>0</v>
      </c>
      <c r="AA27" s="155">
        <v>0</v>
      </c>
      <c r="AB27" s="155">
        <v>0</v>
      </c>
      <c r="AC27" s="155">
        <v>0</v>
      </c>
      <c r="AD27" s="155">
        <v>0</v>
      </c>
      <c r="AE27" s="155">
        <v>0</v>
      </c>
      <c r="AF27" s="155">
        <v>0</v>
      </c>
      <c r="AG27" s="155">
        <v>0</v>
      </c>
      <c r="AH27" s="155">
        <v>0</v>
      </c>
      <c r="AI27" s="155">
        <v>0</v>
      </c>
      <c r="AJ27" s="155">
        <v>0</v>
      </c>
      <c r="AK27" s="155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7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50" outlineLevel="1" x14ac:dyDescent="0.2">
      <c r="A28" s="8"/>
      <c r="B28" s="9">
        <v>20</v>
      </c>
      <c r="C28" s="11">
        <v>5095</v>
      </c>
      <c r="D28" s="184">
        <v>20</v>
      </c>
      <c r="E28" s="11" t="s">
        <v>26</v>
      </c>
      <c r="F28" s="98"/>
      <c r="G28" s="98">
        <f>HLOOKUP($E$3,$P$3:$CE$269,O28,TRUE)</f>
        <v>0</v>
      </c>
      <c r="H28" s="14">
        <v>0</v>
      </c>
      <c r="I28" s="14"/>
      <c r="J28" s="14"/>
      <c r="K28" s="14"/>
      <c r="L28" s="14"/>
      <c r="M28" s="14"/>
      <c r="N28" s="197"/>
      <c r="O28" s="108">
        <v>26</v>
      </c>
      <c r="P28" s="108">
        <v>0</v>
      </c>
      <c r="Q28" s="155">
        <v>36175.32</v>
      </c>
      <c r="R28" s="155">
        <v>49094.7</v>
      </c>
      <c r="S28" s="155">
        <v>0</v>
      </c>
      <c r="T28" s="155">
        <v>19111</v>
      </c>
      <c r="U28" s="155">
        <v>0</v>
      </c>
      <c r="V28" s="155">
        <v>0</v>
      </c>
      <c r="W28" s="155">
        <v>35897.440000000002</v>
      </c>
      <c r="X28" s="191">
        <v>0</v>
      </c>
      <c r="Y28" s="155">
        <v>2495.85</v>
      </c>
      <c r="Z28" s="155">
        <v>0</v>
      </c>
      <c r="AA28" s="155">
        <v>0</v>
      </c>
      <c r="AB28" s="155">
        <v>29676.22</v>
      </c>
      <c r="AC28" s="155">
        <v>50496.47</v>
      </c>
      <c r="AD28" s="155">
        <v>9659.64</v>
      </c>
      <c r="AE28" s="155">
        <v>0</v>
      </c>
      <c r="AF28" s="155">
        <v>0</v>
      </c>
      <c r="AG28" s="155">
        <v>14657.83</v>
      </c>
      <c r="AH28" s="155">
        <v>0</v>
      </c>
      <c r="AI28" s="155">
        <v>4564.0600000000004</v>
      </c>
      <c r="AJ28" s="155">
        <v>0</v>
      </c>
      <c r="AK28" s="155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7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50" outlineLevel="1" x14ac:dyDescent="0.2">
      <c r="A29" s="8"/>
      <c r="B29" s="9">
        <v>21</v>
      </c>
      <c r="C29" s="11">
        <v>5096</v>
      </c>
      <c r="D29" s="184">
        <v>21</v>
      </c>
      <c r="E29" s="11" t="s">
        <v>27</v>
      </c>
      <c r="F29" s="98"/>
      <c r="G29" s="98">
        <f>HLOOKUP($E$3,$P$3:$CE$269,O29,TRUE)</f>
        <v>0</v>
      </c>
      <c r="H29" s="14">
        <v>0</v>
      </c>
      <c r="I29" s="14"/>
      <c r="J29" s="14"/>
      <c r="K29" s="14"/>
      <c r="L29" s="14"/>
      <c r="M29" s="14"/>
      <c r="N29" s="197"/>
      <c r="O29" s="108">
        <v>27</v>
      </c>
      <c r="P29" s="108">
        <v>0</v>
      </c>
      <c r="Q29" s="155">
        <v>313140.5</v>
      </c>
      <c r="R29" s="155">
        <v>5694.81</v>
      </c>
      <c r="S29" s="155">
        <v>50</v>
      </c>
      <c r="T29" s="155">
        <v>0</v>
      </c>
      <c r="U29" s="155">
        <v>560</v>
      </c>
      <c r="V29" s="155">
        <v>0</v>
      </c>
      <c r="W29" s="155">
        <v>0</v>
      </c>
      <c r="X29" s="191">
        <v>0</v>
      </c>
      <c r="Y29" s="155">
        <v>0</v>
      </c>
      <c r="Z29" s="155">
        <v>173254.48</v>
      </c>
      <c r="AA29" s="155">
        <v>0</v>
      </c>
      <c r="AB29" s="155">
        <v>0</v>
      </c>
      <c r="AC29" s="155">
        <v>0</v>
      </c>
      <c r="AD29" s="155">
        <v>0</v>
      </c>
      <c r="AE29" s="155">
        <v>0</v>
      </c>
      <c r="AF29" s="155">
        <v>891</v>
      </c>
      <c r="AG29" s="155">
        <v>0</v>
      </c>
      <c r="AH29" s="155">
        <v>78932.19</v>
      </c>
      <c r="AI29" s="155">
        <v>0</v>
      </c>
      <c r="AJ29" s="155">
        <v>0</v>
      </c>
      <c r="AK29" s="155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7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50" x14ac:dyDescent="0.2">
      <c r="A30" s="8"/>
      <c r="B30" s="9">
        <v>22</v>
      </c>
      <c r="C30" s="15"/>
      <c r="D30" s="184"/>
      <c r="E30" s="16" t="s">
        <v>28</v>
      </c>
      <c r="F30" s="99"/>
      <c r="G30" s="230">
        <f>SUM(G10:G29)</f>
        <v>6021920.620000001</v>
      </c>
      <c r="H30" s="230">
        <f t="shared" ref="H30:BS30" si="1">SUM(H10:H29)</f>
        <v>6269001</v>
      </c>
      <c r="I30" s="230">
        <f t="shared" si="1"/>
        <v>6056220.4800000014</v>
      </c>
      <c r="J30" s="230">
        <f t="shared" si="1"/>
        <v>6343242.6200000001</v>
      </c>
      <c r="K30" s="230">
        <f t="shared" si="1"/>
        <v>0</v>
      </c>
      <c r="L30" s="230">
        <f t="shared" si="1"/>
        <v>0</v>
      </c>
      <c r="M30" s="230">
        <f t="shared" si="1"/>
        <v>0</v>
      </c>
      <c r="N30" s="98">
        <f t="shared" si="1"/>
        <v>0</v>
      </c>
      <c r="O30" s="98">
        <f t="shared" si="1"/>
        <v>350</v>
      </c>
      <c r="P30" s="98">
        <f t="shared" si="1"/>
        <v>0</v>
      </c>
      <c r="Q30" s="98">
        <f t="shared" si="1"/>
        <v>56024019.509999998</v>
      </c>
      <c r="R30" s="98">
        <f t="shared" si="1"/>
        <v>1448655.6600000004</v>
      </c>
      <c r="S30" s="98">
        <f t="shared" si="1"/>
        <v>419737.22000000003</v>
      </c>
      <c r="T30" s="98">
        <f t="shared" si="1"/>
        <v>4418765</v>
      </c>
      <c r="U30" s="98">
        <f t="shared" si="1"/>
        <v>1425143.6</v>
      </c>
      <c r="V30" s="98">
        <f t="shared" si="1"/>
        <v>4081782.8800000008</v>
      </c>
      <c r="W30" s="98">
        <f t="shared" si="1"/>
        <v>1811215.0699999998</v>
      </c>
      <c r="X30" s="98">
        <f t="shared" si="1"/>
        <v>352236.39</v>
      </c>
      <c r="Y30" s="98">
        <f t="shared" si="1"/>
        <v>169495.43</v>
      </c>
      <c r="Z30" s="98">
        <f t="shared" si="1"/>
        <v>880940.82000000018</v>
      </c>
      <c r="AA30" s="98">
        <f t="shared" si="1"/>
        <v>38102.769999999997</v>
      </c>
      <c r="AB30" s="98">
        <f t="shared" si="1"/>
        <v>273237.55</v>
      </c>
      <c r="AC30" s="98">
        <f t="shared" si="1"/>
        <v>3321084.9700000007</v>
      </c>
      <c r="AD30" s="98">
        <f t="shared" si="1"/>
        <v>1661516.53</v>
      </c>
      <c r="AE30" s="98">
        <f t="shared" si="1"/>
        <v>7099903.1700000009</v>
      </c>
      <c r="AF30" s="98">
        <f t="shared" si="1"/>
        <v>424645.66000000003</v>
      </c>
      <c r="AG30" s="98">
        <f t="shared" si="1"/>
        <v>374022.21000000008</v>
      </c>
      <c r="AH30" s="98">
        <f t="shared" si="1"/>
        <v>1157298.6099999999</v>
      </c>
      <c r="AI30" s="98">
        <f t="shared" si="1"/>
        <v>1124677.1400000001</v>
      </c>
      <c r="AJ30" s="98">
        <f t="shared" si="1"/>
        <v>408735.95</v>
      </c>
      <c r="AK30" s="98">
        <f t="shared" si="1"/>
        <v>6026292.2999999998</v>
      </c>
      <c r="AL30" s="98">
        <f t="shared" si="1"/>
        <v>876796.86999999988</v>
      </c>
      <c r="AM30" s="98">
        <f t="shared" si="1"/>
        <v>4884148.1999999993</v>
      </c>
      <c r="AN30" s="98">
        <f t="shared" si="1"/>
        <v>1318244.5200000003</v>
      </c>
      <c r="AO30" s="98">
        <f t="shared" si="1"/>
        <v>165224.97</v>
      </c>
      <c r="AP30" s="98">
        <f t="shared" si="1"/>
        <v>29159.79</v>
      </c>
      <c r="AQ30" s="98">
        <f t="shared" si="1"/>
        <v>70877.16</v>
      </c>
      <c r="AR30" s="98">
        <f t="shared" si="1"/>
        <v>92675631.75999999</v>
      </c>
      <c r="AS30" s="98">
        <f t="shared" si="1"/>
        <v>20877216.240000002</v>
      </c>
      <c r="AT30" s="98">
        <f t="shared" si="1"/>
        <v>1416283.11</v>
      </c>
      <c r="AU30" s="98">
        <f t="shared" si="1"/>
        <v>135533</v>
      </c>
      <c r="AV30" s="98">
        <f t="shared" si="1"/>
        <v>2366890</v>
      </c>
      <c r="AW30" s="98">
        <f t="shared" si="1"/>
        <v>5813946.9500000011</v>
      </c>
      <c r="AX30" s="98">
        <f t="shared" si="1"/>
        <v>646650.19999999995</v>
      </c>
      <c r="AY30" s="98">
        <f t="shared" si="1"/>
        <v>353649.14</v>
      </c>
      <c r="AZ30" s="98">
        <f t="shared" si="1"/>
        <v>10212541.49</v>
      </c>
      <c r="BA30" s="98">
        <f t="shared" si="1"/>
        <v>0</v>
      </c>
      <c r="BB30" s="98">
        <f t="shared" si="1"/>
        <v>2371190</v>
      </c>
      <c r="BC30" s="98">
        <f t="shared" si="1"/>
        <v>2129540.17</v>
      </c>
      <c r="BD30" s="98">
        <f t="shared" si="1"/>
        <v>4458287.43</v>
      </c>
      <c r="BE30" s="98">
        <f t="shared" si="1"/>
        <v>634344.38000000012</v>
      </c>
      <c r="BF30" s="98">
        <f t="shared" si="1"/>
        <v>644524.73</v>
      </c>
      <c r="BG30" s="98">
        <f t="shared" si="1"/>
        <v>883391.84000000008</v>
      </c>
      <c r="BH30" s="98">
        <f t="shared" si="1"/>
        <v>7628728.0500000017</v>
      </c>
      <c r="BI30" s="98">
        <f t="shared" si="1"/>
        <v>388461.35</v>
      </c>
      <c r="BJ30" s="98">
        <f t="shared" si="1"/>
        <v>1105352</v>
      </c>
      <c r="BK30" s="98">
        <f t="shared" si="1"/>
        <v>2070198</v>
      </c>
      <c r="BL30" s="98">
        <f t="shared" si="1"/>
        <v>483667.15</v>
      </c>
      <c r="BM30" s="98">
        <f t="shared" si="1"/>
        <v>2717103.2800000003</v>
      </c>
      <c r="BN30" s="98">
        <f t="shared" si="1"/>
        <v>3629733.3</v>
      </c>
      <c r="BO30" s="98">
        <f t="shared" si="1"/>
        <v>320778.16000000003</v>
      </c>
      <c r="BP30" s="98">
        <f t="shared" si="1"/>
        <v>354881.08</v>
      </c>
      <c r="BQ30" s="98">
        <f t="shared" si="1"/>
        <v>566080.78</v>
      </c>
      <c r="BR30" s="98">
        <f t="shared" si="1"/>
        <v>0</v>
      </c>
      <c r="BS30" s="98">
        <f t="shared" si="1"/>
        <v>3173462.7800000003</v>
      </c>
      <c r="BT30" s="98">
        <f t="shared" ref="BT30:EE30" si="2">SUM(BT10:BT29)</f>
        <v>723170.32000000007</v>
      </c>
      <c r="BU30" s="98">
        <f t="shared" si="2"/>
        <v>57721502.270000003</v>
      </c>
      <c r="BV30" s="98">
        <f t="shared" si="2"/>
        <v>7108318</v>
      </c>
      <c r="BW30" s="98">
        <f t="shared" si="2"/>
        <v>50486.99</v>
      </c>
      <c r="BX30" s="98">
        <f t="shared" si="2"/>
        <v>5804176</v>
      </c>
      <c r="BY30" s="98">
        <f t="shared" si="2"/>
        <v>1311161.3999999999</v>
      </c>
      <c r="BZ30" s="98">
        <f t="shared" si="2"/>
        <v>393410.75</v>
      </c>
      <c r="CA30" s="98">
        <f t="shared" si="2"/>
        <v>120472</v>
      </c>
      <c r="CB30" s="98">
        <f t="shared" si="2"/>
        <v>522032.94999999995</v>
      </c>
      <c r="CC30" s="98">
        <f t="shared" si="2"/>
        <v>3003969.66</v>
      </c>
      <c r="CD30" s="98">
        <f t="shared" si="2"/>
        <v>0</v>
      </c>
      <c r="CE30" s="98">
        <f t="shared" si="2"/>
        <v>0</v>
      </c>
      <c r="CF30" s="98">
        <f t="shared" si="2"/>
        <v>0</v>
      </c>
      <c r="CG30" s="98">
        <f t="shared" si="2"/>
        <v>62264574.81000001</v>
      </c>
      <c r="CH30" s="98">
        <f t="shared" si="2"/>
        <v>1361665.7399999998</v>
      </c>
      <c r="CI30" s="98">
        <f t="shared" si="2"/>
        <v>439592.7</v>
      </c>
      <c r="CJ30" s="98">
        <f t="shared" si="2"/>
        <v>3935330.34</v>
      </c>
      <c r="CK30" s="98">
        <f t="shared" si="2"/>
        <v>1477784</v>
      </c>
      <c r="CL30" s="98">
        <f t="shared" si="2"/>
        <v>3976849.77</v>
      </c>
      <c r="CM30" s="98">
        <f t="shared" si="2"/>
        <v>1773093.1599999997</v>
      </c>
      <c r="CN30" s="98">
        <f t="shared" si="2"/>
        <v>349249.60999999993</v>
      </c>
      <c r="CO30" s="98">
        <f t="shared" si="2"/>
        <v>237909.06</v>
      </c>
      <c r="CP30" s="98">
        <f t="shared" si="2"/>
        <v>886046.33</v>
      </c>
      <c r="CQ30" s="98">
        <f t="shared" si="2"/>
        <v>34256.519999999997</v>
      </c>
      <c r="CR30" s="98">
        <f t="shared" si="2"/>
        <v>284583.83999999997</v>
      </c>
      <c r="CS30" s="98">
        <f t="shared" si="2"/>
        <v>3204993.38</v>
      </c>
      <c r="CT30" s="98">
        <f t="shared" si="2"/>
        <v>800621.6</v>
      </c>
      <c r="CU30" s="98">
        <f t="shared" si="2"/>
        <v>7269858.8700000001</v>
      </c>
      <c r="CV30" s="98">
        <f t="shared" si="2"/>
        <v>405969.15</v>
      </c>
      <c r="CW30" s="98">
        <f t="shared" si="2"/>
        <v>300621.66000000003</v>
      </c>
      <c r="CX30" s="98">
        <f t="shared" si="2"/>
        <v>1109771.29</v>
      </c>
      <c r="CY30" s="98">
        <f t="shared" si="2"/>
        <v>915159.94999999984</v>
      </c>
      <c r="CZ30" s="98">
        <f t="shared" si="2"/>
        <v>451143.54000000004</v>
      </c>
      <c r="DA30" s="98">
        <f t="shared" si="2"/>
        <v>6708247.4100000011</v>
      </c>
      <c r="DB30" s="98">
        <f t="shared" si="2"/>
        <v>800623.7899999998</v>
      </c>
      <c r="DC30" s="98">
        <f t="shared" si="2"/>
        <v>4883003.71</v>
      </c>
      <c r="DD30" s="98">
        <f t="shared" si="2"/>
        <v>1422770</v>
      </c>
      <c r="DE30" s="98">
        <f t="shared" si="2"/>
        <v>180411.94</v>
      </c>
      <c r="DF30" s="98">
        <f t="shared" si="2"/>
        <v>35482.19</v>
      </c>
      <c r="DG30" s="98">
        <f t="shared" si="2"/>
        <v>126069.46999999999</v>
      </c>
      <c r="DH30" s="98">
        <f t="shared" si="2"/>
        <v>81970043.590000004</v>
      </c>
      <c r="DI30" s="98">
        <f t="shared" si="2"/>
        <v>17999858.420000002</v>
      </c>
      <c r="DJ30" s="98">
        <f t="shared" si="2"/>
        <v>1591971.77</v>
      </c>
      <c r="DK30" s="98">
        <f t="shared" si="2"/>
        <v>127199</v>
      </c>
      <c r="DL30" s="98">
        <f t="shared" si="2"/>
        <v>1919242</v>
      </c>
      <c r="DM30" s="98">
        <f t="shared" si="2"/>
        <v>5143785.7799999993</v>
      </c>
      <c r="DN30" s="98">
        <f t="shared" si="2"/>
        <v>574731.26</v>
      </c>
      <c r="DO30" s="98">
        <f t="shared" si="2"/>
        <v>322742.68</v>
      </c>
      <c r="DP30" s="98">
        <f t="shared" si="2"/>
        <v>9494979.9500000011</v>
      </c>
      <c r="DQ30" s="98">
        <f t="shared" si="2"/>
        <v>824233.57000000007</v>
      </c>
      <c r="DR30" s="98">
        <f t="shared" si="2"/>
        <v>2239574</v>
      </c>
      <c r="DS30" s="98">
        <f t="shared" si="2"/>
        <v>1527831.81</v>
      </c>
      <c r="DT30" s="98">
        <f t="shared" si="2"/>
        <v>4732154.1399999997</v>
      </c>
      <c r="DU30" s="98">
        <f t="shared" si="2"/>
        <v>673867.34</v>
      </c>
      <c r="DV30" s="98">
        <f t="shared" si="2"/>
        <v>734178.99999999988</v>
      </c>
      <c r="DW30" s="98">
        <f t="shared" si="2"/>
        <v>730265.03</v>
      </c>
      <c r="DX30" s="98">
        <f t="shared" si="2"/>
        <v>7472834.9600000009</v>
      </c>
      <c r="DY30" s="98">
        <f t="shared" si="2"/>
        <v>446425.48999999993</v>
      </c>
      <c r="DZ30" s="98">
        <f t="shared" si="2"/>
        <v>1009373</v>
      </c>
      <c r="EA30" s="98">
        <f t="shared" si="2"/>
        <v>1711345.31</v>
      </c>
      <c r="EB30" s="98">
        <f t="shared" si="2"/>
        <v>565513.04999999993</v>
      </c>
      <c r="EC30" s="98">
        <f t="shared" si="2"/>
        <v>2624540.1100000003</v>
      </c>
      <c r="ED30" s="98">
        <f t="shared" si="2"/>
        <v>3866047.85</v>
      </c>
      <c r="EE30" s="98">
        <f t="shared" si="2"/>
        <v>282646.12</v>
      </c>
      <c r="EF30" s="98">
        <f t="shared" ref="EF30:ET30" si="3">SUM(EF10:EF29)</f>
        <v>340099.33</v>
      </c>
      <c r="EG30" s="98">
        <f t="shared" si="3"/>
        <v>519702.92</v>
      </c>
      <c r="EH30" s="98">
        <f t="shared" si="3"/>
        <v>791485.72</v>
      </c>
      <c r="EI30" s="98">
        <f t="shared" si="3"/>
        <v>2750985.2500000005</v>
      </c>
      <c r="EJ30" s="98">
        <f t="shared" si="3"/>
        <v>571935.91</v>
      </c>
      <c r="EK30" s="98">
        <f t="shared" si="3"/>
        <v>54940322.089999996</v>
      </c>
      <c r="EL30" s="98">
        <f t="shared" si="3"/>
        <v>5737214</v>
      </c>
      <c r="EM30" s="98">
        <f t="shared" si="3"/>
        <v>86785.13</v>
      </c>
      <c r="EN30" s="98">
        <f t="shared" si="3"/>
        <v>6180252</v>
      </c>
      <c r="EO30" s="98">
        <f t="shared" si="3"/>
        <v>1492815.04</v>
      </c>
      <c r="EP30" s="98">
        <f t="shared" si="3"/>
        <v>443935.16000000003</v>
      </c>
      <c r="EQ30" s="98">
        <f t="shared" si="3"/>
        <v>113578</v>
      </c>
      <c r="ER30" s="98">
        <f t="shared" si="3"/>
        <v>380800</v>
      </c>
      <c r="ES30" s="98">
        <f t="shared" si="3"/>
        <v>3570139.2500000005</v>
      </c>
      <c r="ET30" s="98">
        <f t="shared" si="3"/>
        <v>0</v>
      </c>
    </row>
    <row r="31" spans="1:150" outlineLevel="1" x14ac:dyDescent="0.2">
      <c r="A31" s="8"/>
      <c r="B31" s="9">
        <v>23</v>
      </c>
      <c r="C31" s="11">
        <v>5105</v>
      </c>
      <c r="D31" s="184">
        <v>22</v>
      </c>
      <c r="E31" s="11" t="s">
        <v>30</v>
      </c>
      <c r="F31" s="98"/>
      <c r="G31" s="98">
        <v>502685.30000000005</v>
      </c>
      <c r="H31" s="227">
        <v>498950</v>
      </c>
      <c r="I31" s="227">
        <v>467230.38</v>
      </c>
      <c r="J31" s="227">
        <v>493651</v>
      </c>
      <c r="K31" s="227"/>
      <c r="L31" s="227"/>
      <c r="M31" s="227"/>
      <c r="N31" s="197"/>
      <c r="O31" s="108">
        <v>29</v>
      </c>
      <c r="P31" s="108">
        <v>0</v>
      </c>
      <c r="Q31" s="155">
        <v>94207.679999999993</v>
      </c>
      <c r="R31" s="155">
        <v>111435.81</v>
      </c>
      <c r="S31" s="155">
        <v>0</v>
      </c>
      <c r="T31" s="155">
        <v>0</v>
      </c>
      <c r="U31" s="155">
        <v>245948.31</v>
      </c>
      <c r="V31" s="155">
        <v>0</v>
      </c>
      <c r="W31" s="155">
        <v>19832.57</v>
      </c>
      <c r="X31" s="191">
        <v>20899.29</v>
      </c>
      <c r="Y31" s="155">
        <v>0</v>
      </c>
      <c r="Z31" s="155">
        <v>171266.04</v>
      </c>
      <c r="AA31" s="155">
        <v>0</v>
      </c>
      <c r="AB31" s="155">
        <v>0</v>
      </c>
      <c r="AC31" s="155">
        <v>0</v>
      </c>
      <c r="AD31" s="155">
        <v>940056.21</v>
      </c>
      <c r="AE31" s="155">
        <v>0</v>
      </c>
      <c r="AF31" s="155">
        <v>0</v>
      </c>
      <c r="AG31" s="155">
        <v>71465.34</v>
      </c>
      <c r="AH31" s="155">
        <v>19308.189999999999</v>
      </c>
      <c r="AI31" s="155">
        <v>0</v>
      </c>
      <c r="AJ31" s="155">
        <v>75373.259999999995</v>
      </c>
      <c r="AK31" s="155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7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50" outlineLevel="1" x14ac:dyDescent="0.2">
      <c r="A32" s="8"/>
      <c r="B32" s="9">
        <v>24</v>
      </c>
      <c r="C32" s="11">
        <v>5110</v>
      </c>
      <c r="D32" s="184">
        <v>23</v>
      </c>
      <c r="E32" s="11" t="s">
        <v>31</v>
      </c>
      <c r="F32" s="98"/>
      <c r="G32" s="98">
        <v>18874.190000000006</v>
      </c>
      <c r="H32" s="227">
        <v>21416</v>
      </c>
      <c r="I32" s="227">
        <v>31720.81</v>
      </c>
      <c r="J32" s="227">
        <v>32175</v>
      </c>
      <c r="K32" s="227"/>
      <c r="L32" s="227"/>
      <c r="M32" s="227"/>
      <c r="N32" s="197"/>
      <c r="O32" s="108">
        <v>30</v>
      </c>
      <c r="P32" s="108">
        <v>0</v>
      </c>
      <c r="Q32" s="155">
        <v>141259.48000000001</v>
      </c>
      <c r="R32" s="155">
        <v>335.24</v>
      </c>
      <c r="S32" s="155">
        <v>0</v>
      </c>
      <c r="T32" s="155">
        <v>0</v>
      </c>
      <c r="U32" s="155">
        <v>28366.54</v>
      </c>
      <c r="V32" s="155">
        <v>520630.08</v>
      </c>
      <c r="W32" s="155">
        <v>66720.240000000005</v>
      </c>
      <c r="X32" s="191">
        <v>0</v>
      </c>
      <c r="Y32" s="155">
        <v>0</v>
      </c>
      <c r="Z32" s="155">
        <v>35735.660000000003</v>
      </c>
      <c r="AA32" s="155">
        <v>8100.97</v>
      </c>
      <c r="AB32" s="155">
        <v>0</v>
      </c>
      <c r="AC32" s="155">
        <v>0</v>
      </c>
      <c r="AD32" s="155">
        <v>52.58</v>
      </c>
      <c r="AE32" s="155">
        <v>0</v>
      </c>
      <c r="AF32" s="155">
        <v>141096.53</v>
      </c>
      <c r="AG32" s="155">
        <v>7368.14</v>
      </c>
      <c r="AH32" s="155">
        <v>0</v>
      </c>
      <c r="AI32" s="155">
        <v>8169.85</v>
      </c>
      <c r="AJ32" s="155">
        <v>1805</v>
      </c>
      <c r="AK32" s="155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7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50" outlineLevel="1" x14ac:dyDescent="0.2">
      <c r="A33" s="3"/>
      <c r="B33" s="9">
        <v>25</v>
      </c>
      <c r="C33" s="11">
        <v>5112</v>
      </c>
      <c r="D33" s="184">
        <v>24</v>
      </c>
      <c r="E33" s="11" t="s">
        <v>32</v>
      </c>
      <c r="F33" s="98"/>
      <c r="G33" s="98">
        <v>93559.719999999987</v>
      </c>
      <c r="H33" s="227">
        <v>44191</v>
      </c>
      <c r="I33" s="227">
        <v>39256.11</v>
      </c>
      <c r="J33" s="227">
        <v>39467</v>
      </c>
      <c r="K33" s="227"/>
      <c r="L33" s="227"/>
      <c r="M33" s="227"/>
      <c r="N33" s="197"/>
      <c r="O33" s="108">
        <v>31</v>
      </c>
      <c r="P33" s="108">
        <v>0</v>
      </c>
      <c r="Q33" s="155">
        <v>357775.77</v>
      </c>
      <c r="R33" s="155">
        <v>0</v>
      </c>
      <c r="S33" s="155">
        <v>0</v>
      </c>
      <c r="T33" s="155">
        <v>0</v>
      </c>
      <c r="U33" s="155">
        <v>9619.68</v>
      </c>
      <c r="V33" s="155">
        <v>0</v>
      </c>
      <c r="W33" s="155">
        <v>0</v>
      </c>
      <c r="X33" s="191">
        <v>0</v>
      </c>
      <c r="Y33" s="155">
        <v>0</v>
      </c>
      <c r="Z33" s="155">
        <v>0</v>
      </c>
      <c r="AA33" s="155">
        <v>0</v>
      </c>
      <c r="AB33" s="155">
        <v>0</v>
      </c>
      <c r="AC33" s="155">
        <v>5317.6</v>
      </c>
      <c r="AD33" s="155">
        <v>0</v>
      </c>
      <c r="AE33" s="155">
        <v>349316.43</v>
      </c>
      <c r="AF33" s="155">
        <v>0</v>
      </c>
      <c r="AG33" s="155">
        <v>0</v>
      </c>
      <c r="AH33" s="155">
        <v>0</v>
      </c>
      <c r="AI33" s="155">
        <v>0</v>
      </c>
      <c r="AJ33" s="155">
        <v>22824.42</v>
      </c>
      <c r="AK33" s="155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7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50" outlineLevel="1" x14ac:dyDescent="0.2">
      <c r="A34" s="3"/>
      <c r="B34" s="9">
        <v>26</v>
      </c>
      <c r="C34" s="11">
        <v>5114</v>
      </c>
      <c r="D34" s="184">
        <v>25</v>
      </c>
      <c r="E34" s="11" t="s">
        <v>33</v>
      </c>
      <c r="F34" s="98"/>
      <c r="G34" s="98">
        <v>11212.819999999998</v>
      </c>
      <c r="H34" s="227">
        <v>6504</v>
      </c>
      <c r="I34" s="227">
        <v>43242.25</v>
      </c>
      <c r="J34" s="227">
        <v>44427</v>
      </c>
      <c r="K34" s="227"/>
      <c r="L34" s="227"/>
      <c r="M34" s="227"/>
      <c r="N34" s="197"/>
      <c r="O34" s="108">
        <v>32</v>
      </c>
      <c r="P34" s="108">
        <v>0</v>
      </c>
      <c r="Q34" s="155">
        <v>831519.33</v>
      </c>
      <c r="R34" s="155">
        <v>56040.26</v>
      </c>
      <c r="S34" s="155">
        <v>5599.01</v>
      </c>
      <c r="T34" s="155">
        <v>64104</v>
      </c>
      <c r="U34" s="155">
        <v>1802.08</v>
      </c>
      <c r="V34" s="155">
        <v>443252.3</v>
      </c>
      <c r="W34" s="155">
        <v>34609.82</v>
      </c>
      <c r="X34" s="191">
        <v>33263.25</v>
      </c>
      <c r="Y34" s="155">
        <v>0</v>
      </c>
      <c r="Z34" s="155">
        <v>77454.09</v>
      </c>
      <c r="AA34" s="155">
        <v>6846.95</v>
      </c>
      <c r="AB34" s="155">
        <v>0</v>
      </c>
      <c r="AC34" s="155">
        <v>52339.92</v>
      </c>
      <c r="AD34" s="155">
        <v>149804.74</v>
      </c>
      <c r="AE34" s="155">
        <v>27430.73</v>
      </c>
      <c r="AF34" s="155">
        <v>35913.81</v>
      </c>
      <c r="AG34" s="155">
        <v>3262.59</v>
      </c>
      <c r="AH34" s="155">
        <v>0</v>
      </c>
      <c r="AI34" s="155">
        <v>15133.14</v>
      </c>
      <c r="AJ34" s="155">
        <v>0</v>
      </c>
      <c r="AK34" s="155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7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50" outlineLevel="1" x14ac:dyDescent="0.2">
      <c r="A35" s="3"/>
      <c r="B35" s="9">
        <v>27</v>
      </c>
      <c r="C35" s="11">
        <v>5120</v>
      </c>
      <c r="D35" s="184">
        <v>26</v>
      </c>
      <c r="E35" s="11" t="s">
        <v>34</v>
      </c>
      <c r="F35" s="98"/>
      <c r="G35" s="98">
        <v>281022.28000000003</v>
      </c>
      <c r="H35" s="227">
        <v>114092</v>
      </c>
      <c r="I35" s="227">
        <v>285739.46999999997</v>
      </c>
      <c r="J35" s="227">
        <v>319096</v>
      </c>
      <c r="K35" s="227"/>
      <c r="L35" s="227"/>
      <c r="M35" s="227"/>
      <c r="N35" s="197"/>
      <c r="O35" s="108">
        <v>33</v>
      </c>
      <c r="P35" s="108">
        <v>0</v>
      </c>
      <c r="Q35" s="155">
        <v>349748.76</v>
      </c>
      <c r="R35" s="155">
        <v>101800.65</v>
      </c>
      <c r="S35" s="155">
        <v>0</v>
      </c>
      <c r="T35" s="155">
        <v>5539</v>
      </c>
      <c r="U35" s="155">
        <v>34555.760000000002</v>
      </c>
      <c r="V35" s="155">
        <v>86137.74</v>
      </c>
      <c r="W35" s="155">
        <v>93519.39</v>
      </c>
      <c r="X35" s="191">
        <v>50260.95</v>
      </c>
      <c r="Y35" s="155">
        <v>306.57</v>
      </c>
      <c r="Z35" s="155">
        <v>101513.21</v>
      </c>
      <c r="AA35" s="155">
        <v>5675.5</v>
      </c>
      <c r="AB35" s="155">
        <v>23900.37</v>
      </c>
      <c r="AC35" s="155">
        <v>127278.6</v>
      </c>
      <c r="AD35" s="155">
        <v>60120.58</v>
      </c>
      <c r="AE35" s="155">
        <v>554347.02</v>
      </c>
      <c r="AF35" s="155">
        <v>44459.78</v>
      </c>
      <c r="AG35" s="155">
        <v>14126.84</v>
      </c>
      <c r="AH35" s="155">
        <v>32115.39</v>
      </c>
      <c r="AI35" s="155">
        <v>34228.35</v>
      </c>
      <c r="AJ35" s="155">
        <v>27522.77</v>
      </c>
      <c r="AK35" s="155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7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50" outlineLevel="1" x14ac:dyDescent="0.2">
      <c r="A36" s="3"/>
      <c r="B36" s="9">
        <v>28</v>
      </c>
      <c r="C36" s="11">
        <v>5125</v>
      </c>
      <c r="D36" s="184">
        <v>27</v>
      </c>
      <c r="E36" s="11" t="s">
        <v>35</v>
      </c>
      <c r="F36" s="98"/>
      <c r="G36" s="98">
        <v>227576.72999999998</v>
      </c>
      <c r="H36" s="227">
        <v>88336</v>
      </c>
      <c r="I36" s="227">
        <v>161371.56</v>
      </c>
      <c r="J36" s="227">
        <v>142987</v>
      </c>
      <c r="K36" s="227"/>
      <c r="L36" s="227"/>
      <c r="M36" s="227"/>
      <c r="N36" s="197"/>
      <c r="O36" s="108">
        <v>34</v>
      </c>
      <c r="P36" s="108">
        <v>0</v>
      </c>
      <c r="Q36" s="155">
        <v>8535307.5700000003</v>
      </c>
      <c r="R36" s="155">
        <v>604776.51</v>
      </c>
      <c r="S36" s="155">
        <v>0</v>
      </c>
      <c r="T36" s="155">
        <v>107552</v>
      </c>
      <c r="U36" s="155">
        <v>101414.14</v>
      </c>
      <c r="V36" s="155">
        <v>1822841.33</v>
      </c>
      <c r="W36" s="155">
        <v>550293.66</v>
      </c>
      <c r="X36" s="191">
        <v>23623.33</v>
      </c>
      <c r="Y36" s="155">
        <v>0</v>
      </c>
      <c r="Z36" s="155">
        <v>180381.84</v>
      </c>
      <c r="AA36" s="155">
        <v>5553</v>
      </c>
      <c r="AB36" s="155">
        <v>151797.64000000001</v>
      </c>
      <c r="AC36" s="155">
        <v>695878.81</v>
      </c>
      <c r="AD36" s="155">
        <v>125926.17</v>
      </c>
      <c r="AE36" s="155">
        <v>0</v>
      </c>
      <c r="AF36" s="155">
        <v>0</v>
      </c>
      <c r="AG36" s="155">
        <v>47908.19</v>
      </c>
      <c r="AH36" s="155">
        <v>273743.68</v>
      </c>
      <c r="AI36" s="155">
        <v>113474.94</v>
      </c>
      <c r="AJ36" s="155">
        <v>9810.17</v>
      </c>
      <c r="AK36" s="155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7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50" outlineLevel="1" x14ac:dyDescent="0.2">
      <c r="A37" s="3"/>
      <c r="B37" s="9">
        <v>29</v>
      </c>
      <c r="C37" s="11">
        <v>5130</v>
      </c>
      <c r="D37" s="184">
        <v>28</v>
      </c>
      <c r="E37" s="11" t="s">
        <v>36</v>
      </c>
      <c r="F37" s="98"/>
      <c r="G37" s="98">
        <v>67641.86</v>
      </c>
      <c r="H37" s="227">
        <v>75959</v>
      </c>
      <c r="I37" s="227">
        <v>72659.22</v>
      </c>
      <c r="J37" s="227">
        <v>71937</v>
      </c>
      <c r="K37" s="227"/>
      <c r="L37" s="227"/>
      <c r="M37" s="227"/>
      <c r="N37" s="197"/>
      <c r="O37" s="108">
        <v>35</v>
      </c>
      <c r="P37" s="108">
        <v>0</v>
      </c>
      <c r="Q37" s="155">
        <v>1104281.32</v>
      </c>
      <c r="R37" s="155">
        <v>197283.93</v>
      </c>
      <c r="S37" s="155">
        <v>1275.3499999999999</v>
      </c>
      <c r="T37" s="155">
        <v>0</v>
      </c>
      <c r="U37" s="155">
        <v>493655.59</v>
      </c>
      <c r="V37" s="155">
        <v>427308.73</v>
      </c>
      <c r="W37" s="155">
        <v>321027.71000000002</v>
      </c>
      <c r="X37" s="191">
        <v>46627.7</v>
      </c>
      <c r="Y37" s="155">
        <v>0</v>
      </c>
      <c r="Z37" s="155">
        <v>81855.56</v>
      </c>
      <c r="AA37" s="155">
        <v>0</v>
      </c>
      <c r="AB37" s="155">
        <v>70283.87</v>
      </c>
      <c r="AC37" s="155">
        <v>501244.11</v>
      </c>
      <c r="AD37" s="155">
        <v>256305.49</v>
      </c>
      <c r="AE37" s="155">
        <v>146762.07999999999</v>
      </c>
      <c r="AF37" s="155">
        <v>189530.17</v>
      </c>
      <c r="AG37" s="155">
        <v>58973.19</v>
      </c>
      <c r="AH37" s="155">
        <v>146967.34</v>
      </c>
      <c r="AI37" s="155">
        <v>778019.05</v>
      </c>
      <c r="AJ37" s="155">
        <v>8059.34</v>
      </c>
      <c r="AK37" s="155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7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50" outlineLevel="1" x14ac:dyDescent="0.2">
      <c r="A38" s="3"/>
      <c r="B38" s="9">
        <v>30</v>
      </c>
      <c r="C38" s="11">
        <v>5135</v>
      </c>
      <c r="D38" s="184">
        <v>29</v>
      </c>
      <c r="E38" s="11" t="s">
        <v>37</v>
      </c>
      <c r="F38" s="98"/>
      <c r="G38" s="98">
        <v>316476.32999999996</v>
      </c>
      <c r="H38" s="227">
        <v>370703</v>
      </c>
      <c r="I38" s="227">
        <v>404315.54</v>
      </c>
      <c r="J38" s="227">
        <v>405808</v>
      </c>
      <c r="K38" s="227"/>
      <c r="L38" s="227"/>
      <c r="M38" s="227"/>
      <c r="N38" s="197"/>
      <c r="O38" s="108">
        <v>36</v>
      </c>
      <c r="P38" s="108">
        <v>0</v>
      </c>
      <c r="Q38" s="155">
        <v>5117319.67</v>
      </c>
      <c r="R38" s="155">
        <v>3616124.33</v>
      </c>
      <c r="S38" s="155">
        <v>41588.230000000003</v>
      </c>
      <c r="T38" s="155">
        <v>0</v>
      </c>
      <c r="U38" s="155">
        <v>380239.96</v>
      </c>
      <c r="V38" s="155">
        <v>486693.21</v>
      </c>
      <c r="W38" s="155">
        <v>478200.74</v>
      </c>
      <c r="X38" s="191">
        <v>47220.36</v>
      </c>
      <c r="Y38" s="155">
        <v>0</v>
      </c>
      <c r="Z38" s="155">
        <v>169641.25</v>
      </c>
      <c r="AA38" s="155">
        <v>17127.5</v>
      </c>
      <c r="AB38" s="155">
        <v>59604.82</v>
      </c>
      <c r="AC38" s="155">
        <v>516354.11</v>
      </c>
      <c r="AD38" s="155">
        <v>280247.74</v>
      </c>
      <c r="AE38" s="155">
        <v>940596.14</v>
      </c>
      <c r="AF38" s="155">
        <v>120544.32000000001</v>
      </c>
      <c r="AG38" s="155">
        <v>51921.83</v>
      </c>
      <c r="AH38" s="155">
        <v>477071.94</v>
      </c>
      <c r="AI38" s="155">
        <v>114011.41</v>
      </c>
      <c r="AJ38" s="155">
        <v>97954.05</v>
      </c>
      <c r="AK38" s="155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7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50" outlineLevel="1" x14ac:dyDescent="0.2">
      <c r="A39" s="3"/>
      <c r="B39" s="9">
        <v>31</v>
      </c>
      <c r="C39" s="11">
        <v>5145</v>
      </c>
      <c r="D39" s="184">
        <v>30</v>
      </c>
      <c r="E39" s="11" t="s">
        <v>38</v>
      </c>
      <c r="F39" s="98"/>
      <c r="G39" s="98">
        <f>HLOOKUP($E$3,$P$3:$CE$269,O39,TRUE)</f>
        <v>0</v>
      </c>
      <c r="H39" s="227"/>
      <c r="I39" s="227"/>
      <c r="J39" s="227"/>
      <c r="K39" s="227"/>
      <c r="L39" s="227"/>
      <c r="M39" s="227"/>
      <c r="N39" s="197"/>
      <c r="O39" s="108">
        <v>37</v>
      </c>
      <c r="P39" s="108">
        <v>0</v>
      </c>
      <c r="Q39" s="155">
        <v>178510.04</v>
      </c>
      <c r="R39" s="155">
        <v>0</v>
      </c>
      <c r="S39" s="155">
        <v>0</v>
      </c>
      <c r="T39" s="155">
        <v>597</v>
      </c>
      <c r="U39" s="155">
        <v>63856.95</v>
      </c>
      <c r="V39" s="155">
        <v>83160.61</v>
      </c>
      <c r="W39" s="155">
        <v>4394.8500000000004</v>
      </c>
      <c r="X39" s="191">
        <v>2966.27</v>
      </c>
      <c r="Y39" s="155">
        <v>0</v>
      </c>
      <c r="Z39" s="155">
        <v>186.16</v>
      </c>
      <c r="AA39" s="155">
        <v>0</v>
      </c>
      <c r="AB39" s="155">
        <v>0</v>
      </c>
      <c r="AC39" s="155">
        <v>45364.23</v>
      </c>
      <c r="AD39" s="155">
        <v>124.82</v>
      </c>
      <c r="AE39" s="155">
        <v>0</v>
      </c>
      <c r="AF39" s="155">
        <v>0</v>
      </c>
      <c r="AG39" s="155">
        <v>0</v>
      </c>
      <c r="AH39" s="155">
        <v>1033.26</v>
      </c>
      <c r="AI39" s="155">
        <v>32378.59</v>
      </c>
      <c r="AJ39" s="155">
        <v>0</v>
      </c>
      <c r="AK39" s="155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7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50" outlineLevel="1" x14ac:dyDescent="0.2">
      <c r="A40" s="3"/>
      <c r="B40" s="9">
        <v>32</v>
      </c>
      <c r="C40" s="11">
        <v>5150</v>
      </c>
      <c r="D40" s="184">
        <v>31</v>
      </c>
      <c r="E40" s="11" t="s">
        <v>39</v>
      </c>
      <c r="F40" s="98"/>
      <c r="G40" s="98">
        <v>423</v>
      </c>
      <c r="H40" s="227">
        <v>0</v>
      </c>
      <c r="I40" s="227">
        <v>1000</v>
      </c>
      <c r="J40" s="227">
        <v>1000</v>
      </c>
      <c r="K40" s="227"/>
      <c r="L40" s="227"/>
      <c r="M40" s="227"/>
      <c r="N40" s="197"/>
      <c r="O40" s="108">
        <v>38</v>
      </c>
      <c r="P40" s="108">
        <v>0</v>
      </c>
      <c r="Q40" s="155">
        <v>12454525.560000001</v>
      </c>
      <c r="R40" s="155">
        <v>0</v>
      </c>
      <c r="S40" s="155">
        <v>0</v>
      </c>
      <c r="T40" s="155">
        <v>13694</v>
      </c>
      <c r="U40" s="155">
        <v>56176.02</v>
      </c>
      <c r="V40" s="155">
        <v>562091.61</v>
      </c>
      <c r="W40" s="155">
        <v>35610.97</v>
      </c>
      <c r="X40" s="191">
        <v>11394.22</v>
      </c>
      <c r="Y40" s="155">
        <v>0</v>
      </c>
      <c r="Z40" s="155">
        <v>90764.34</v>
      </c>
      <c r="AA40" s="155">
        <v>7720.5</v>
      </c>
      <c r="AB40" s="155">
        <v>76419.95</v>
      </c>
      <c r="AC40" s="155">
        <v>637129.99</v>
      </c>
      <c r="AD40" s="155">
        <v>30243.03</v>
      </c>
      <c r="AE40" s="155">
        <v>0</v>
      </c>
      <c r="AF40" s="155">
        <v>37949.15</v>
      </c>
      <c r="AG40" s="155">
        <v>8994.73</v>
      </c>
      <c r="AH40" s="155">
        <v>73388.03</v>
      </c>
      <c r="AI40" s="155">
        <v>125343.39</v>
      </c>
      <c r="AJ40" s="155">
        <v>9092.5</v>
      </c>
      <c r="AK40" s="155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7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50" outlineLevel="1" x14ac:dyDescent="0.2">
      <c r="A41" s="3"/>
      <c r="B41" s="9">
        <v>33</v>
      </c>
      <c r="C41" s="11">
        <v>5155</v>
      </c>
      <c r="D41" s="184">
        <v>32</v>
      </c>
      <c r="E41" s="11" t="s">
        <v>40</v>
      </c>
      <c r="F41" s="98"/>
      <c r="G41" s="234">
        <v>341977.95</v>
      </c>
      <c r="H41" s="234">
        <v>241264</v>
      </c>
      <c r="I41" s="227">
        <v>290918.93</v>
      </c>
      <c r="J41" s="227">
        <v>293674</v>
      </c>
      <c r="K41" s="227"/>
      <c r="L41" s="227"/>
      <c r="M41" s="227"/>
      <c r="N41" s="197"/>
      <c r="O41" s="108">
        <v>39</v>
      </c>
      <c r="P41" s="108">
        <v>0</v>
      </c>
      <c r="Q41" s="155">
        <v>1704220.82</v>
      </c>
      <c r="R41" s="155">
        <v>218</v>
      </c>
      <c r="S41" s="155">
        <v>0</v>
      </c>
      <c r="T41" s="155">
        <v>488</v>
      </c>
      <c r="U41" s="155">
        <v>350670.73</v>
      </c>
      <c r="V41" s="155">
        <v>560032.54</v>
      </c>
      <c r="W41" s="155">
        <v>51304.95</v>
      </c>
      <c r="X41" s="191">
        <v>135875.82</v>
      </c>
      <c r="Y41" s="155">
        <v>0</v>
      </c>
      <c r="Z41" s="155">
        <v>163425.22</v>
      </c>
      <c r="AA41" s="155">
        <v>325</v>
      </c>
      <c r="AB41" s="155">
        <v>112910.59</v>
      </c>
      <c r="AC41" s="155">
        <v>196021.17</v>
      </c>
      <c r="AD41" s="155">
        <v>234659.77</v>
      </c>
      <c r="AE41" s="155">
        <v>510588.17</v>
      </c>
      <c r="AF41" s="155">
        <v>239168.08</v>
      </c>
      <c r="AG41" s="155">
        <v>598.4</v>
      </c>
      <c r="AH41" s="155">
        <v>264881.69</v>
      </c>
      <c r="AI41" s="155">
        <v>95599.06</v>
      </c>
      <c r="AJ41" s="155">
        <v>133.63</v>
      </c>
      <c r="AK41" s="155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7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50" outlineLevel="1" x14ac:dyDescent="0.2">
      <c r="A42" s="3"/>
      <c r="B42" s="9">
        <v>34</v>
      </c>
      <c r="C42" s="11">
        <v>5160</v>
      </c>
      <c r="D42" s="184">
        <v>33</v>
      </c>
      <c r="E42" s="11" t="s">
        <v>41</v>
      </c>
      <c r="F42" s="98"/>
      <c r="G42" s="98">
        <v>101746.25</v>
      </c>
      <c r="H42" s="227">
        <v>36288</v>
      </c>
      <c r="I42" s="227">
        <v>72891.98</v>
      </c>
      <c r="J42" s="227">
        <v>64740</v>
      </c>
      <c r="K42" s="227"/>
      <c r="L42" s="227"/>
      <c r="M42" s="227"/>
      <c r="N42" s="197"/>
      <c r="O42" s="108">
        <v>40</v>
      </c>
      <c r="P42" s="108">
        <v>0</v>
      </c>
      <c r="Q42" s="155">
        <v>363570.75</v>
      </c>
      <c r="R42" s="155">
        <v>0</v>
      </c>
      <c r="S42" s="155">
        <v>0</v>
      </c>
      <c r="T42" s="155">
        <v>5579</v>
      </c>
      <c r="U42" s="155">
        <v>47459.19</v>
      </c>
      <c r="V42" s="155">
        <v>119225.74</v>
      </c>
      <c r="W42" s="155">
        <v>86503.51</v>
      </c>
      <c r="X42" s="191">
        <v>46534.080000000002</v>
      </c>
      <c r="Y42" s="155">
        <v>0</v>
      </c>
      <c r="Z42" s="155">
        <v>71901.039999999994</v>
      </c>
      <c r="AA42" s="155">
        <v>330</v>
      </c>
      <c r="AB42" s="155">
        <v>35057.120000000003</v>
      </c>
      <c r="AC42" s="155">
        <v>69967.22</v>
      </c>
      <c r="AD42" s="155">
        <v>52034.879999999997</v>
      </c>
      <c r="AE42" s="155">
        <v>57156.66</v>
      </c>
      <c r="AF42" s="155">
        <v>33390.839999999997</v>
      </c>
      <c r="AG42" s="155">
        <v>2306.46</v>
      </c>
      <c r="AH42" s="155">
        <v>50099.24</v>
      </c>
      <c r="AI42" s="155">
        <v>77667.59</v>
      </c>
      <c r="AJ42" s="155">
        <v>1801.73</v>
      </c>
      <c r="AK42" s="155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7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50" outlineLevel="1" x14ac:dyDescent="0.2">
      <c r="A43" s="3"/>
      <c r="B43" s="9">
        <v>35</v>
      </c>
      <c r="C43" s="11">
        <v>5175</v>
      </c>
      <c r="D43" s="184">
        <v>34</v>
      </c>
      <c r="E43" s="11" t="s">
        <v>42</v>
      </c>
      <c r="F43" s="98"/>
      <c r="G43" s="98">
        <f>HLOOKUP($E$3,$P$3:$CE$269,O43,TRUE)</f>
        <v>0</v>
      </c>
      <c r="H43" s="227"/>
      <c r="I43" s="227"/>
      <c r="J43" s="227"/>
      <c r="K43" s="227"/>
      <c r="L43" s="227"/>
      <c r="M43" s="227"/>
      <c r="N43" s="197"/>
      <c r="O43" s="108">
        <v>41</v>
      </c>
      <c r="P43" s="108">
        <v>0</v>
      </c>
      <c r="Q43" s="155">
        <v>2000058.88</v>
      </c>
      <c r="R43" s="155">
        <v>457393.39</v>
      </c>
      <c r="S43" s="155">
        <v>38284.81</v>
      </c>
      <c r="T43" s="155">
        <v>512</v>
      </c>
      <c r="U43" s="155">
        <v>0</v>
      </c>
      <c r="V43" s="155">
        <v>283995.58</v>
      </c>
      <c r="W43" s="155">
        <v>413301.19</v>
      </c>
      <c r="X43" s="191">
        <v>0</v>
      </c>
      <c r="Y43" s="155">
        <v>0</v>
      </c>
      <c r="Z43" s="155">
        <v>280124.82</v>
      </c>
      <c r="AA43" s="155">
        <v>0</v>
      </c>
      <c r="AB43" s="155">
        <v>165199.09</v>
      </c>
      <c r="AC43" s="155">
        <v>0</v>
      </c>
      <c r="AD43" s="155">
        <v>248572.14</v>
      </c>
      <c r="AE43" s="155">
        <v>0</v>
      </c>
      <c r="AF43" s="155">
        <v>221316.03</v>
      </c>
      <c r="AG43" s="155">
        <v>164.79</v>
      </c>
      <c r="AH43" s="155">
        <v>4203.05</v>
      </c>
      <c r="AI43" s="155">
        <v>83302.45</v>
      </c>
      <c r="AJ43" s="155">
        <v>41226.5</v>
      </c>
      <c r="AK43" s="155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7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50" x14ac:dyDescent="0.2">
      <c r="A44" s="3"/>
      <c r="B44" s="9">
        <v>36</v>
      </c>
      <c r="C44" s="15"/>
      <c r="D44" s="184"/>
      <c r="E44" s="16" t="s">
        <v>43</v>
      </c>
      <c r="F44" s="99"/>
      <c r="G44" s="230">
        <f>SUM(G31:G43)</f>
        <v>1963196.43</v>
      </c>
      <c r="H44" s="230">
        <f t="shared" ref="H44:BS44" si="4">SUM(H31:H43)</f>
        <v>1497703</v>
      </c>
      <c r="I44" s="230">
        <f t="shared" si="4"/>
        <v>1870346.25</v>
      </c>
      <c r="J44" s="230">
        <f t="shared" si="4"/>
        <v>1908962</v>
      </c>
      <c r="K44" s="230">
        <f t="shared" si="4"/>
        <v>0</v>
      </c>
      <c r="L44" s="230">
        <f t="shared" si="4"/>
        <v>0</v>
      </c>
      <c r="M44" s="230">
        <f t="shared" si="4"/>
        <v>0</v>
      </c>
      <c r="N44" s="98">
        <f t="shared" si="4"/>
        <v>0</v>
      </c>
      <c r="O44" s="98">
        <f t="shared" si="4"/>
        <v>455</v>
      </c>
      <c r="P44" s="98">
        <f t="shared" si="4"/>
        <v>0</v>
      </c>
      <c r="Q44" s="98">
        <f t="shared" si="4"/>
        <v>33232305.629999999</v>
      </c>
      <c r="R44" s="98">
        <f t="shared" si="4"/>
        <v>5145408.12</v>
      </c>
      <c r="S44" s="98">
        <f t="shared" si="4"/>
        <v>86747.4</v>
      </c>
      <c r="T44" s="98">
        <f t="shared" si="4"/>
        <v>198065</v>
      </c>
      <c r="U44" s="98">
        <f t="shared" si="4"/>
        <v>1813764.95</v>
      </c>
      <c r="V44" s="98">
        <f t="shared" si="4"/>
        <v>5395369.4700000007</v>
      </c>
      <c r="W44" s="98">
        <f t="shared" si="4"/>
        <v>2155319.6</v>
      </c>
      <c r="X44" s="98">
        <f t="shared" si="4"/>
        <v>418665.27</v>
      </c>
      <c r="Y44" s="98">
        <f t="shared" si="4"/>
        <v>306.57</v>
      </c>
      <c r="Z44" s="98">
        <f t="shared" si="4"/>
        <v>1424249.2300000002</v>
      </c>
      <c r="AA44" s="98">
        <f t="shared" si="4"/>
        <v>51679.42</v>
      </c>
      <c r="AB44" s="98">
        <f t="shared" si="4"/>
        <v>695173.45</v>
      </c>
      <c r="AC44" s="98">
        <f t="shared" si="4"/>
        <v>2846895.7600000002</v>
      </c>
      <c r="AD44" s="98">
        <f t="shared" si="4"/>
        <v>2378148.15</v>
      </c>
      <c r="AE44" s="98">
        <f t="shared" si="4"/>
        <v>2586197.23</v>
      </c>
      <c r="AF44" s="98">
        <f t="shared" si="4"/>
        <v>1063368.71</v>
      </c>
      <c r="AG44" s="98">
        <f t="shared" si="4"/>
        <v>267090.5</v>
      </c>
      <c r="AH44" s="98">
        <f t="shared" si="4"/>
        <v>1342811.81</v>
      </c>
      <c r="AI44" s="98">
        <f t="shared" si="4"/>
        <v>1477327.82</v>
      </c>
      <c r="AJ44" s="98">
        <f t="shared" si="4"/>
        <v>295603.37</v>
      </c>
      <c r="AK44" s="98">
        <f t="shared" si="4"/>
        <v>1833617.1300000001</v>
      </c>
      <c r="AL44" s="98">
        <f t="shared" si="4"/>
        <v>624703.25</v>
      </c>
      <c r="AM44" s="98">
        <f t="shared" si="4"/>
        <v>1331266.7400000002</v>
      </c>
      <c r="AN44" s="98">
        <f t="shared" si="4"/>
        <v>317433.36999999994</v>
      </c>
      <c r="AO44" s="98">
        <f t="shared" si="4"/>
        <v>317482.40000000002</v>
      </c>
      <c r="AP44" s="98">
        <f t="shared" si="4"/>
        <v>15778.57</v>
      </c>
      <c r="AQ44" s="98">
        <f t="shared" si="4"/>
        <v>189516.40999999997</v>
      </c>
      <c r="AR44" s="98">
        <f t="shared" si="4"/>
        <v>233975148.48000005</v>
      </c>
      <c r="AS44" s="98">
        <f t="shared" si="4"/>
        <v>9125315.9399999995</v>
      </c>
      <c r="AT44" s="98">
        <f t="shared" si="4"/>
        <v>631422.75000000012</v>
      </c>
      <c r="AU44" s="98">
        <f t="shared" si="4"/>
        <v>568050</v>
      </c>
      <c r="AV44" s="98">
        <f t="shared" si="4"/>
        <v>1545398</v>
      </c>
      <c r="AW44" s="98">
        <f t="shared" si="4"/>
        <v>5996631.79</v>
      </c>
      <c r="AX44" s="98">
        <f t="shared" si="4"/>
        <v>343942.15</v>
      </c>
      <c r="AY44" s="98">
        <f t="shared" si="4"/>
        <v>1525272.2200000004</v>
      </c>
      <c r="AZ44" s="98">
        <f t="shared" si="4"/>
        <v>9017046.2100000009</v>
      </c>
      <c r="BA44" s="98">
        <f t="shared" si="4"/>
        <v>0</v>
      </c>
      <c r="BB44" s="98">
        <f t="shared" si="4"/>
        <v>1401782</v>
      </c>
      <c r="BC44" s="98">
        <f t="shared" si="4"/>
        <v>1572830.4400000002</v>
      </c>
      <c r="BD44" s="98">
        <f t="shared" si="4"/>
        <v>2589111.9500000002</v>
      </c>
      <c r="BE44" s="98">
        <f t="shared" si="4"/>
        <v>461201.29000000004</v>
      </c>
      <c r="BF44" s="98">
        <f t="shared" si="4"/>
        <v>1652474.9300000002</v>
      </c>
      <c r="BG44" s="98">
        <f t="shared" si="4"/>
        <v>490704.5</v>
      </c>
      <c r="BH44" s="98">
        <f t="shared" si="4"/>
        <v>1876157.72</v>
      </c>
      <c r="BI44" s="98">
        <f t="shared" si="4"/>
        <v>366416.41</v>
      </c>
      <c r="BJ44" s="98">
        <f t="shared" si="4"/>
        <v>1188542</v>
      </c>
      <c r="BK44" s="98">
        <f t="shared" si="4"/>
        <v>1084144</v>
      </c>
      <c r="BL44" s="98">
        <f t="shared" si="4"/>
        <v>500383.53</v>
      </c>
      <c r="BM44" s="98">
        <f t="shared" si="4"/>
        <v>749991.39</v>
      </c>
      <c r="BN44" s="98">
        <f t="shared" si="4"/>
        <v>2329917.9300000006</v>
      </c>
      <c r="BO44" s="98">
        <f t="shared" si="4"/>
        <v>146086.57999999999</v>
      </c>
      <c r="BP44" s="98">
        <f t="shared" si="4"/>
        <v>398021.04000000004</v>
      </c>
      <c r="BQ44" s="98">
        <f t="shared" si="4"/>
        <v>126542.29000000001</v>
      </c>
      <c r="BR44" s="98">
        <f t="shared" si="4"/>
        <v>0</v>
      </c>
      <c r="BS44" s="98">
        <f t="shared" si="4"/>
        <v>5264388.9299999988</v>
      </c>
      <c r="BT44" s="98">
        <f t="shared" ref="BT44:EE44" si="5">SUM(BT31:BT43)</f>
        <v>234868.49</v>
      </c>
      <c r="BU44" s="98">
        <f t="shared" si="5"/>
        <v>71660846.450000003</v>
      </c>
      <c r="BV44" s="98">
        <f t="shared" si="5"/>
        <v>3729139</v>
      </c>
      <c r="BW44" s="98">
        <f t="shared" si="5"/>
        <v>838683.52</v>
      </c>
      <c r="BX44" s="98">
        <f t="shared" si="5"/>
        <v>1902064</v>
      </c>
      <c r="BY44" s="98">
        <f t="shared" si="5"/>
        <v>2086551.34</v>
      </c>
      <c r="BZ44" s="98">
        <f t="shared" si="5"/>
        <v>243714.53</v>
      </c>
      <c r="CA44" s="98">
        <f t="shared" si="5"/>
        <v>331933</v>
      </c>
      <c r="CB44" s="98">
        <f t="shared" si="5"/>
        <v>1426637.2</v>
      </c>
      <c r="CC44" s="98">
        <f t="shared" si="5"/>
        <v>2101735.7199999997</v>
      </c>
      <c r="CD44" s="98">
        <f t="shared" si="5"/>
        <v>0</v>
      </c>
      <c r="CE44" s="98">
        <f t="shared" si="5"/>
        <v>0</v>
      </c>
      <c r="CF44" s="98">
        <f t="shared" si="5"/>
        <v>0</v>
      </c>
      <c r="CG44" s="98">
        <f t="shared" si="5"/>
        <v>30917840.050000001</v>
      </c>
      <c r="CH44" s="98">
        <f t="shared" si="5"/>
        <v>5263561.8999999994</v>
      </c>
      <c r="CI44" s="98">
        <f t="shared" si="5"/>
        <v>102931.86</v>
      </c>
      <c r="CJ44" s="98">
        <f t="shared" si="5"/>
        <v>173897.14</v>
      </c>
      <c r="CK44" s="98">
        <f t="shared" si="5"/>
        <v>1610247.52</v>
      </c>
      <c r="CL44" s="98">
        <f t="shared" si="5"/>
        <v>5098438.0500000007</v>
      </c>
      <c r="CM44" s="98">
        <f t="shared" si="5"/>
        <v>2154314.2699999996</v>
      </c>
      <c r="CN44" s="98">
        <f t="shared" si="5"/>
        <v>396811.44999999995</v>
      </c>
      <c r="CO44" s="98">
        <f t="shared" si="5"/>
        <v>0</v>
      </c>
      <c r="CP44" s="98">
        <f t="shared" si="5"/>
        <v>1303847.6599999999</v>
      </c>
      <c r="CQ44" s="98">
        <f t="shared" si="5"/>
        <v>46132.18</v>
      </c>
      <c r="CR44" s="98">
        <f t="shared" si="5"/>
        <v>621979.91999999993</v>
      </c>
      <c r="CS44" s="98">
        <f t="shared" si="5"/>
        <v>2541687.9800000004</v>
      </c>
      <c r="CT44" s="98">
        <f t="shared" si="5"/>
        <v>1831710.5299999998</v>
      </c>
      <c r="CU44" s="98">
        <f t="shared" si="5"/>
        <v>2487236.04</v>
      </c>
      <c r="CV44" s="98">
        <f t="shared" si="5"/>
        <v>870049.4</v>
      </c>
      <c r="CW44" s="98">
        <f t="shared" si="5"/>
        <v>285286.68</v>
      </c>
      <c r="CX44" s="98">
        <f t="shared" si="5"/>
        <v>1188216.1400000001</v>
      </c>
      <c r="CY44" s="98">
        <f t="shared" si="5"/>
        <v>1353625.2599999998</v>
      </c>
      <c r="CZ44" s="98">
        <f t="shared" si="5"/>
        <v>324830.30000000005</v>
      </c>
      <c r="DA44" s="98">
        <f t="shared" si="5"/>
        <v>1809951.79</v>
      </c>
      <c r="DB44" s="98">
        <f t="shared" si="5"/>
        <v>497769.65999999992</v>
      </c>
      <c r="DC44" s="98">
        <f t="shared" si="5"/>
        <v>1298779.25</v>
      </c>
      <c r="DD44" s="98">
        <f t="shared" si="5"/>
        <v>283003</v>
      </c>
      <c r="DE44" s="98">
        <f t="shared" si="5"/>
        <v>257745.31999999995</v>
      </c>
      <c r="DF44" s="98">
        <f t="shared" si="5"/>
        <v>43625.14</v>
      </c>
      <c r="DG44" s="98">
        <f t="shared" si="5"/>
        <v>195607.96999999997</v>
      </c>
      <c r="DH44" s="98">
        <f t="shared" si="5"/>
        <v>228961610.16</v>
      </c>
      <c r="DI44" s="98">
        <f t="shared" si="5"/>
        <v>11071767.18</v>
      </c>
      <c r="DJ44" s="98">
        <f t="shared" si="5"/>
        <v>616263.82999999996</v>
      </c>
      <c r="DK44" s="98">
        <f t="shared" si="5"/>
        <v>583930</v>
      </c>
      <c r="DL44" s="98">
        <f t="shared" si="5"/>
        <v>1445415</v>
      </c>
      <c r="DM44" s="98">
        <f t="shared" si="5"/>
        <v>5480836.6100000003</v>
      </c>
      <c r="DN44" s="98">
        <f t="shared" si="5"/>
        <v>260745.30999999997</v>
      </c>
      <c r="DO44" s="98">
        <f t="shared" si="5"/>
        <v>1348676.87</v>
      </c>
      <c r="DP44" s="98">
        <f t="shared" si="5"/>
        <v>8484781.3199999984</v>
      </c>
      <c r="DQ44" s="98">
        <f t="shared" si="5"/>
        <v>262488.05</v>
      </c>
      <c r="DR44" s="98">
        <f t="shared" si="5"/>
        <v>1095331</v>
      </c>
      <c r="DS44" s="98">
        <f t="shared" si="5"/>
        <v>1323818.83</v>
      </c>
      <c r="DT44" s="98">
        <f t="shared" si="5"/>
        <v>2660236.27</v>
      </c>
      <c r="DU44" s="98">
        <f t="shared" si="5"/>
        <v>414736.52</v>
      </c>
      <c r="DV44" s="98">
        <f t="shared" si="5"/>
        <v>1632097.6500000001</v>
      </c>
      <c r="DW44" s="98">
        <f t="shared" si="5"/>
        <v>495809.7099999999</v>
      </c>
      <c r="DX44" s="98">
        <f t="shared" si="5"/>
        <v>1845104.6099999996</v>
      </c>
      <c r="DY44" s="98">
        <f t="shared" si="5"/>
        <v>543005.65</v>
      </c>
      <c r="DZ44" s="98">
        <f t="shared" si="5"/>
        <v>1084610</v>
      </c>
      <c r="EA44" s="98">
        <f t="shared" si="5"/>
        <v>1013520.1799999999</v>
      </c>
      <c r="EB44" s="98">
        <f t="shared" si="5"/>
        <v>692292.41999999993</v>
      </c>
      <c r="EC44" s="98">
        <f t="shared" si="5"/>
        <v>757326.97000000009</v>
      </c>
      <c r="ED44" s="98">
        <f t="shared" si="5"/>
        <v>1991880.3199999998</v>
      </c>
      <c r="EE44" s="98">
        <f t="shared" si="5"/>
        <v>110841.74999999999</v>
      </c>
      <c r="EF44" s="98">
        <f t="shared" ref="EF44:ET44" si="6">SUM(EF31:EF43)</f>
        <v>474059.28</v>
      </c>
      <c r="EG44" s="98">
        <f t="shared" si="6"/>
        <v>221457.49</v>
      </c>
      <c r="EH44" s="98">
        <f t="shared" si="6"/>
        <v>206644.93</v>
      </c>
      <c r="EI44" s="98">
        <f t="shared" si="6"/>
        <v>5319768.1300000008</v>
      </c>
      <c r="EJ44" s="98">
        <f t="shared" si="6"/>
        <v>110750.84</v>
      </c>
      <c r="EK44" s="98">
        <f t="shared" si="6"/>
        <v>60221763.910000004</v>
      </c>
      <c r="EL44" s="98">
        <f t="shared" si="6"/>
        <v>3879621</v>
      </c>
      <c r="EM44" s="98">
        <f t="shared" si="6"/>
        <v>755901.64</v>
      </c>
      <c r="EN44" s="98">
        <f t="shared" si="6"/>
        <v>1627604</v>
      </c>
      <c r="EO44" s="98">
        <f t="shared" si="6"/>
        <v>1885767.7999999998</v>
      </c>
      <c r="EP44" s="98">
        <f t="shared" si="6"/>
        <v>222538.69999999998</v>
      </c>
      <c r="EQ44" s="98">
        <f t="shared" si="6"/>
        <v>299168</v>
      </c>
      <c r="ER44" s="98">
        <f t="shared" si="6"/>
        <v>1918352</v>
      </c>
      <c r="ES44" s="98">
        <f t="shared" si="6"/>
        <v>1805771.4199999997</v>
      </c>
      <c r="ET44" s="98">
        <f t="shared" si="6"/>
        <v>0</v>
      </c>
    </row>
    <row r="45" spans="1:150" outlineLevel="1" x14ac:dyDescent="0.2">
      <c r="A45" s="3"/>
      <c r="B45" s="9">
        <v>37</v>
      </c>
      <c r="C45" s="11">
        <v>5305</v>
      </c>
      <c r="D45" s="184">
        <v>35</v>
      </c>
      <c r="E45" s="11" t="s">
        <v>44</v>
      </c>
      <c r="F45" s="98"/>
      <c r="G45" s="98">
        <v>68428.95</v>
      </c>
      <c r="H45" s="227">
        <v>66154</v>
      </c>
      <c r="I45" s="227">
        <v>70906.8</v>
      </c>
      <c r="J45" s="227">
        <v>72353</v>
      </c>
      <c r="K45" s="227"/>
      <c r="L45" s="227"/>
      <c r="M45" s="227"/>
      <c r="N45" s="197"/>
      <c r="O45" s="108">
        <v>43</v>
      </c>
      <c r="P45" s="108">
        <v>0</v>
      </c>
      <c r="Q45" s="155">
        <v>8084750.4900000002</v>
      </c>
      <c r="R45" s="155">
        <v>91051.199999999997</v>
      </c>
      <c r="S45" s="155">
        <v>2954.88</v>
      </c>
      <c r="T45" s="155">
        <v>204127</v>
      </c>
      <c r="U45" s="155">
        <v>354110.2</v>
      </c>
      <c r="V45" s="155">
        <v>0</v>
      </c>
      <c r="W45" s="155">
        <v>195764.51</v>
      </c>
      <c r="X45" s="191">
        <v>64260.7</v>
      </c>
      <c r="Y45" s="155">
        <v>0</v>
      </c>
      <c r="Z45" s="155">
        <v>111719.67999999999</v>
      </c>
      <c r="AA45" s="155">
        <v>0</v>
      </c>
      <c r="AB45" s="155">
        <v>99694.15</v>
      </c>
      <c r="AC45" s="155">
        <v>917782.47</v>
      </c>
      <c r="AD45" s="155">
        <v>343996.43</v>
      </c>
      <c r="AE45" s="155">
        <v>0</v>
      </c>
      <c r="AF45" s="155">
        <v>0</v>
      </c>
      <c r="AG45" s="155">
        <v>0</v>
      </c>
      <c r="AH45" s="155">
        <v>201088.93</v>
      </c>
      <c r="AI45" s="155">
        <v>29729.599999999999</v>
      </c>
      <c r="AJ45" s="155">
        <v>27435.4</v>
      </c>
      <c r="AK45" s="155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7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50" outlineLevel="1" x14ac:dyDescent="0.2">
      <c r="A46" s="3"/>
      <c r="B46" s="9">
        <v>38</v>
      </c>
      <c r="C46" s="11">
        <v>5310</v>
      </c>
      <c r="D46" s="184">
        <v>36</v>
      </c>
      <c r="E46" s="11" t="s">
        <v>45</v>
      </c>
      <c r="F46" s="98"/>
      <c r="G46" s="98">
        <v>480648.8</v>
      </c>
      <c r="H46" s="227">
        <v>458184</v>
      </c>
      <c r="I46" s="227">
        <v>503898.77</v>
      </c>
      <c r="J46" s="227">
        <v>524164</v>
      </c>
      <c r="K46" s="227"/>
      <c r="L46" s="227"/>
      <c r="M46" s="227"/>
      <c r="N46" s="197"/>
      <c r="O46" s="108">
        <v>44</v>
      </c>
      <c r="P46" s="108">
        <v>0</v>
      </c>
      <c r="Q46" s="155">
        <v>7043890.4500000002</v>
      </c>
      <c r="R46" s="155">
        <v>124975.94</v>
      </c>
      <c r="S46" s="155">
        <v>31214.68</v>
      </c>
      <c r="T46" s="155">
        <v>292346</v>
      </c>
      <c r="U46" s="155">
        <v>710370.99</v>
      </c>
      <c r="V46" s="155">
        <v>347816.83</v>
      </c>
      <c r="W46" s="155">
        <v>78136.33</v>
      </c>
      <c r="X46" s="191">
        <v>115138.1</v>
      </c>
      <c r="Y46" s="155">
        <v>41226.620000000003</v>
      </c>
      <c r="Z46" s="155">
        <v>221601.6</v>
      </c>
      <c r="AA46" s="155">
        <v>0</v>
      </c>
      <c r="AB46" s="155">
        <v>62496.51</v>
      </c>
      <c r="AC46" s="155">
        <v>366348.83</v>
      </c>
      <c r="AD46" s="155">
        <v>213612.46</v>
      </c>
      <c r="AE46" s="155">
        <v>735999.52</v>
      </c>
      <c r="AF46" s="155">
        <v>0</v>
      </c>
      <c r="AG46" s="155">
        <v>70654.44</v>
      </c>
      <c r="AH46" s="155">
        <v>112779.27</v>
      </c>
      <c r="AI46" s="155">
        <v>220672.38</v>
      </c>
      <c r="AJ46" s="155">
        <v>5894.27</v>
      </c>
      <c r="AK46" s="155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7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50" outlineLevel="1" x14ac:dyDescent="0.2">
      <c r="A47" s="3"/>
      <c r="B47" s="9">
        <v>39</v>
      </c>
      <c r="C47" s="11">
        <v>5315</v>
      </c>
      <c r="D47" s="184">
        <v>37</v>
      </c>
      <c r="E47" s="11" t="s">
        <v>46</v>
      </c>
      <c r="F47" s="98"/>
      <c r="G47" s="98">
        <v>1650054.9999999998</v>
      </c>
      <c r="H47" s="227">
        <v>1730574</v>
      </c>
      <c r="I47" s="227">
        <v>1602397.74</v>
      </c>
      <c r="J47" s="227">
        <v>1677425</v>
      </c>
      <c r="K47" s="227"/>
      <c r="L47" s="227"/>
      <c r="M47" s="227"/>
      <c r="N47" s="197"/>
      <c r="O47" s="108">
        <v>45</v>
      </c>
      <c r="P47" s="108">
        <v>0</v>
      </c>
      <c r="Q47" s="155">
        <v>12707187.91</v>
      </c>
      <c r="R47" s="155">
        <v>159630.62</v>
      </c>
      <c r="S47" s="155">
        <v>137307.71</v>
      </c>
      <c r="T47" s="155">
        <v>1024016</v>
      </c>
      <c r="U47" s="155">
        <v>959903.16</v>
      </c>
      <c r="V47" s="155">
        <v>798725.79</v>
      </c>
      <c r="W47" s="155">
        <v>473925.97</v>
      </c>
      <c r="X47" s="191">
        <v>234581.7</v>
      </c>
      <c r="Y47" s="155">
        <v>71976.98</v>
      </c>
      <c r="Z47" s="155">
        <v>441714.73</v>
      </c>
      <c r="AA47" s="155">
        <v>190010.41</v>
      </c>
      <c r="AB47" s="155">
        <v>395631.51</v>
      </c>
      <c r="AC47" s="155">
        <v>1324483.7</v>
      </c>
      <c r="AD47" s="155">
        <v>2348621.2400000002</v>
      </c>
      <c r="AE47" s="155">
        <v>1457174.45</v>
      </c>
      <c r="AF47" s="155">
        <v>870212.61</v>
      </c>
      <c r="AG47" s="155">
        <v>187750.48</v>
      </c>
      <c r="AH47" s="155">
        <v>707142.1</v>
      </c>
      <c r="AI47" s="155">
        <v>568055.68999999994</v>
      </c>
      <c r="AJ47" s="155">
        <v>183228.07</v>
      </c>
      <c r="AK47" s="155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7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50" outlineLevel="1" x14ac:dyDescent="0.2">
      <c r="A48" s="3"/>
      <c r="B48" s="9">
        <v>40</v>
      </c>
      <c r="C48" s="11">
        <v>5320</v>
      </c>
      <c r="D48" s="184">
        <v>38</v>
      </c>
      <c r="E48" s="11" t="s">
        <v>47</v>
      </c>
      <c r="F48" s="98"/>
      <c r="G48" s="98">
        <v>681622.46</v>
      </c>
      <c r="H48" s="227">
        <v>625613</v>
      </c>
      <c r="I48" s="227">
        <v>679336.57</v>
      </c>
      <c r="J48" s="227">
        <v>715072</v>
      </c>
      <c r="K48" s="227"/>
      <c r="L48" s="227"/>
      <c r="M48" s="227"/>
      <c r="N48" s="197"/>
      <c r="O48" s="108">
        <v>46</v>
      </c>
      <c r="P48" s="108">
        <v>0</v>
      </c>
      <c r="Q48" s="155">
        <v>5798303.6100000003</v>
      </c>
      <c r="R48" s="155">
        <v>205136.8</v>
      </c>
      <c r="S48" s="155">
        <v>0</v>
      </c>
      <c r="T48" s="155">
        <v>255644</v>
      </c>
      <c r="U48" s="155">
        <v>162717.48000000001</v>
      </c>
      <c r="V48" s="155">
        <v>276681.89</v>
      </c>
      <c r="W48" s="155">
        <v>273671.99</v>
      </c>
      <c r="X48" s="191">
        <v>84857.09</v>
      </c>
      <c r="Y48" s="155">
        <v>0</v>
      </c>
      <c r="Z48" s="155">
        <v>103984.94</v>
      </c>
      <c r="AA48" s="155">
        <v>0</v>
      </c>
      <c r="AB48" s="155">
        <v>91053.31</v>
      </c>
      <c r="AC48" s="155">
        <v>301663.78999999998</v>
      </c>
      <c r="AD48" s="155">
        <v>486911.15</v>
      </c>
      <c r="AE48" s="155">
        <v>99469.45</v>
      </c>
      <c r="AF48" s="155">
        <v>133326.85</v>
      </c>
      <c r="AG48" s="155">
        <v>140802.07999999999</v>
      </c>
      <c r="AH48" s="155">
        <v>305257.53000000003</v>
      </c>
      <c r="AI48" s="155">
        <v>145153.62</v>
      </c>
      <c r="AJ48" s="155">
        <v>69916.39</v>
      </c>
      <c r="AK48" s="155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7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50" outlineLevel="1" x14ac:dyDescent="0.2">
      <c r="A49" s="3"/>
      <c r="B49" s="9">
        <v>41</v>
      </c>
      <c r="C49" s="11">
        <v>5325</v>
      </c>
      <c r="D49" s="184">
        <v>39</v>
      </c>
      <c r="E49" s="11" t="s">
        <v>48</v>
      </c>
      <c r="F49" s="98"/>
      <c r="G49" s="98">
        <v>0</v>
      </c>
      <c r="H49" s="227">
        <v>0</v>
      </c>
      <c r="I49" s="227">
        <v>0</v>
      </c>
      <c r="J49" s="227">
        <v>0</v>
      </c>
      <c r="K49" s="227"/>
      <c r="L49" s="227"/>
      <c r="M49" s="227"/>
      <c r="N49" s="197"/>
      <c r="O49" s="108">
        <v>47</v>
      </c>
      <c r="P49" s="108">
        <v>0</v>
      </c>
      <c r="Q49" s="155">
        <v>-5788.51</v>
      </c>
      <c r="R49" s="155">
        <v>0</v>
      </c>
      <c r="S49" s="155">
        <v>-31.94</v>
      </c>
      <c r="T49" s="155">
        <v>0</v>
      </c>
      <c r="U49" s="155">
        <v>191.43</v>
      </c>
      <c r="V49" s="155">
        <v>0</v>
      </c>
      <c r="W49" s="155">
        <v>0</v>
      </c>
      <c r="X49" s="191">
        <v>-2.56</v>
      </c>
      <c r="Y49" s="155">
        <v>0</v>
      </c>
      <c r="Z49" s="155">
        <v>8.84</v>
      </c>
      <c r="AA49" s="155">
        <v>0</v>
      </c>
      <c r="AB49" s="155">
        <v>0</v>
      </c>
      <c r="AC49" s="155">
        <v>-44.12</v>
      </c>
      <c r="AD49" s="155">
        <v>0</v>
      </c>
      <c r="AE49" s="155">
        <v>0</v>
      </c>
      <c r="AF49" s="155">
        <v>0</v>
      </c>
      <c r="AG49" s="155">
        <v>0</v>
      </c>
      <c r="AH49" s="155">
        <v>0</v>
      </c>
      <c r="AI49" s="155">
        <v>0</v>
      </c>
      <c r="AJ49" s="155">
        <v>0</v>
      </c>
      <c r="AK49" s="155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7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50" outlineLevel="1" x14ac:dyDescent="0.2">
      <c r="A50" s="3"/>
      <c r="B50" s="9">
        <v>42</v>
      </c>
      <c r="C50" s="11">
        <v>5330</v>
      </c>
      <c r="D50" s="184">
        <v>40</v>
      </c>
      <c r="E50" s="11" t="s">
        <v>49</v>
      </c>
      <c r="F50" s="98"/>
      <c r="G50" s="98">
        <v>-113223</v>
      </c>
      <c r="H50" s="227">
        <v>-61953</v>
      </c>
      <c r="I50" s="227">
        <v>-29331</v>
      </c>
      <c r="J50" s="227">
        <v>-29331</v>
      </c>
      <c r="K50" s="227"/>
      <c r="L50" s="227"/>
      <c r="M50" s="227"/>
      <c r="N50" s="197"/>
      <c r="O50" s="108">
        <v>48</v>
      </c>
      <c r="P50" s="108">
        <v>0</v>
      </c>
      <c r="Q50" s="155">
        <v>-164898.25</v>
      </c>
      <c r="R50" s="155">
        <v>0</v>
      </c>
      <c r="S50" s="155">
        <v>0</v>
      </c>
      <c r="T50" s="155">
        <v>0</v>
      </c>
      <c r="U50" s="155">
        <v>0</v>
      </c>
      <c r="V50" s="155">
        <v>132786.38</v>
      </c>
      <c r="W50" s="155">
        <v>0</v>
      </c>
      <c r="X50" s="191">
        <v>0</v>
      </c>
      <c r="Y50" s="155">
        <v>0</v>
      </c>
      <c r="Z50" s="155">
        <v>0</v>
      </c>
      <c r="AA50" s="155">
        <v>1780</v>
      </c>
      <c r="AB50" s="155">
        <v>7010.11</v>
      </c>
      <c r="AC50" s="155">
        <v>23232.880000000001</v>
      </c>
      <c r="AD50" s="155">
        <v>360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-1450.08</v>
      </c>
      <c r="AK50" s="155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7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50" outlineLevel="1" x14ac:dyDescent="0.2">
      <c r="A51" s="3"/>
      <c r="B51" s="9">
        <v>43</v>
      </c>
      <c r="C51" s="11">
        <v>5340</v>
      </c>
      <c r="D51" s="184">
        <v>41</v>
      </c>
      <c r="E51" s="11" t="s">
        <v>50</v>
      </c>
      <c r="F51" s="98"/>
      <c r="G51" s="98"/>
      <c r="H51" s="14"/>
      <c r="I51" s="14"/>
      <c r="J51" s="14"/>
      <c r="K51" s="14"/>
      <c r="L51" s="14"/>
      <c r="M51" s="14"/>
      <c r="N51" s="197"/>
      <c r="O51" s="108">
        <v>49</v>
      </c>
      <c r="P51" s="108">
        <v>0</v>
      </c>
      <c r="Q51" s="155">
        <v>293388.52</v>
      </c>
      <c r="R51" s="155">
        <v>295583.74</v>
      </c>
      <c r="S51" s="155">
        <v>2000</v>
      </c>
      <c r="T51" s="155">
        <v>0</v>
      </c>
      <c r="U51" s="155">
        <v>666210.65</v>
      </c>
      <c r="V51" s="155">
        <v>697441.18</v>
      </c>
      <c r="W51" s="155">
        <v>536426.34</v>
      </c>
      <c r="X51" s="191">
        <v>0</v>
      </c>
      <c r="Y51" s="155">
        <v>0</v>
      </c>
      <c r="Z51" s="155">
        <v>482.92</v>
      </c>
      <c r="AA51" s="155">
        <v>0</v>
      </c>
      <c r="AB51" s="155">
        <v>0</v>
      </c>
      <c r="AC51" s="155">
        <v>0</v>
      </c>
      <c r="AD51" s="155">
        <v>0</v>
      </c>
      <c r="AE51" s="155">
        <v>0</v>
      </c>
      <c r="AF51" s="155">
        <v>0</v>
      </c>
      <c r="AG51" s="155">
        <v>0</v>
      </c>
      <c r="AH51" s="155">
        <v>64132.71</v>
      </c>
      <c r="AI51" s="155">
        <v>175589.38</v>
      </c>
      <c r="AJ51" s="155">
        <v>0</v>
      </c>
      <c r="AK51" s="155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7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50" x14ac:dyDescent="0.2">
      <c r="A52" s="3"/>
      <c r="B52" s="9">
        <v>44</v>
      </c>
      <c r="C52" s="15"/>
      <c r="D52" s="184"/>
      <c r="E52" s="16" t="s">
        <v>51</v>
      </c>
      <c r="F52" s="99"/>
      <c r="G52" s="230">
        <f>SUM(G45:G51)</f>
        <v>2767532.21</v>
      </c>
      <c r="H52" s="230">
        <f t="shared" ref="H52:BS52" si="7">SUM(H45:H51)</f>
        <v>2818572</v>
      </c>
      <c r="I52" s="230">
        <f t="shared" si="7"/>
        <v>2827208.88</v>
      </c>
      <c r="J52" s="230">
        <f t="shared" si="7"/>
        <v>2959683</v>
      </c>
      <c r="K52" s="230">
        <f t="shared" si="7"/>
        <v>0</v>
      </c>
      <c r="L52" s="230">
        <f t="shared" si="7"/>
        <v>0</v>
      </c>
      <c r="M52" s="230">
        <f t="shared" si="7"/>
        <v>0</v>
      </c>
      <c r="N52" s="230">
        <f t="shared" si="7"/>
        <v>0</v>
      </c>
      <c r="O52" s="230">
        <f t="shared" si="7"/>
        <v>322</v>
      </c>
      <c r="P52" s="230">
        <f t="shared" si="7"/>
        <v>0</v>
      </c>
      <c r="Q52" s="230">
        <f t="shared" si="7"/>
        <v>33756834.220000006</v>
      </c>
      <c r="R52" s="230">
        <f t="shared" si="7"/>
        <v>876378.3</v>
      </c>
      <c r="S52" s="230">
        <f t="shared" si="7"/>
        <v>173445.33</v>
      </c>
      <c r="T52" s="230">
        <f t="shared" si="7"/>
        <v>1776133</v>
      </c>
      <c r="U52" s="230">
        <f t="shared" si="7"/>
        <v>2853503.91</v>
      </c>
      <c r="V52" s="230">
        <f t="shared" si="7"/>
        <v>2253452.0700000003</v>
      </c>
      <c r="W52" s="230">
        <f t="shared" si="7"/>
        <v>1557925.1400000001</v>
      </c>
      <c r="X52" s="230">
        <f t="shared" si="7"/>
        <v>498835.02999999997</v>
      </c>
      <c r="Y52" s="230">
        <f t="shared" si="7"/>
        <v>113203.6</v>
      </c>
      <c r="Z52" s="230">
        <f t="shared" si="7"/>
        <v>879512.71</v>
      </c>
      <c r="AA52" s="230">
        <f t="shared" si="7"/>
        <v>191790.41</v>
      </c>
      <c r="AB52" s="230">
        <f t="shared" si="7"/>
        <v>655885.59</v>
      </c>
      <c r="AC52" s="230">
        <f t="shared" si="7"/>
        <v>2933467.55</v>
      </c>
      <c r="AD52" s="230">
        <f t="shared" si="7"/>
        <v>3393501.2800000003</v>
      </c>
      <c r="AE52" s="230">
        <f t="shared" si="7"/>
        <v>2292643.42</v>
      </c>
      <c r="AF52" s="230">
        <f t="shared" si="7"/>
        <v>1003539.46</v>
      </c>
      <c r="AG52" s="230">
        <f t="shared" si="7"/>
        <v>399207</v>
      </c>
      <c r="AH52" s="230">
        <f t="shared" si="7"/>
        <v>1390400.54</v>
      </c>
      <c r="AI52" s="230">
        <f t="shared" si="7"/>
        <v>1139200.67</v>
      </c>
      <c r="AJ52" s="230">
        <f t="shared" si="7"/>
        <v>285024.05</v>
      </c>
      <c r="AK52" s="230">
        <f t="shared" si="7"/>
        <v>2284683.33</v>
      </c>
      <c r="AL52" s="230">
        <f t="shared" si="7"/>
        <v>611072.96</v>
      </c>
      <c r="AM52" s="230">
        <f t="shared" si="7"/>
        <v>2383906.9</v>
      </c>
      <c r="AN52" s="230">
        <f t="shared" si="7"/>
        <v>1078641.5499999998</v>
      </c>
      <c r="AO52" s="230">
        <f t="shared" si="7"/>
        <v>285910.73999999993</v>
      </c>
      <c r="AP52" s="230">
        <f t="shared" si="7"/>
        <v>155371.55000000002</v>
      </c>
      <c r="AQ52" s="230">
        <f t="shared" si="7"/>
        <v>401290.6</v>
      </c>
      <c r="AR52" s="230">
        <f t="shared" si="7"/>
        <v>69620412</v>
      </c>
      <c r="AS52" s="230">
        <f t="shared" si="7"/>
        <v>10403477.65</v>
      </c>
      <c r="AT52" s="230">
        <f t="shared" si="7"/>
        <v>983191.66</v>
      </c>
      <c r="AU52" s="230">
        <f t="shared" si="7"/>
        <v>533429</v>
      </c>
      <c r="AV52" s="230">
        <f t="shared" si="7"/>
        <v>598249</v>
      </c>
      <c r="AW52" s="230">
        <f t="shared" si="7"/>
        <v>4432564.5200000005</v>
      </c>
      <c r="AX52" s="230">
        <f t="shared" si="7"/>
        <v>493727.86</v>
      </c>
      <c r="AY52" s="230">
        <f t="shared" si="7"/>
        <v>873887.04</v>
      </c>
      <c r="AZ52" s="230">
        <f t="shared" si="7"/>
        <v>4266917.82</v>
      </c>
      <c r="BA52" s="230">
        <f t="shared" si="7"/>
        <v>0</v>
      </c>
      <c r="BB52" s="230">
        <f t="shared" si="7"/>
        <v>2036029</v>
      </c>
      <c r="BC52" s="230">
        <f t="shared" si="7"/>
        <v>1858815.5099999998</v>
      </c>
      <c r="BD52" s="230">
        <f t="shared" si="7"/>
        <v>5408752.6699999999</v>
      </c>
      <c r="BE52" s="230">
        <f t="shared" si="7"/>
        <v>553044.14999999991</v>
      </c>
      <c r="BF52" s="230">
        <f t="shared" si="7"/>
        <v>1090654.43</v>
      </c>
      <c r="BG52" s="230">
        <f t="shared" si="7"/>
        <v>677714.21</v>
      </c>
      <c r="BH52" s="230">
        <f t="shared" si="7"/>
        <v>2589017.9500000002</v>
      </c>
      <c r="BI52" s="230">
        <f t="shared" si="7"/>
        <v>737414.02</v>
      </c>
      <c r="BJ52" s="230">
        <f t="shared" si="7"/>
        <v>1104015</v>
      </c>
      <c r="BK52" s="230">
        <f t="shared" si="7"/>
        <v>2036425</v>
      </c>
      <c r="BL52" s="230">
        <f t="shared" si="7"/>
        <v>633656.16999999993</v>
      </c>
      <c r="BM52" s="230">
        <f t="shared" si="7"/>
        <v>2033970.44</v>
      </c>
      <c r="BN52" s="230">
        <f t="shared" si="7"/>
        <v>1132047.93</v>
      </c>
      <c r="BO52" s="230">
        <f t="shared" si="7"/>
        <v>414530.34</v>
      </c>
      <c r="BP52" s="230">
        <f t="shared" si="7"/>
        <v>500070.32999999996</v>
      </c>
      <c r="BQ52" s="230">
        <f t="shared" si="7"/>
        <v>323679.73</v>
      </c>
      <c r="BR52" s="230">
        <f t="shared" si="7"/>
        <v>0</v>
      </c>
      <c r="BS52" s="230">
        <f t="shared" si="7"/>
        <v>1909567.54</v>
      </c>
      <c r="BT52" s="230">
        <f t="shared" ref="BT52:EE52" si="8">SUM(BT45:BT51)</f>
        <v>605482.59000000008</v>
      </c>
      <c r="BU52" s="230">
        <f t="shared" si="8"/>
        <v>28230152.009999998</v>
      </c>
      <c r="BV52" s="230">
        <f t="shared" si="8"/>
        <v>6142918</v>
      </c>
      <c r="BW52" s="230">
        <f t="shared" si="8"/>
        <v>1015214.17</v>
      </c>
      <c r="BX52" s="230">
        <f t="shared" si="8"/>
        <v>2699535</v>
      </c>
      <c r="BY52" s="230">
        <f t="shared" si="8"/>
        <v>1320144.29</v>
      </c>
      <c r="BZ52" s="230">
        <f t="shared" si="8"/>
        <v>339696.71</v>
      </c>
      <c r="CA52" s="230">
        <f t="shared" si="8"/>
        <v>425322</v>
      </c>
      <c r="CB52" s="230">
        <f t="shared" si="8"/>
        <v>756061.37999999989</v>
      </c>
      <c r="CC52" s="230">
        <f t="shared" si="8"/>
        <v>2465024.9400000004</v>
      </c>
      <c r="CD52" s="230">
        <f t="shared" si="8"/>
        <v>0</v>
      </c>
      <c r="CE52" s="230">
        <f t="shared" si="8"/>
        <v>0</v>
      </c>
      <c r="CF52" s="230">
        <f t="shared" si="8"/>
        <v>0</v>
      </c>
      <c r="CG52" s="230">
        <f t="shared" si="8"/>
        <v>43540156.059999995</v>
      </c>
      <c r="CH52" s="230">
        <f t="shared" si="8"/>
        <v>825213.97000000009</v>
      </c>
      <c r="CI52" s="230">
        <f t="shared" si="8"/>
        <v>169384.6</v>
      </c>
      <c r="CJ52" s="230">
        <f t="shared" si="8"/>
        <v>1751758.16</v>
      </c>
      <c r="CK52" s="230">
        <f t="shared" si="8"/>
        <v>2632763.2199999997</v>
      </c>
      <c r="CL52" s="230">
        <f t="shared" si="8"/>
        <v>2192215.59</v>
      </c>
      <c r="CM52" s="230">
        <f t="shared" si="8"/>
        <v>1490688.96</v>
      </c>
      <c r="CN52" s="230">
        <f t="shared" si="8"/>
        <v>497995.66000000003</v>
      </c>
      <c r="CO52" s="230">
        <f t="shared" si="8"/>
        <v>121428.4</v>
      </c>
      <c r="CP52" s="230">
        <f t="shared" si="8"/>
        <v>896616.25</v>
      </c>
      <c r="CQ52" s="230">
        <f t="shared" si="8"/>
        <v>183544.13</v>
      </c>
      <c r="CR52" s="230">
        <f t="shared" si="8"/>
        <v>575787.36</v>
      </c>
      <c r="CS52" s="230">
        <f t="shared" si="8"/>
        <v>2885180.82</v>
      </c>
      <c r="CT52" s="230">
        <f t="shared" si="8"/>
        <v>2231892.0699999998</v>
      </c>
      <c r="CU52" s="230">
        <f t="shared" si="8"/>
        <v>2095380.7700000003</v>
      </c>
      <c r="CV52" s="230">
        <f t="shared" si="8"/>
        <v>971100.85000000009</v>
      </c>
      <c r="CW52" s="230">
        <f t="shared" si="8"/>
        <v>377850.39</v>
      </c>
      <c r="CX52" s="230">
        <f t="shared" si="8"/>
        <v>1123842.44</v>
      </c>
      <c r="CY52" s="230">
        <f t="shared" si="8"/>
        <v>1173263.76</v>
      </c>
      <c r="CZ52" s="230">
        <f t="shared" si="8"/>
        <v>289565.28999999998</v>
      </c>
      <c r="DA52" s="230">
        <f t="shared" si="8"/>
        <v>1792603.14</v>
      </c>
      <c r="DB52" s="230">
        <f t="shared" si="8"/>
        <v>570994.36000000022</v>
      </c>
      <c r="DC52" s="230">
        <f t="shared" si="8"/>
        <v>2482183.1599999997</v>
      </c>
      <c r="DD52" s="230">
        <f t="shared" si="8"/>
        <v>1048381.52</v>
      </c>
      <c r="DE52" s="230">
        <f t="shared" si="8"/>
        <v>297286.76</v>
      </c>
      <c r="DF52" s="230">
        <f t="shared" si="8"/>
        <v>154316.47</v>
      </c>
      <c r="DG52" s="230">
        <f t="shared" si="8"/>
        <v>387861.66000000003</v>
      </c>
      <c r="DH52" s="230">
        <f t="shared" si="8"/>
        <v>75700206.159999996</v>
      </c>
      <c r="DI52" s="230">
        <f t="shared" si="8"/>
        <v>10561399.789999999</v>
      </c>
      <c r="DJ52" s="230">
        <f t="shared" si="8"/>
        <v>902882.36999999988</v>
      </c>
      <c r="DK52" s="230">
        <f t="shared" si="8"/>
        <v>540153</v>
      </c>
      <c r="DL52" s="230">
        <f t="shared" si="8"/>
        <v>694796</v>
      </c>
      <c r="DM52" s="230">
        <f t="shared" si="8"/>
        <v>4141208.7</v>
      </c>
      <c r="DN52" s="230">
        <f t="shared" si="8"/>
        <v>481196.32</v>
      </c>
      <c r="DO52" s="230">
        <f t="shared" si="8"/>
        <v>840564.20000000007</v>
      </c>
      <c r="DP52" s="230">
        <f t="shared" si="8"/>
        <v>4651593.34</v>
      </c>
      <c r="DQ52" s="230">
        <f t="shared" si="8"/>
        <v>430145.34</v>
      </c>
      <c r="DR52" s="230">
        <f t="shared" si="8"/>
        <v>2178845</v>
      </c>
      <c r="DS52" s="230">
        <f t="shared" si="8"/>
        <v>1855933.2200000002</v>
      </c>
      <c r="DT52" s="230">
        <f t="shared" si="8"/>
        <v>5357088.6700000009</v>
      </c>
      <c r="DU52" s="230">
        <f t="shared" si="8"/>
        <v>555365.16</v>
      </c>
      <c r="DV52" s="230">
        <f t="shared" si="8"/>
        <v>1040559.11</v>
      </c>
      <c r="DW52" s="230">
        <f t="shared" si="8"/>
        <v>678698.03</v>
      </c>
      <c r="DX52" s="230">
        <f t="shared" si="8"/>
        <v>2411228.75</v>
      </c>
      <c r="DY52" s="230">
        <f t="shared" si="8"/>
        <v>730267.42</v>
      </c>
      <c r="DZ52" s="230">
        <f t="shared" si="8"/>
        <v>1100854</v>
      </c>
      <c r="EA52" s="230">
        <f t="shared" si="8"/>
        <v>2005886.1600000001</v>
      </c>
      <c r="EB52" s="230">
        <f t="shared" si="8"/>
        <v>630458.62</v>
      </c>
      <c r="EC52" s="230">
        <f t="shared" si="8"/>
        <v>2083469.44</v>
      </c>
      <c r="ED52" s="230">
        <f t="shared" si="8"/>
        <v>1260905.04</v>
      </c>
      <c r="EE52" s="230">
        <f t="shared" si="8"/>
        <v>473246.33999999997</v>
      </c>
      <c r="EF52" s="230">
        <f t="shared" ref="EF52:ET52" si="9">SUM(EF45:EF51)</f>
        <v>472056.98</v>
      </c>
      <c r="EG52" s="230">
        <f t="shared" si="9"/>
        <v>348988.55999999994</v>
      </c>
      <c r="EH52" s="230">
        <f t="shared" si="9"/>
        <v>880643.62000000011</v>
      </c>
      <c r="EI52" s="230">
        <f t="shared" si="9"/>
        <v>1958406.7</v>
      </c>
      <c r="EJ52" s="230">
        <f t="shared" si="9"/>
        <v>575587.42999999993</v>
      </c>
      <c r="EK52" s="230">
        <f t="shared" si="9"/>
        <v>29608020.190000001</v>
      </c>
      <c r="EL52" s="230">
        <f t="shared" si="9"/>
        <v>6402436</v>
      </c>
      <c r="EM52" s="230">
        <f t="shared" si="9"/>
        <v>1029892.5800000001</v>
      </c>
      <c r="EN52" s="230">
        <f t="shared" si="9"/>
        <v>2778523</v>
      </c>
      <c r="EO52" s="230">
        <f t="shared" si="9"/>
        <v>1341096.26</v>
      </c>
      <c r="EP52" s="230">
        <f t="shared" si="9"/>
        <v>335658.6</v>
      </c>
      <c r="EQ52" s="230">
        <f t="shared" si="9"/>
        <v>450438</v>
      </c>
      <c r="ER52" s="230">
        <f t="shared" si="9"/>
        <v>980146</v>
      </c>
      <c r="ES52" s="230">
        <f t="shared" si="9"/>
        <v>2770876.04</v>
      </c>
      <c r="ET52" s="230">
        <f t="shared" si="9"/>
        <v>0</v>
      </c>
    </row>
    <row r="53" spans="1:150" outlineLevel="1" x14ac:dyDescent="0.2">
      <c r="A53" s="3"/>
      <c r="B53" s="9">
        <v>45</v>
      </c>
      <c r="C53" s="11">
        <v>5405</v>
      </c>
      <c r="D53" s="184">
        <v>42</v>
      </c>
      <c r="E53" s="11" t="s">
        <v>52</v>
      </c>
      <c r="F53" s="98"/>
      <c r="G53" s="98">
        <f>HLOOKUP($E$3,$P$3:$CE$269,O53,TRUE)</f>
        <v>0</v>
      </c>
      <c r="H53" s="227"/>
      <c r="I53" s="227">
        <v>48829</v>
      </c>
      <c r="J53" s="227">
        <v>122701</v>
      </c>
      <c r="K53" s="227"/>
      <c r="L53" s="227"/>
      <c r="M53" s="227"/>
      <c r="N53" s="197"/>
      <c r="O53" s="108">
        <v>51</v>
      </c>
      <c r="P53" s="108">
        <v>0</v>
      </c>
      <c r="Q53" s="155">
        <v>1496117.7</v>
      </c>
      <c r="R53" s="155">
        <v>628.96</v>
      </c>
      <c r="S53" s="155">
        <v>0</v>
      </c>
      <c r="T53" s="155">
        <v>0</v>
      </c>
      <c r="U53" s="155">
        <v>0</v>
      </c>
      <c r="V53" s="155">
        <v>0</v>
      </c>
      <c r="W53" s="155">
        <v>0</v>
      </c>
      <c r="X53" s="191">
        <v>0</v>
      </c>
      <c r="Y53" s="155">
        <v>0</v>
      </c>
      <c r="Z53" s="155">
        <v>0</v>
      </c>
      <c r="AA53" s="155">
        <v>0</v>
      </c>
      <c r="AB53" s="155">
        <v>0</v>
      </c>
      <c r="AC53" s="155">
        <v>6017.15</v>
      </c>
      <c r="AD53" s="155">
        <v>0</v>
      </c>
      <c r="AE53" s="155">
        <v>0</v>
      </c>
      <c r="AF53" s="155">
        <v>0</v>
      </c>
      <c r="AG53" s="155">
        <v>0</v>
      </c>
      <c r="AH53" s="155">
        <v>0</v>
      </c>
      <c r="AI53" s="155">
        <v>975</v>
      </c>
      <c r="AJ53" s="155">
        <v>27619.88</v>
      </c>
      <c r="AK53" s="155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7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50" outlineLevel="1" x14ac:dyDescent="0.2">
      <c r="A54" s="3"/>
      <c r="B54" s="9">
        <v>46</v>
      </c>
      <c r="C54" s="11">
        <v>5410</v>
      </c>
      <c r="D54" s="184">
        <v>43</v>
      </c>
      <c r="E54" s="11" t="s">
        <v>53</v>
      </c>
      <c r="F54" s="98"/>
      <c r="G54" s="98">
        <v>176175.06999999998</v>
      </c>
      <c r="H54" s="227">
        <v>200382</v>
      </c>
      <c r="I54" s="227">
        <f>214475.36+45669</f>
        <v>260144.36</v>
      </c>
      <c r="J54" s="227">
        <f>240946+107280</f>
        <v>348226</v>
      </c>
      <c r="K54" s="227"/>
      <c r="L54" s="227"/>
      <c r="M54" s="227"/>
      <c r="N54" s="197"/>
      <c r="O54" s="108">
        <v>52</v>
      </c>
      <c r="P54" s="108">
        <v>0</v>
      </c>
      <c r="Q54" s="155">
        <v>1526545.53</v>
      </c>
      <c r="R54" s="155">
        <v>8457.25</v>
      </c>
      <c r="S54" s="155">
        <v>0</v>
      </c>
      <c r="T54" s="155">
        <v>170278</v>
      </c>
      <c r="U54" s="155">
        <v>62434.92</v>
      </c>
      <c r="V54" s="155">
        <v>0</v>
      </c>
      <c r="W54" s="155">
        <v>0</v>
      </c>
      <c r="X54" s="191">
        <v>25882.76</v>
      </c>
      <c r="Y54" s="155">
        <v>0</v>
      </c>
      <c r="Z54" s="155">
        <v>0</v>
      </c>
      <c r="AA54" s="155">
        <v>2749.67</v>
      </c>
      <c r="AB54" s="155">
        <v>20966.53</v>
      </c>
      <c r="AC54" s="155">
        <v>21249.56</v>
      </c>
      <c r="AD54" s="155">
        <v>40388.78</v>
      </c>
      <c r="AE54" s="155">
        <v>147722.56</v>
      </c>
      <c r="AF54" s="155">
        <v>64824.51</v>
      </c>
      <c r="AG54" s="155">
        <v>0</v>
      </c>
      <c r="AH54" s="155">
        <v>38490.339999999997</v>
      </c>
      <c r="AI54" s="155">
        <v>0</v>
      </c>
      <c r="AJ54" s="155">
        <v>6314.98</v>
      </c>
      <c r="AK54" s="155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7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50" outlineLevel="1" x14ac:dyDescent="0.2">
      <c r="A55" s="3"/>
      <c r="B55" s="9">
        <v>47</v>
      </c>
      <c r="C55" s="11">
        <v>5420</v>
      </c>
      <c r="D55" s="184">
        <v>44</v>
      </c>
      <c r="E55" s="11" t="s">
        <v>54</v>
      </c>
      <c r="F55" s="98"/>
      <c r="G55" s="98">
        <v>24155.14</v>
      </c>
      <c r="H55" s="227">
        <v>43807</v>
      </c>
      <c r="I55" s="227">
        <v>39607.19</v>
      </c>
      <c r="J55" s="227">
        <v>40613</v>
      </c>
      <c r="K55" s="227"/>
      <c r="L55" s="227"/>
      <c r="M55" s="227"/>
      <c r="N55" s="197"/>
      <c r="O55" s="108">
        <v>53</v>
      </c>
      <c r="P55" s="108">
        <v>0</v>
      </c>
      <c r="Q55" s="155">
        <v>3183.14</v>
      </c>
      <c r="R55" s="155">
        <v>0</v>
      </c>
      <c r="S55" s="155">
        <v>0</v>
      </c>
      <c r="T55" s="155">
        <v>193349</v>
      </c>
      <c r="U55" s="155">
        <v>20092.39</v>
      </c>
      <c r="V55" s="155">
        <v>25391.96</v>
      </c>
      <c r="W55" s="155">
        <v>4350</v>
      </c>
      <c r="X55" s="191">
        <v>0</v>
      </c>
      <c r="Y55" s="155">
        <v>0</v>
      </c>
      <c r="Z55" s="155">
        <v>9900</v>
      </c>
      <c r="AA55" s="155">
        <v>0</v>
      </c>
      <c r="AB55" s="155">
        <v>0</v>
      </c>
      <c r="AC55" s="155">
        <v>78340.22</v>
      </c>
      <c r="AD55" s="155">
        <v>0</v>
      </c>
      <c r="AE55" s="155">
        <v>0</v>
      </c>
      <c r="AF55" s="155">
        <v>3680</v>
      </c>
      <c r="AG55" s="155">
        <v>0</v>
      </c>
      <c r="AH55" s="155">
        <v>0</v>
      </c>
      <c r="AI55" s="155">
        <v>8770.07</v>
      </c>
      <c r="AJ55" s="155">
        <v>225.19</v>
      </c>
      <c r="AK55" s="155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7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50" outlineLevel="1" x14ac:dyDescent="0.2">
      <c r="A56" s="3"/>
      <c r="B56" s="9">
        <v>48</v>
      </c>
      <c r="C56" s="11">
        <v>5425</v>
      </c>
      <c r="D56" s="184">
        <v>45</v>
      </c>
      <c r="E56" s="11" t="s">
        <v>55</v>
      </c>
      <c r="F56" s="98"/>
      <c r="G56" s="98">
        <f>HLOOKUP($E$3,$P$3:$CE$269,O56,TRUE)</f>
        <v>0</v>
      </c>
      <c r="H56" s="14"/>
      <c r="I56" s="14"/>
      <c r="J56" s="14"/>
      <c r="K56" s="14"/>
      <c r="L56" s="14"/>
      <c r="M56" s="14"/>
      <c r="N56" s="197"/>
      <c r="O56" s="108">
        <v>54</v>
      </c>
      <c r="P56" s="108">
        <v>0</v>
      </c>
      <c r="Q56" s="155">
        <v>1563.96</v>
      </c>
      <c r="R56" s="155">
        <v>132803.91</v>
      </c>
      <c r="S56" s="155">
        <v>0</v>
      </c>
      <c r="T56" s="155">
        <v>1323</v>
      </c>
      <c r="U56" s="155">
        <v>0</v>
      </c>
      <c r="V56" s="155">
        <v>0</v>
      </c>
      <c r="W56" s="155">
        <v>30601.07</v>
      </c>
      <c r="X56" s="191">
        <v>9278.52</v>
      </c>
      <c r="Y56" s="155">
        <v>0</v>
      </c>
      <c r="Z56" s="155">
        <v>217891.18</v>
      </c>
      <c r="AA56" s="155">
        <v>0</v>
      </c>
      <c r="AB56" s="155">
        <v>0</v>
      </c>
      <c r="AC56" s="155">
        <v>0</v>
      </c>
      <c r="AD56" s="155">
        <v>761.63</v>
      </c>
      <c r="AE56" s="155">
        <v>0</v>
      </c>
      <c r="AF56" s="155">
        <v>41559.01</v>
      </c>
      <c r="AG56" s="155">
        <v>0</v>
      </c>
      <c r="AH56" s="155">
        <v>0</v>
      </c>
      <c r="AI56" s="155">
        <v>0</v>
      </c>
      <c r="AJ56" s="155">
        <v>10278.51</v>
      </c>
      <c r="AK56" s="155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7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50" x14ac:dyDescent="0.2">
      <c r="A57" s="3"/>
      <c r="B57" s="9">
        <v>49</v>
      </c>
      <c r="C57" s="15"/>
      <c r="D57" s="184"/>
      <c r="E57" s="16" t="s">
        <v>56</v>
      </c>
      <c r="F57" s="99"/>
      <c r="G57" s="230">
        <f>SUM(G53:G56)</f>
        <v>200330.20999999996</v>
      </c>
      <c r="H57" s="230">
        <f t="shared" ref="H57:BS57" si="10">SUM(H53:H56)</f>
        <v>244189</v>
      </c>
      <c r="I57" s="230">
        <f t="shared" si="10"/>
        <v>348580.55</v>
      </c>
      <c r="J57" s="230">
        <f t="shared" si="10"/>
        <v>511540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98">
        <f t="shared" si="10"/>
        <v>0</v>
      </c>
      <c r="O57" s="98">
        <f t="shared" si="10"/>
        <v>210</v>
      </c>
      <c r="P57" s="98">
        <f t="shared" si="10"/>
        <v>0</v>
      </c>
      <c r="Q57" s="98">
        <f t="shared" si="10"/>
        <v>3027410.33</v>
      </c>
      <c r="R57" s="98">
        <f t="shared" si="10"/>
        <v>141890.12</v>
      </c>
      <c r="S57" s="98">
        <f t="shared" si="10"/>
        <v>0</v>
      </c>
      <c r="T57" s="98">
        <f t="shared" si="10"/>
        <v>364950</v>
      </c>
      <c r="U57" s="98">
        <f t="shared" si="10"/>
        <v>82527.31</v>
      </c>
      <c r="V57" s="98">
        <f t="shared" si="10"/>
        <v>25391.96</v>
      </c>
      <c r="W57" s="98">
        <f t="shared" si="10"/>
        <v>34951.07</v>
      </c>
      <c r="X57" s="98">
        <f t="shared" si="10"/>
        <v>35161.279999999999</v>
      </c>
      <c r="Y57" s="98">
        <f t="shared" si="10"/>
        <v>0</v>
      </c>
      <c r="Z57" s="98">
        <f t="shared" si="10"/>
        <v>227791.18</v>
      </c>
      <c r="AA57" s="98">
        <f t="shared" si="10"/>
        <v>2749.67</v>
      </c>
      <c r="AB57" s="98">
        <f t="shared" si="10"/>
        <v>20966.53</v>
      </c>
      <c r="AC57" s="98">
        <f t="shared" si="10"/>
        <v>105606.93</v>
      </c>
      <c r="AD57" s="98">
        <f t="shared" si="10"/>
        <v>41150.409999999996</v>
      </c>
      <c r="AE57" s="98">
        <f t="shared" si="10"/>
        <v>147722.56</v>
      </c>
      <c r="AF57" s="98">
        <f t="shared" si="10"/>
        <v>110063.52000000002</v>
      </c>
      <c r="AG57" s="98">
        <f t="shared" si="10"/>
        <v>0</v>
      </c>
      <c r="AH57" s="98">
        <f t="shared" si="10"/>
        <v>38490.339999999997</v>
      </c>
      <c r="AI57" s="98">
        <f t="shared" si="10"/>
        <v>9745.07</v>
      </c>
      <c r="AJ57" s="98">
        <f t="shared" si="10"/>
        <v>44438.560000000005</v>
      </c>
      <c r="AK57" s="98">
        <f t="shared" si="10"/>
        <v>0</v>
      </c>
      <c r="AL57" s="98">
        <f t="shared" si="10"/>
        <v>0</v>
      </c>
      <c r="AM57" s="98">
        <f t="shared" si="10"/>
        <v>15864.98</v>
      </c>
      <c r="AN57" s="98">
        <f t="shared" si="10"/>
        <v>386</v>
      </c>
      <c r="AO57" s="98">
        <f t="shared" si="10"/>
        <v>5486.3099999999995</v>
      </c>
      <c r="AP57" s="98">
        <f t="shared" si="10"/>
        <v>0</v>
      </c>
      <c r="AQ57" s="98">
        <f t="shared" si="10"/>
        <v>0</v>
      </c>
      <c r="AR57" s="98">
        <f t="shared" si="10"/>
        <v>1906259.62</v>
      </c>
      <c r="AS57" s="98">
        <f t="shared" si="10"/>
        <v>4426722.99</v>
      </c>
      <c r="AT57" s="98">
        <f t="shared" si="10"/>
        <v>72722.080000000002</v>
      </c>
      <c r="AU57" s="98">
        <f t="shared" si="10"/>
        <v>0</v>
      </c>
      <c r="AV57" s="98">
        <f t="shared" si="10"/>
        <v>190095</v>
      </c>
      <c r="AW57" s="98">
        <f t="shared" si="10"/>
        <v>241006.15</v>
      </c>
      <c r="AX57" s="98">
        <f t="shared" si="10"/>
        <v>21563.64</v>
      </c>
      <c r="AY57" s="98">
        <f t="shared" si="10"/>
        <v>51737.120000000003</v>
      </c>
      <c r="AZ57" s="98">
        <f t="shared" si="10"/>
        <v>180706.19</v>
      </c>
      <c r="BA57" s="98">
        <f t="shared" si="10"/>
        <v>0</v>
      </c>
      <c r="BB57" s="98">
        <f t="shared" si="10"/>
        <v>10120</v>
      </c>
      <c r="BC57" s="98">
        <f t="shared" si="10"/>
        <v>107795.44</v>
      </c>
      <c r="BD57" s="98">
        <f t="shared" si="10"/>
        <v>132561.32999999999</v>
      </c>
      <c r="BE57" s="98">
        <f t="shared" si="10"/>
        <v>9474.9699999999993</v>
      </c>
      <c r="BF57" s="98">
        <f t="shared" si="10"/>
        <v>0</v>
      </c>
      <c r="BG57" s="98">
        <f t="shared" si="10"/>
        <v>0</v>
      </c>
      <c r="BH57" s="98">
        <f t="shared" si="10"/>
        <v>117965.90000000001</v>
      </c>
      <c r="BI57" s="98">
        <f t="shared" si="10"/>
        <v>32725.4</v>
      </c>
      <c r="BJ57" s="98">
        <f t="shared" si="10"/>
        <v>29868</v>
      </c>
      <c r="BK57" s="98">
        <f t="shared" si="10"/>
        <v>1227042</v>
      </c>
      <c r="BL57" s="98">
        <f t="shared" si="10"/>
        <v>71626.66</v>
      </c>
      <c r="BM57" s="98">
        <f t="shared" si="10"/>
        <v>0</v>
      </c>
      <c r="BN57" s="98">
        <f t="shared" si="10"/>
        <v>595226.16999999993</v>
      </c>
      <c r="BO57" s="98">
        <f t="shared" si="10"/>
        <v>14172.93</v>
      </c>
      <c r="BP57" s="98">
        <f t="shared" si="10"/>
        <v>24377.22</v>
      </c>
      <c r="BQ57" s="98">
        <f t="shared" si="10"/>
        <v>408</v>
      </c>
      <c r="BR57" s="98">
        <f t="shared" si="10"/>
        <v>0</v>
      </c>
      <c r="BS57" s="98">
        <f t="shared" si="10"/>
        <v>13108.38</v>
      </c>
      <c r="BT57" s="98">
        <f t="shared" ref="BT57:EE57" si="11">SUM(BT53:BT56)</f>
        <v>0</v>
      </c>
      <c r="BU57" s="98">
        <f t="shared" si="11"/>
        <v>2423032.13</v>
      </c>
      <c r="BV57" s="98">
        <f t="shared" si="11"/>
        <v>141184</v>
      </c>
      <c r="BW57" s="98">
        <f t="shared" si="11"/>
        <v>10552.91</v>
      </c>
      <c r="BX57" s="98">
        <f t="shared" si="11"/>
        <v>195871</v>
      </c>
      <c r="BY57" s="98">
        <f t="shared" si="11"/>
        <v>69517.760000000009</v>
      </c>
      <c r="BZ57" s="98">
        <f t="shared" si="11"/>
        <v>9832.73</v>
      </c>
      <c r="CA57" s="98">
        <f t="shared" si="11"/>
        <v>2069</v>
      </c>
      <c r="CB57" s="98">
        <f t="shared" si="11"/>
        <v>29323.170000000002</v>
      </c>
      <c r="CC57" s="98">
        <f t="shared" si="11"/>
        <v>134383.12</v>
      </c>
      <c r="CD57" s="98">
        <f t="shared" si="11"/>
        <v>0</v>
      </c>
      <c r="CE57" s="98">
        <f t="shared" si="11"/>
        <v>0</v>
      </c>
      <c r="CF57" s="98">
        <f t="shared" si="11"/>
        <v>0</v>
      </c>
      <c r="CG57" s="98">
        <f t="shared" si="11"/>
        <v>3048244.4699999997</v>
      </c>
      <c r="CH57" s="98">
        <f t="shared" si="11"/>
        <v>47552.270000000004</v>
      </c>
      <c r="CI57" s="98">
        <f t="shared" si="11"/>
        <v>0</v>
      </c>
      <c r="CJ57" s="98">
        <f t="shared" si="11"/>
        <v>286242.5</v>
      </c>
      <c r="CK57" s="98">
        <f t="shared" si="11"/>
        <v>38460.53</v>
      </c>
      <c r="CL57" s="98">
        <f t="shared" si="11"/>
        <v>35025.9</v>
      </c>
      <c r="CM57" s="98">
        <f t="shared" si="11"/>
        <v>31120.82</v>
      </c>
      <c r="CN57" s="98">
        <f t="shared" si="11"/>
        <v>44309.53</v>
      </c>
      <c r="CO57" s="98">
        <f t="shared" si="11"/>
        <v>415</v>
      </c>
      <c r="CP57" s="98">
        <f t="shared" si="11"/>
        <v>225346.14</v>
      </c>
      <c r="CQ57" s="98">
        <f t="shared" si="11"/>
        <v>4443.17</v>
      </c>
      <c r="CR57" s="98">
        <f t="shared" si="11"/>
        <v>3497.13</v>
      </c>
      <c r="CS57" s="98">
        <f t="shared" si="11"/>
        <v>97711.63</v>
      </c>
      <c r="CT57" s="98">
        <f t="shared" si="11"/>
        <v>31049.83</v>
      </c>
      <c r="CU57" s="98">
        <f t="shared" si="11"/>
        <v>132384.85999999999</v>
      </c>
      <c r="CV57" s="98">
        <f t="shared" si="11"/>
        <v>65038.21</v>
      </c>
      <c r="CW57" s="98">
        <f t="shared" si="11"/>
        <v>0</v>
      </c>
      <c r="CX57" s="98">
        <f t="shared" si="11"/>
        <v>13983.86</v>
      </c>
      <c r="CY57" s="98">
        <f t="shared" si="11"/>
        <v>13400.15</v>
      </c>
      <c r="CZ57" s="98">
        <f t="shared" si="11"/>
        <v>69309.709999999992</v>
      </c>
      <c r="DA57" s="98">
        <f t="shared" si="11"/>
        <v>0</v>
      </c>
      <c r="DB57" s="98">
        <f t="shared" si="11"/>
        <v>0</v>
      </c>
      <c r="DC57" s="98">
        <f t="shared" si="11"/>
        <v>51591.72</v>
      </c>
      <c r="DD57" s="98">
        <f t="shared" si="11"/>
        <v>0</v>
      </c>
      <c r="DE57" s="98">
        <f t="shared" si="11"/>
        <v>4005.4199999999996</v>
      </c>
      <c r="DF57" s="98">
        <f t="shared" si="11"/>
        <v>0</v>
      </c>
      <c r="DG57" s="98">
        <f t="shared" si="11"/>
        <v>0</v>
      </c>
      <c r="DH57" s="98">
        <f t="shared" si="11"/>
        <v>1710682.1099999999</v>
      </c>
      <c r="DI57" s="98">
        <f t="shared" si="11"/>
        <v>4901918.6900000004</v>
      </c>
      <c r="DJ57" s="98">
        <f t="shared" si="11"/>
        <v>6405.68</v>
      </c>
      <c r="DK57" s="98">
        <f t="shared" si="11"/>
        <v>0</v>
      </c>
      <c r="DL57" s="98">
        <f t="shared" si="11"/>
        <v>143502</v>
      </c>
      <c r="DM57" s="98">
        <f t="shared" si="11"/>
        <v>220472.62</v>
      </c>
      <c r="DN57" s="98">
        <f t="shared" si="11"/>
        <v>15276.12</v>
      </c>
      <c r="DO57" s="98">
        <f t="shared" si="11"/>
        <v>61721.590000000004</v>
      </c>
      <c r="DP57" s="98">
        <f t="shared" si="11"/>
        <v>160967.54999999999</v>
      </c>
      <c r="DQ57" s="98">
        <f t="shared" si="11"/>
        <v>21443.77</v>
      </c>
      <c r="DR57" s="98">
        <f t="shared" si="11"/>
        <v>14094</v>
      </c>
      <c r="DS57" s="98">
        <f t="shared" si="11"/>
        <v>107414.67</v>
      </c>
      <c r="DT57" s="98">
        <f t="shared" si="11"/>
        <v>161253.34999999998</v>
      </c>
      <c r="DU57" s="98">
        <f t="shared" si="11"/>
        <v>4161.21</v>
      </c>
      <c r="DV57" s="98">
        <f t="shared" si="11"/>
        <v>0</v>
      </c>
      <c r="DW57" s="98">
        <f t="shared" si="11"/>
        <v>0</v>
      </c>
      <c r="DX57" s="98">
        <f t="shared" si="11"/>
        <v>121595.9</v>
      </c>
      <c r="DY57" s="98">
        <f t="shared" si="11"/>
        <v>31171.38</v>
      </c>
      <c r="DZ57" s="98">
        <f t="shared" si="11"/>
        <v>31983</v>
      </c>
      <c r="EA57" s="98">
        <f t="shared" si="11"/>
        <v>1159551.23</v>
      </c>
      <c r="EB57" s="98">
        <f t="shared" si="11"/>
        <v>79472.42</v>
      </c>
      <c r="EC57" s="98">
        <f t="shared" si="11"/>
        <v>0</v>
      </c>
      <c r="ED57" s="98">
        <f t="shared" si="11"/>
        <v>702565.73</v>
      </c>
      <c r="EE57" s="98">
        <f t="shared" si="11"/>
        <v>14873.64</v>
      </c>
      <c r="EF57" s="98">
        <f t="shared" ref="EF57:ET57" si="12">SUM(EF53:EF56)</f>
        <v>13441.35</v>
      </c>
      <c r="EG57" s="98">
        <f t="shared" si="12"/>
        <v>0</v>
      </c>
      <c r="EH57" s="98">
        <f t="shared" si="12"/>
        <v>23657.23</v>
      </c>
      <c r="EI57" s="98">
        <f t="shared" si="12"/>
        <v>12167.64</v>
      </c>
      <c r="EJ57" s="98">
        <f t="shared" si="12"/>
        <v>0</v>
      </c>
      <c r="EK57" s="98">
        <f t="shared" si="12"/>
        <v>2334673.98</v>
      </c>
      <c r="EL57" s="98">
        <f t="shared" si="12"/>
        <v>160649</v>
      </c>
      <c r="EM57" s="98">
        <f t="shared" si="12"/>
        <v>16346.37</v>
      </c>
      <c r="EN57" s="98">
        <f t="shared" si="12"/>
        <v>130326</v>
      </c>
      <c r="EO57" s="98">
        <f t="shared" si="12"/>
        <v>66624.73</v>
      </c>
      <c r="EP57" s="98">
        <f t="shared" si="12"/>
        <v>6835.4</v>
      </c>
      <c r="EQ57" s="98">
        <f t="shared" si="12"/>
        <v>239</v>
      </c>
      <c r="ER57" s="98">
        <f t="shared" si="12"/>
        <v>41233</v>
      </c>
      <c r="ES57" s="98">
        <f t="shared" si="12"/>
        <v>106783.04000000001</v>
      </c>
      <c r="ET57" s="98">
        <f t="shared" si="12"/>
        <v>0</v>
      </c>
    </row>
    <row r="58" spans="1:150" outlineLevel="1" x14ac:dyDescent="0.2">
      <c r="A58" s="3"/>
      <c r="B58" s="9">
        <v>50</v>
      </c>
      <c r="C58" s="11">
        <v>5605</v>
      </c>
      <c r="D58" s="184">
        <v>47</v>
      </c>
      <c r="E58" s="11" t="s">
        <v>57</v>
      </c>
      <c r="F58" s="98"/>
      <c r="G58" s="98">
        <v>826589.26</v>
      </c>
      <c r="H58" s="227">
        <v>769946</v>
      </c>
      <c r="I58" s="227">
        <v>800121.23</v>
      </c>
      <c r="J58" s="227">
        <v>862122</v>
      </c>
      <c r="K58" s="227"/>
      <c r="L58" s="227"/>
      <c r="M58" s="227"/>
      <c r="N58" s="197"/>
      <c r="O58" s="108">
        <v>56</v>
      </c>
      <c r="P58" s="108">
        <v>0</v>
      </c>
      <c r="Q58" s="155">
        <v>4736558.8499999996</v>
      </c>
      <c r="R58" s="155">
        <v>485640.08</v>
      </c>
      <c r="S58" s="155">
        <v>8574.2000000000007</v>
      </c>
      <c r="T58" s="155">
        <v>1450630</v>
      </c>
      <c r="U58" s="155">
        <v>890728.76</v>
      </c>
      <c r="V58" s="155">
        <v>1736058.39</v>
      </c>
      <c r="W58" s="155">
        <v>540720.43999999994</v>
      </c>
      <c r="X58" s="191">
        <v>0</v>
      </c>
      <c r="Y58" s="155">
        <v>13200</v>
      </c>
      <c r="Z58" s="155">
        <v>209559.03</v>
      </c>
      <c r="AA58" s="155">
        <v>33635.279999999999</v>
      </c>
      <c r="AB58" s="155">
        <v>23859.48</v>
      </c>
      <c r="AC58" s="155">
        <v>1945554.94</v>
      </c>
      <c r="AD58" s="155">
        <v>612519.46</v>
      </c>
      <c r="AE58" s="155">
        <v>0</v>
      </c>
      <c r="AF58" s="155">
        <v>138193.48000000001</v>
      </c>
      <c r="AG58" s="155">
        <v>18540</v>
      </c>
      <c r="AH58" s="155">
        <v>464487.63</v>
      </c>
      <c r="AI58" s="155">
        <v>870444.31</v>
      </c>
      <c r="AJ58" s="155">
        <v>184552.7</v>
      </c>
      <c r="AK58" s="155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7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50" outlineLevel="1" x14ac:dyDescent="0.2">
      <c r="A59" s="3"/>
      <c r="B59" s="9">
        <v>51</v>
      </c>
      <c r="C59" s="11">
        <v>5610</v>
      </c>
      <c r="D59" s="184">
        <v>48</v>
      </c>
      <c r="E59" s="11" t="s">
        <v>58</v>
      </c>
      <c r="F59" s="98"/>
      <c r="G59" s="98">
        <v>148979</v>
      </c>
      <c r="H59" s="227">
        <v>169709</v>
      </c>
      <c r="I59" s="227">
        <v>169709</v>
      </c>
      <c r="J59" s="227">
        <v>169709</v>
      </c>
      <c r="K59" s="227"/>
      <c r="L59" s="227"/>
      <c r="M59" s="227"/>
      <c r="N59" s="197"/>
      <c r="O59" s="108">
        <v>57</v>
      </c>
      <c r="P59" s="108">
        <v>0</v>
      </c>
      <c r="Q59" s="155">
        <v>14532860.48</v>
      </c>
      <c r="R59" s="155">
        <v>395601.89</v>
      </c>
      <c r="S59" s="155">
        <v>121678.09</v>
      </c>
      <c r="T59" s="155">
        <v>100327</v>
      </c>
      <c r="U59" s="155">
        <v>575354</v>
      </c>
      <c r="V59" s="155">
        <v>59564.84</v>
      </c>
      <c r="W59" s="155">
        <v>538346.36</v>
      </c>
      <c r="X59" s="191">
        <v>378155.33</v>
      </c>
      <c r="Y59" s="155">
        <v>143711.64000000001</v>
      </c>
      <c r="Z59" s="155">
        <v>218391.4</v>
      </c>
      <c r="AA59" s="155">
        <v>96330</v>
      </c>
      <c r="AB59" s="155">
        <v>335588.99</v>
      </c>
      <c r="AC59" s="155">
        <v>2120364.36</v>
      </c>
      <c r="AD59" s="155">
        <v>2391073.46</v>
      </c>
      <c r="AE59" s="155">
        <v>1596362.59</v>
      </c>
      <c r="AF59" s="155">
        <v>942926.7</v>
      </c>
      <c r="AG59" s="155">
        <v>75133.460000000006</v>
      </c>
      <c r="AH59" s="155">
        <v>1269412.42</v>
      </c>
      <c r="AI59" s="155">
        <v>0</v>
      </c>
      <c r="AJ59" s="155">
        <v>0</v>
      </c>
      <c r="AK59" s="155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7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50" outlineLevel="1" x14ac:dyDescent="0.2">
      <c r="A60" s="3"/>
      <c r="B60" s="9">
        <v>52</v>
      </c>
      <c r="C60" s="11">
        <v>5615</v>
      </c>
      <c r="D60" s="184">
        <v>49</v>
      </c>
      <c r="E60" s="11" t="s">
        <v>59</v>
      </c>
      <c r="F60" s="98"/>
      <c r="G60" s="98">
        <v>1004588.13</v>
      </c>
      <c r="H60" s="227">
        <v>995304</v>
      </c>
      <c r="I60" s="227">
        <v>1163417.44</v>
      </c>
      <c r="J60" s="227">
        <v>1227663.6199999999</v>
      </c>
      <c r="K60" s="227"/>
      <c r="L60" s="227"/>
      <c r="M60" s="227"/>
      <c r="N60" s="197"/>
      <c r="O60" s="108">
        <v>58</v>
      </c>
      <c r="P60" s="108">
        <v>0</v>
      </c>
      <c r="Q60" s="155">
        <v>24331592.18</v>
      </c>
      <c r="R60" s="155">
        <v>1871172.44</v>
      </c>
      <c r="S60" s="155">
        <v>82564.13</v>
      </c>
      <c r="T60" s="155">
        <v>1907150</v>
      </c>
      <c r="U60" s="155">
        <v>1306403.6200000001</v>
      </c>
      <c r="V60" s="155">
        <v>2063148.88</v>
      </c>
      <c r="W60" s="155">
        <v>3277918.52</v>
      </c>
      <c r="X60" s="191">
        <v>272341.90000000002</v>
      </c>
      <c r="Y60" s="155">
        <v>18693.03</v>
      </c>
      <c r="Z60" s="155">
        <v>482486.19</v>
      </c>
      <c r="AA60" s="155">
        <v>60168.11</v>
      </c>
      <c r="AB60" s="155">
        <v>47153.15</v>
      </c>
      <c r="AC60" s="155">
        <v>1218164.6399999999</v>
      </c>
      <c r="AD60" s="155">
        <v>273381.93</v>
      </c>
      <c r="AE60" s="155">
        <v>3707299.95</v>
      </c>
      <c r="AF60" s="155">
        <v>235843.89</v>
      </c>
      <c r="AG60" s="155">
        <v>45091.59</v>
      </c>
      <c r="AH60" s="155">
        <v>203036.12</v>
      </c>
      <c r="AI60" s="155">
        <v>498216.41</v>
      </c>
      <c r="AJ60" s="155">
        <v>142672.54999999999</v>
      </c>
      <c r="AK60" s="155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7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50" outlineLevel="1" x14ac:dyDescent="0.2">
      <c r="A61" s="3"/>
      <c r="B61" s="9">
        <v>53</v>
      </c>
      <c r="C61" s="11">
        <v>5620</v>
      </c>
      <c r="D61" s="184">
        <v>50</v>
      </c>
      <c r="E61" s="11" t="s">
        <v>60</v>
      </c>
      <c r="F61" s="98"/>
      <c r="G61" s="98">
        <v>187113</v>
      </c>
      <c r="H61" s="227">
        <v>356917</v>
      </c>
      <c r="I61" s="227">
        <v>294181</v>
      </c>
      <c r="J61" s="227">
        <v>310024</v>
      </c>
      <c r="K61" s="227"/>
      <c r="L61" s="227"/>
      <c r="M61" s="227"/>
      <c r="N61" s="197"/>
      <c r="O61" s="108">
        <v>59</v>
      </c>
      <c r="P61" s="108">
        <v>0</v>
      </c>
      <c r="Q61" s="155">
        <v>1839197.3</v>
      </c>
      <c r="R61" s="155">
        <v>188468.82</v>
      </c>
      <c r="S61" s="155">
        <v>2439.84</v>
      </c>
      <c r="T61" s="155">
        <v>6612</v>
      </c>
      <c r="U61" s="155">
        <v>95263.84</v>
      </c>
      <c r="V61" s="155">
        <v>503328.94</v>
      </c>
      <c r="W61" s="155">
        <v>532167.34</v>
      </c>
      <c r="X61" s="191">
        <v>90861.17</v>
      </c>
      <c r="Y61" s="155">
        <v>27564.240000000002</v>
      </c>
      <c r="Z61" s="155">
        <v>0</v>
      </c>
      <c r="AA61" s="155">
        <v>40115.53</v>
      </c>
      <c r="AB61" s="155">
        <v>101875.79</v>
      </c>
      <c r="AC61" s="155">
        <v>535599.68999999994</v>
      </c>
      <c r="AD61" s="155">
        <v>495819.73</v>
      </c>
      <c r="AE61" s="155">
        <v>591234.18000000005</v>
      </c>
      <c r="AF61" s="155">
        <v>82877.83</v>
      </c>
      <c r="AG61" s="155">
        <v>79530.47</v>
      </c>
      <c r="AH61" s="155">
        <v>240803.08</v>
      </c>
      <c r="AI61" s="155">
        <v>182176.06</v>
      </c>
      <c r="AJ61" s="155">
        <v>21550.38</v>
      </c>
      <c r="AK61" s="155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7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50" outlineLevel="1" x14ac:dyDescent="0.2">
      <c r="A62" s="3"/>
      <c r="B62" s="9">
        <v>54</v>
      </c>
      <c r="C62" s="11">
        <v>5625</v>
      </c>
      <c r="D62" s="184">
        <v>51</v>
      </c>
      <c r="E62" s="11" t="s">
        <v>61</v>
      </c>
      <c r="F62" s="98"/>
      <c r="G62" s="98">
        <v>-827655</v>
      </c>
      <c r="H62" s="227">
        <v>-576374</v>
      </c>
      <c r="I62" s="227">
        <v>-501539</v>
      </c>
      <c r="J62" s="227">
        <v>-610059</v>
      </c>
      <c r="K62" s="227"/>
      <c r="L62" s="227"/>
      <c r="M62" s="227"/>
      <c r="N62" s="197"/>
      <c r="O62" s="108">
        <v>60</v>
      </c>
      <c r="P62" s="108">
        <v>0</v>
      </c>
      <c r="Q62" s="155">
        <v>-4206800.46</v>
      </c>
      <c r="R62" s="155">
        <v>-463976</v>
      </c>
      <c r="S62" s="155">
        <v>0</v>
      </c>
      <c r="T62" s="155">
        <v>0</v>
      </c>
      <c r="U62" s="155">
        <v>0</v>
      </c>
      <c r="V62" s="155">
        <v>-323707.07</v>
      </c>
      <c r="W62" s="155">
        <v>-3529374.58</v>
      </c>
      <c r="X62" s="191">
        <v>0</v>
      </c>
      <c r="Y62" s="155">
        <v>0</v>
      </c>
      <c r="Z62" s="155">
        <v>0</v>
      </c>
      <c r="AA62" s="155">
        <v>0</v>
      </c>
      <c r="AB62" s="155">
        <v>0</v>
      </c>
      <c r="AC62" s="155">
        <v>-1200</v>
      </c>
      <c r="AD62" s="155">
        <v>0</v>
      </c>
      <c r="AE62" s="155">
        <v>0</v>
      </c>
      <c r="AF62" s="155">
        <v>0</v>
      </c>
      <c r="AG62" s="155">
        <v>0</v>
      </c>
      <c r="AH62" s="155">
        <v>0</v>
      </c>
      <c r="AI62" s="155">
        <v>0</v>
      </c>
      <c r="AJ62" s="155">
        <v>-4889.87</v>
      </c>
      <c r="AK62" s="155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7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50" outlineLevel="1" x14ac:dyDescent="0.2">
      <c r="A63" s="3"/>
      <c r="B63" s="9">
        <v>55</v>
      </c>
      <c r="C63" s="11">
        <v>5630</v>
      </c>
      <c r="D63" s="184">
        <v>52</v>
      </c>
      <c r="E63" s="11" t="s">
        <v>62</v>
      </c>
      <c r="F63" s="98"/>
      <c r="G63" s="98">
        <v>118749</v>
      </c>
      <c r="H63" s="227">
        <v>68264</v>
      </c>
      <c r="I63" s="227">
        <v>72540</v>
      </c>
      <c r="J63" s="227">
        <v>73420</v>
      </c>
      <c r="K63" s="227"/>
      <c r="L63" s="227"/>
      <c r="M63" s="227"/>
      <c r="N63" s="197"/>
      <c r="O63" s="108">
        <v>61</v>
      </c>
      <c r="P63" s="108">
        <v>0</v>
      </c>
      <c r="Q63" s="155">
        <v>7336422.2800000003</v>
      </c>
      <c r="R63" s="155">
        <v>512310.02</v>
      </c>
      <c r="S63" s="155">
        <v>48760.1</v>
      </c>
      <c r="T63" s="155">
        <v>12665</v>
      </c>
      <c r="U63" s="155">
        <v>430825.42</v>
      </c>
      <c r="V63" s="155">
        <v>491734.87</v>
      </c>
      <c r="W63" s="155">
        <v>644213.6</v>
      </c>
      <c r="X63" s="191">
        <v>53889.279999999999</v>
      </c>
      <c r="Y63" s="155">
        <v>46929.47</v>
      </c>
      <c r="Z63" s="155">
        <v>178245.16</v>
      </c>
      <c r="AA63" s="155">
        <v>63795.4</v>
      </c>
      <c r="AB63" s="155">
        <v>167361.79999999999</v>
      </c>
      <c r="AC63" s="155">
        <v>299326</v>
      </c>
      <c r="AD63" s="155">
        <v>489612.57</v>
      </c>
      <c r="AE63" s="155">
        <v>1731742.8</v>
      </c>
      <c r="AF63" s="155">
        <v>258481.63</v>
      </c>
      <c r="AG63" s="155">
        <v>62993.43</v>
      </c>
      <c r="AH63" s="155">
        <v>207013.46</v>
      </c>
      <c r="AI63" s="155">
        <v>363437.86</v>
      </c>
      <c r="AJ63" s="155">
        <v>62800.24</v>
      </c>
      <c r="AK63" s="155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7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50" outlineLevel="1" x14ac:dyDescent="0.2">
      <c r="A64" s="3"/>
      <c r="B64" s="9">
        <v>56</v>
      </c>
      <c r="C64" s="11">
        <v>5640</v>
      </c>
      <c r="D64" s="184">
        <v>53</v>
      </c>
      <c r="E64" s="11" t="s">
        <v>63</v>
      </c>
      <c r="F64" s="98"/>
      <c r="G64" s="98">
        <v>1998</v>
      </c>
      <c r="H64" s="227">
        <v>1711</v>
      </c>
      <c r="I64" s="227">
        <v>6000</v>
      </c>
      <c r="J64" s="227">
        <v>6000</v>
      </c>
      <c r="K64" s="227"/>
      <c r="L64" s="227"/>
      <c r="M64" s="227"/>
      <c r="N64" s="197"/>
      <c r="O64" s="108">
        <v>62</v>
      </c>
      <c r="P64" s="108">
        <v>0</v>
      </c>
      <c r="Q64" s="155">
        <v>169630.86</v>
      </c>
      <c r="R64" s="155">
        <v>0</v>
      </c>
      <c r="S64" s="155">
        <v>0</v>
      </c>
      <c r="T64" s="155">
        <v>0</v>
      </c>
      <c r="U64" s="155">
        <v>0</v>
      </c>
      <c r="V64" s="155">
        <v>151937.60000000001</v>
      </c>
      <c r="W64" s="155">
        <v>0</v>
      </c>
      <c r="X64" s="191">
        <v>39528.43</v>
      </c>
      <c r="Y64" s="155">
        <v>11103.5</v>
      </c>
      <c r="Z64" s="155">
        <v>60532.06</v>
      </c>
      <c r="AA64" s="155">
        <v>3575.66</v>
      </c>
      <c r="AB64" s="155">
        <v>34805.22</v>
      </c>
      <c r="AC64" s="155">
        <v>212464.41</v>
      </c>
      <c r="AD64" s="155">
        <v>0</v>
      </c>
      <c r="AE64" s="155">
        <v>290559.25</v>
      </c>
      <c r="AF64" s="155">
        <v>0</v>
      </c>
      <c r="AG64" s="155">
        <v>10728</v>
      </c>
      <c r="AH64" s="155">
        <v>37243.379999999997</v>
      </c>
      <c r="AI64" s="155">
        <v>85858.23</v>
      </c>
      <c r="AJ64" s="155">
        <v>0</v>
      </c>
      <c r="AK64" s="155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7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50" outlineLevel="1" x14ac:dyDescent="0.2">
      <c r="A65" s="3"/>
      <c r="B65" s="9">
        <v>57</v>
      </c>
      <c r="C65" s="11">
        <v>5645</v>
      </c>
      <c r="D65" s="184">
        <v>54</v>
      </c>
      <c r="E65" s="11" t="s">
        <v>64</v>
      </c>
      <c r="F65" s="98"/>
      <c r="G65" s="98">
        <v>0</v>
      </c>
      <c r="H65" s="227"/>
      <c r="I65" s="227"/>
      <c r="J65" s="227"/>
      <c r="K65" s="227"/>
      <c r="L65" s="227"/>
      <c r="M65" s="227"/>
      <c r="N65" s="197"/>
      <c r="O65" s="108">
        <v>63</v>
      </c>
      <c r="P65" s="108">
        <v>0</v>
      </c>
      <c r="Q65" s="155">
        <v>1018468.35</v>
      </c>
      <c r="R65" s="155">
        <v>222368.47</v>
      </c>
      <c r="S65" s="155">
        <v>62839.23</v>
      </c>
      <c r="T65" s="155">
        <v>1816366</v>
      </c>
      <c r="U65" s="155">
        <v>112484.93</v>
      </c>
      <c r="V65" s="155">
        <v>356507.79</v>
      </c>
      <c r="W65" s="155">
        <v>892224.5</v>
      </c>
      <c r="X65" s="191">
        <v>0</v>
      </c>
      <c r="Y65" s="155">
        <v>94734.91</v>
      </c>
      <c r="Z65" s="155">
        <v>0</v>
      </c>
      <c r="AA65" s="155">
        <v>0</v>
      </c>
      <c r="AB65" s="155">
        <v>42331</v>
      </c>
      <c r="AC65" s="155">
        <v>335684.77</v>
      </c>
      <c r="AD65" s="155">
        <v>136444.5</v>
      </c>
      <c r="AE65" s="155">
        <v>0</v>
      </c>
      <c r="AF65" s="155">
        <v>752516.89</v>
      </c>
      <c r="AG65" s="155">
        <v>4705.24</v>
      </c>
      <c r="AH65" s="155">
        <v>150699.96</v>
      </c>
      <c r="AI65" s="155">
        <v>122293</v>
      </c>
      <c r="AJ65" s="155">
        <v>68850.25</v>
      </c>
      <c r="AK65" s="155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7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50" outlineLevel="1" x14ac:dyDescent="0.2">
      <c r="A66" s="3"/>
      <c r="B66" s="9">
        <v>58</v>
      </c>
      <c r="C66" s="11">
        <v>5646</v>
      </c>
      <c r="D66" s="184">
        <v>55</v>
      </c>
      <c r="E66" s="11" t="s">
        <v>65</v>
      </c>
      <c r="F66" s="98"/>
      <c r="G66" s="98">
        <v>181572</v>
      </c>
      <c r="H66" s="227">
        <v>171225</v>
      </c>
      <c r="I66" s="227">
        <v>170985.88129750601</v>
      </c>
      <c r="J66" s="227">
        <v>170985.88129750601</v>
      </c>
      <c r="K66" s="227"/>
      <c r="L66" s="227"/>
      <c r="M66" s="227"/>
      <c r="N66" s="197"/>
      <c r="O66" s="108">
        <v>64</v>
      </c>
      <c r="P66" s="108">
        <v>0</v>
      </c>
      <c r="Q66" s="155">
        <v>0</v>
      </c>
      <c r="R66" s="155">
        <v>0</v>
      </c>
      <c r="S66" s="155">
        <v>0</v>
      </c>
      <c r="T66" s="155">
        <v>0</v>
      </c>
      <c r="U66" s="155">
        <v>0</v>
      </c>
      <c r="V66" s="155">
        <v>0</v>
      </c>
      <c r="W66" s="155">
        <v>0</v>
      </c>
      <c r="X66" s="191">
        <v>17785.060000000001</v>
      </c>
      <c r="Y66" s="155">
        <v>0</v>
      </c>
      <c r="Z66" s="155">
        <v>1133</v>
      </c>
      <c r="AA66" s="155">
        <v>0</v>
      </c>
      <c r="AB66" s="155">
        <v>0</v>
      </c>
      <c r="AC66" s="155">
        <v>0</v>
      </c>
      <c r="AD66" s="155">
        <v>116841.12</v>
      </c>
      <c r="AE66" s="155">
        <v>2998163.14</v>
      </c>
      <c r="AF66" s="155">
        <v>0</v>
      </c>
      <c r="AG66" s="155">
        <v>0</v>
      </c>
      <c r="AH66" s="155">
        <v>0</v>
      </c>
      <c r="AI66" s="155">
        <v>0</v>
      </c>
      <c r="AJ66" s="155">
        <v>0</v>
      </c>
      <c r="AK66" s="155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7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50" outlineLevel="1" x14ac:dyDescent="0.2">
      <c r="A67" s="3"/>
      <c r="B67" s="9">
        <v>59</v>
      </c>
      <c r="C67" s="11">
        <v>5647</v>
      </c>
      <c r="D67" s="184">
        <v>56</v>
      </c>
      <c r="E67" s="11" t="s">
        <v>66</v>
      </c>
      <c r="F67" s="98"/>
      <c r="G67" s="98">
        <f>HLOOKUP($E$3,$P$3:$CE$269,O67,TRUE)</f>
        <v>0</v>
      </c>
      <c r="H67" s="227"/>
      <c r="I67" s="227"/>
      <c r="J67" s="227"/>
      <c r="K67" s="227"/>
      <c r="L67" s="227"/>
      <c r="M67" s="227"/>
      <c r="N67" s="197"/>
      <c r="O67" s="108">
        <v>65</v>
      </c>
      <c r="P67" s="108">
        <v>0</v>
      </c>
      <c r="Q67" s="155">
        <v>0</v>
      </c>
      <c r="R67" s="155">
        <v>0</v>
      </c>
      <c r="S67" s="155">
        <v>0</v>
      </c>
      <c r="T67" s="155">
        <v>0</v>
      </c>
      <c r="U67" s="155">
        <v>0</v>
      </c>
      <c r="V67" s="155">
        <v>0</v>
      </c>
      <c r="W67" s="155">
        <v>0</v>
      </c>
      <c r="X67" s="191">
        <v>0</v>
      </c>
      <c r="Y67" s="155">
        <v>0</v>
      </c>
      <c r="Z67" s="155">
        <v>0</v>
      </c>
      <c r="AA67" s="155">
        <v>0</v>
      </c>
      <c r="AB67" s="155">
        <v>0</v>
      </c>
      <c r="AC67" s="155">
        <v>0</v>
      </c>
      <c r="AD67" s="155">
        <v>0</v>
      </c>
      <c r="AE67" s="155">
        <v>0</v>
      </c>
      <c r="AF67" s="155">
        <v>0</v>
      </c>
      <c r="AG67" s="155">
        <v>0</v>
      </c>
      <c r="AH67" s="155">
        <v>0</v>
      </c>
      <c r="AI67" s="155">
        <v>0</v>
      </c>
      <c r="AJ67" s="155">
        <v>0</v>
      </c>
      <c r="AK67" s="155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7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50" outlineLevel="1" x14ac:dyDescent="0.2">
      <c r="A68" s="3"/>
      <c r="B68" s="9">
        <v>60</v>
      </c>
      <c r="C68" s="11">
        <v>5650</v>
      </c>
      <c r="D68" s="184">
        <v>57</v>
      </c>
      <c r="E68" s="11" t="s">
        <v>67</v>
      </c>
      <c r="F68" s="98"/>
      <c r="G68" s="98">
        <f>HLOOKUP($E$3,$P$3:$CE$269,O68,TRUE)</f>
        <v>0</v>
      </c>
      <c r="H68" s="227"/>
      <c r="I68" s="227"/>
      <c r="J68" s="227"/>
      <c r="K68" s="227"/>
      <c r="L68" s="227"/>
      <c r="M68" s="227"/>
      <c r="N68" s="197"/>
      <c r="O68" s="108">
        <v>66</v>
      </c>
      <c r="P68" s="108">
        <v>0</v>
      </c>
      <c r="Q68" s="155">
        <v>0</v>
      </c>
      <c r="R68" s="155">
        <v>0</v>
      </c>
      <c r="S68" s="155">
        <v>0</v>
      </c>
      <c r="T68" s="155">
        <v>0</v>
      </c>
      <c r="U68" s="155">
        <v>64700</v>
      </c>
      <c r="V68" s="155">
        <v>0</v>
      </c>
      <c r="W68" s="155">
        <v>0</v>
      </c>
      <c r="X68" s="191">
        <v>0</v>
      </c>
      <c r="Y68" s="155">
        <v>0</v>
      </c>
      <c r="Z68" s="155">
        <v>0</v>
      </c>
      <c r="AA68" s="155">
        <v>0</v>
      </c>
      <c r="AB68" s="155">
        <v>0</v>
      </c>
      <c r="AC68" s="155">
        <v>0</v>
      </c>
      <c r="AD68" s="155">
        <v>0</v>
      </c>
      <c r="AE68" s="155">
        <v>0</v>
      </c>
      <c r="AF68" s="155">
        <v>0</v>
      </c>
      <c r="AG68" s="155">
        <v>0</v>
      </c>
      <c r="AH68" s="155">
        <v>0</v>
      </c>
      <c r="AI68" s="155">
        <v>0</v>
      </c>
      <c r="AJ68" s="155">
        <v>0</v>
      </c>
      <c r="AK68" s="155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7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50" outlineLevel="1" x14ac:dyDescent="0.2">
      <c r="A69" s="3"/>
      <c r="B69" s="9">
        <v>61</v>
      </c>
      <c r="C69" s="11">
        <v>5655</v>
      </c>
      <c r="D69" s="184">
        <v>58</v>
      </c>
      <c r="E69" s="11" t="s">
        <v>68</v>
      </c>
      <c r="F69" s="98"/>
      <c r="G69" s="98">
        <v>411068.89</v>
      </c>
      <c r="H69" s="227">
        <v>409604</v>
      </c>
      <c r="I69" s="227">
        <v>439924.24000000005</v>
      </c>
      <c r="J69" s="227">
        <v>529276.91</v>
      </c>
      <c r="K69" s="227"/>
      <c r="L69" s="227"/>
      <c r="M69" s="227"/>
      <c r="N69" s="197"/>
      <c r="O69" s="108">
        <v>67</v>
      </c>
      <c r="P69" s="108">
        <v>0</v>
      </c>
      <c r="Q69" s="155">
        <v>3752616.78</v>
      </c>
      <c r="R69" s="155">
        <v>131126.82</v>
      </c>
      <c r="S69" s="155">
        <v>19117.759999999998</v>
      </c>
      <c r="T69" s="155">
        <v>297890</v>
      </c>
      <c r="U69" s="155">
        <v>223700.83</v>
      </c>
      <c r="V69" s="155">
        <v>221692.34</v>
      </c>
      <c r="W69" s="155">
        <v>232353.5</v>
      </c>
      <c r="X69" s="191">
        <v>121824.01</v>
      </c>
      <c r="Y69" s="155">
        <v>72345.42</v>
      </c>
      <c r="Z69" s="155">
        <v>49217.29</v>
      </c>
      <c r="AA69" s="155">
        <v>74947.16</v>
      </c>
      <c r="AB69" s="155">
        <v>92110.76</v>
      </c>
      <c r="AC69" s="155">
        <v>686318.05</v>
      </c>
      <c r="AD69" s="155">
        <v>495625.18</v>
      </c>
      <c r="AE69" s="155">
        <v>378796.51</v>
      </c>
      <c r="AF69" s="155">
        <v>147062.53</v>
      </c>
      <c r="AG69" s="155">
        <v>15994.99</v>
      </c>
      <c r="AH69" s="155">
        <v>519963.53</v>
      </c>
      <c r="AI69" s="155">
        <v>135863.94</v>
      </c>
      <c r="AJ69" s="155">
        <v>50017.33</v>
      </c>
      <c r="AK69" s="155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7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50" outlineLevel="1" x14ac:dyDescent="0.2">
      <c r="A70" s="3"/>
      <c r="B70" s="9">
        <v>62</v>
      </c>
      <c r="C70" s="11">
        <v>5665</v>
      </c>
      <c r="D70" s="184">
        <v>59</v>
      </c>
      <c r="E70" s="11" t="s">
        <v>69</v>
      </c>
      <c r="F70" s="98"/>
      <c r="G70" s="98">
        <v>329238</v>
      </c>
      <c r="H70" s="227">
        <v>338184</v>
      </c>
      <c r="I70" s="227">
        <v>294487</v>
      </c>
      <c r="J70" s="227">
        <v>306332</v>
      </c>
      <c r="K70" s="227"/>
      <c r="L70" s="227"/>
      <c r="M70" s="227"/>
      <c r="N70" s="197"/>
      <c r="O70" s="108">
        <v>68</v>
      </c>
      <c r="P70" s="108">
        <v>0</v>
      </c>
      <c r="Q70" s="155">
        <v>8813249.1699999999</v>
      </c>
      <c r="R70" s="155">
        <v>38424.81</v>
      </c>
      <c r="S70" s="155">
        <v>22241.48</v>
      </c>
      <c r="T70" s="155">
        <v>876025</v>
      </c>
      <c r="U70" s="155">
        <v>33908.15</v>
      </c>
      <c r="V70" s="155">
        <v>648230.03</v>
      </c>
      <c r="W70" s="155">
        <v>513632.37</v>
      </c>
      <c r="X70" s="191">
        <v>90731.43</v>
      </c>
      <c r="Y70" s="155">
        <v>24210.82</v>
      </c>
      <c r="Z70" s="155">
        <v>89768.31</v>
      </c>
      <c r="AA70" s="155">
        <v>0</v>
      </c>
      <c r="AB70" s="155">
        <v>2082.0500000000002</v>
      </c>
      <c r="AC70" s="155">
        <v>17294.03</v>
      </c>
      <c r="AD70" s="155">
        <v>62473.89</v>
      </c>
      <c r="AE70" s="155">
        <v>130664.88</v>
      </c>
      <c r="AF70" s="155">
        <v>427083.26</v>
      </c>
      <c r="AG70" s="155">
        <v>1135.94</v>
      </c>
      <c r="AH70" s="155">
        <v>114176.85</v>
      </c>
      <c r="AI70" s="155">
        <v>102074.1</v>
      </c>
      <c r="AJ70" s="155">
        <v>100879.37</v>
      </c>
      <c r="AK70" s="155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7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50" outlineLevel="1" x14ac:dyDescent="0.2">
      <c r="A71" s="3"/>
      <c r="B71" s="9">
        <v>63</v>
      </c>
      <c r="C71" s="11">
        <v>5670</v>
      </c>
      <c r="D71" s="184">
        <v>60</v>
      </c>
      <c r="E71" s="11" t="s">
        <v>70</v>
      </c>
      <c r="F71" s="98"/>
      <c r="G71" s="98">
        <f>HLOOKUP($E$3,$P$3:$CE$269,O71,TRUE)</f>
        <v>0</v>
      </c>
      <c r="H71" s="227"/>
      <c r="I71" s="227"/>
      <c r="J71" s="227"/>
      <c r="K71" s="227"/>
      <c r="L71" s="227"/>
      <c r="M71" s="227"/>
      <c r="N71" s="197"/>
      <c r="O71" s="108">
        <v>69</v>
      </c>
      <c r="P71" s="108">
        <v>0</v>
      </c>
      <c r="Q71" s="155">
        <v>1615558.34</v>
      </c>
      <c r="R71" s="155">
        <v>248231.4</v>
      </c>
      <c r="S71" s="155">
        <v>0</v>
      </c>
      <c r="T71" s="155">
        <v>0</v>
      </c>
      <c r="U71" s="155">
        <v>0</v>
      </c>
      <c r="V71" s="155">
        <v>32621.759999999998</v>
      </c>
      <c r="W71" s="155">
        <v>349352.88</v>
      </c>
      <c r="X71" s="191">
        <v>0</v>
      </c>
      <c r="Y71" s="155">
        <v>0</v>
      </c>
      <c r="Z71" s="155">
        <v>43200</v>
      </c>
      <c r="AA71" s="155">
        <v>15900</v>
      </c>
      <c r="AB71" s="155">
        <v>0</v>
      </c>
      <c r="AC71" s="155">
        <v>79316.350000000006</v>
      </c>
      <c r="AD71" s="155">
        <v>0</v>
      </c>
      <c r="AE71" s="155">
        <v>0</v>
      </c>
      <c r="AF71" s="155">
        <v>241084.96</v>
      </c>
      <c r="AG71" s="155">
        <v>0</v>
      </c>
      <c r="AH71" s="155">
        <v>0</v>
      </c>
      <c r="AI71" s="155">
        <v>0</v>
      </c>
      <c r="AJ71" s="155">
        <v>16679.990000000002</v>
      </c>
      <c r="AK71" s="155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7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50" outlineLevel="1" x14ac:dyDescent="0.2">
      <c r="A72" s="3"/>
      <c r="B72" s="9">
        <v>64</v>
      </c>
      <c r="C72" s="11">
        <v>5672</v>
      </c>
      <c r="D72" s="184">
        <v>61</v>
      </c>
      <c r="E72" s="11" t="s">
        <v>71</v>
      </c>
      <c r="F72" s="98"/>
      <c r="G72" s="98">
        <f>HLOOKUP($E$3,$P$3:$CE$269,O72,TRUE)</f>
        <v>0</v>
      </c>
      <c r="H72" s="227"/>
      <c r="I72" s="227"/>
      <c r="J72" s="227"/>
      <c r="K72" s="227"/>
      <c r="L72" s="227"/>
      <c r="M72" s="227"/>
      <c r="N72" s="197"/>
      <c r="O72" s="108">
        <v>70</v>
      </c>
      <c r="P72" s="108">
        <v>0</v>
      </c>
      <c r="Q72" s="155">
        <v>0</v>
      </c>
      <c r="R72" s="155">
        <v>0</v>
      </c>
      <c r="S72" s="155">
        <v>0</v>
      </c>
      <c r="T72" s="155">
        <v>0</v>
      </c>
      <c r="U72" s="155">
        <v>0</v>
      </c>
      <c r="V72" s="155">
        <v>0</v>
      </c>
      <c r="W72" s="155">
        <v>0</v>
      </c>
      <c r="X72" s="191">
        <v>0</v>
      </c>
      <c r="Y72" s="155">
        <v>0</v>
      </c>
      <c r="Z72" s="155">
        <v>0</v>
      </c>
      <c r="AA72" s="155">
        <v>0</v>
      </c>
      <c r="AB72" s="155">
        <v>0</v>
      </c>
      <c r="AC72" s="155">
        <v>0</v>
      </c>
      <c r="AD72" s="155">
        <v>0</v>
      </c>
      <c r="AE72" s="155">
        <v>0</v>
      </c>
      <c r="AF72" s="155">
        <v>0</v>
      </c>
      <c r="AG72" s="155">
        <v>0</v>
      </c>
      <c r="AH72" s="155">
        <v>0</v>
      </c>
      <c r="AI72" s="155">
        <v>0</v>
      </c>
      <c r="AJ72" s="155">
        <v>0</v>
      </c>
      <c r="AK72" s="155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7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50" outlineLevel="1" x14ac:dyDescent="0.2">
      <c r="A73" s="3"/>
      <c r="B73" s="9">
        <v>65</v>
      </c>
      <c r="C73" s="11">
        <v>5675</v>
      </c>
      <c r="D73" s="184">
        <v>62</v>
      </c>
      <c r="E73" s="11" t="s">
        <v>72</v>
      </c>
      <c r="F73" s="98"/>
      <c r="G73" s="98">
        <v>653549</v>
      </c>
      <c r="H73" s="227">
        <v>596738</v>
      </c>
      <c r="I73" s="227">
        <v>684704.66</v>
      </c>
      <c r="J73" s="227">
        <v>660894</v>
      </c>
      <c r="K73" s="227"/>
      <c r="L73" s="227"/>
      <c r="M73" s="227"/>
      <c r="N73" s="197"/>
      <c r="O73" s="108">
        <v>71</v>
      </c>
      <c r="P73" s="108">
        <v>0</v>
      </c>
      <c r="Q73" s="155">
        <v>37346862.25</v>
      </c>
      <c r="R73" s="155">
        <v>634750.73</v>
      </c>
      <c r="S73" s="155">
        <v>32292.34</v>
      </c>
      <c r="T73" s="155">
        <v>255088</v>
      </c>
      <c r="U73" s="155">
        <v>0</v>
      </c>
      <c r="V73" s="155">
        <v>302726.75</v>
      </c>
      <c r="W73" s="155">
        <v>615454.28</v>
      </c>
      <c r="X73" s="191">
        <v>23102.53</v>
      </c>
      <c r="Y73" s="155">
        <v>0</v>
      </c>
      <c r="Z73" s="155">
        <v>0</v>
      </c>
      <c r="AA73" s="155">
        <v>0</v>
      </c>
      <c r="AB73" s="155">
        <v>54306.73</v>
      </c>
      <c r="AC73" s="155">
        <v>1212125.53</v>
      </c>
      <c r="AD73" s="155">
        <v>676628.53</v>
      </c>
      <c r="AE73" s="155">
        <v>2129635.39</v>
      </c>
      <c r="AF73" s="155">
        <v>261570.13</v>
      </c>
      <c r="AG73" s="155">
        <v>0</v>
      </c>
      <c r="AH73" s="155">
        <v>315711.8</v>
      </c>
      <c r="AI73" s="155">
        <v>142537.49</v>
      </c>
      <c r="AJ73" s="155">
        <v>1520.88</v>
      </c>
      <c r="AK73" s="155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7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50" outlineLevel="1" x14ac:dyDescent="0.2">
      <c r="A74" s="3"/>
      <c r="B74" s="9">
        <v>66</v>
      </c>
      <c r="C74" s="11">
        <v>5680</v>
      </c>
      <c r="D74" s="184">
        <v>63</v>
      </c>
      <c r="E74" s="11" t="s">
        <v>73</v>
      </c>
      <c r="F74" s="98"/>
      <c r="G74" s="98">
        <f>HLOOKUP($E$3,$P$3:$CE$269,O74,TRUE)</f>
        <v>0</v>
      </c>
      <c r="H74" s="227"/>
      <c r="I74" s="227"/>
      <c r="J74" s="227"/>
      <c r="K74" s="227"/>
      <c r="L74" s="227"/>
      <c r="M74" s="227"/>
      <c r="N74" s="197"/>
      <c r="O74" s="108">
        <v>72</v>
      </c>
      <c r="P74" s="108">
        <v>0</v>
      </c>
      <c r="Q74" s="155">
        <v>0</v>
      </c>
      <c r="R74" s="155">
        <v>13610</v>
      </c>
      <c r="S74" s="155">
        <v>0</v>
      </c>
      <c r="T74" s="155">
        <v>0</v>
      </c>
      <c r="U74" s="155">
        <v>17334</v>
      </c>
      <c r="V74" s="155">
        <v>0</v>
      </c>
      <c r="W74" s="155">
        <v>14130.41</v>
      </c>
      <c r="X74" s="191">
        <v>10303.68</v>
      </c>
      <c r="Y74" s="155">
        <v>0</v>
      </c>
      <c r="Z74" s="155">
        <v>7687</v>
      </c>
      <c r="AA74" s="155">
        <v>1922</v>
      </c>
      <c r="AB74" s="155">
        <v>5076</v>
      </c>
      <c r="AC74" s="155">
        <v>0</v>
      </c>
      <c r="AD74" s="155">
        <v>2014.5</v>
      </c>
      <c r="AE74" s="155">
        <v>42923</v>
      </c>
      <c r="AF74" s="155">
        <v>9521</v>
      </c>
      <c r="AG74" s="155">
        <v>5090.13</v>
      </c>
      <c r="AH74" s="155">
        <v>12731</v>
      </c>
      <c r="AI74" s="155">
        <v>10328.959999999999</v>
      </c>
      <c r="AJ74" s="155">
        <v>4637</v>
      </c>
      <c r="AK74" s="155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7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50" x14ac:dyDescent="0.2">
      <c r="A75" s="3"/>
      <c r="B75" s="9">
        <v>67</v>
      </c>
      <c r="C75" s="12"/>
      <c r="D75" s="184"/>
      <c r="E75" s="16" t="s">
        <v>74</v>
      </c>
      <c r="F75" s="99"/>
      <c r="G75" s="230">
        <f t="shared" ref="G75:AL75" si="13">SUM(G58:G74)</f>
        <v>3035789.2800000003</v>
      </c>
      <c r="H75" s="230">
        <f t="shared" si="13"/>
        <v>3301228</v>
      </c>
      <c r="I75" s="230">
        <f t="shared" si="13"/>
        <v>3594531.4512975062</v>
      </c>
      <c r="J75" s="230">
        <f t="shared" si="13"/>
        <v>3706368.4112975062</v>
      </c>
      <c r="K75" s="230">
        <f t="shared" si="13"/>
        <v>0</v>
      </c>
      <c r="L75" s="230">
        <f t="shared" si="13"/>
        <v>0</v>
      </c>
      <c r="M75" s="230">
        <f t="shared" si="13"/>
        <v>0</v>
      </c>
      <c r="N75" s="230">
        <f t="shared" si="13"/>
        <v>0</v>
      </c>
      <c r="O75" s="230">
        <f t="shared" si="13"/>
        <v>1088</v>
      </c>
      <c r="P75" s="230">
        <f t="shared" si="13"/>
        <v>0</v>
      </c>
      <c r="Q75" s="230">
        <f t="shared" si="13"/>
        <v>101286216.38</v>
      </c>
      <c r="R75" s="230">
        <f t="shared" si="13"/>
        <v>4277729.4800000004</v>
      </c>
      <c r="S75" s="230">
        <f t="shared" si="13"/>
        <v>400507.17</v>
      </c>
      <c r="T75" s="230">
        <f t="shared" si="13"/>
        <v>6722753</v>
      </c>
      <c r="U75" s="230">
        <f t="shared" si="13"/>
        <v>3750703.55</v>
      </c>
      <c r="V75" s="230">
        <f t="shared" si="13"/>
        <v>6243845.1199999992</v>
      </c>
      <c r="W75" s="230">
        <f t="shared" si="13"/>
        <v>4621139.62</v>
      </c>
      <c r="X75" s="230">
        <f t="shared" si="13"/>
        <v>1098522.82</v>
      </c>
      <c r="Y75" s="230">
        <f t="shared" si="13"/>
        <v>452493.03</v>
      </c>
      <c r="Z75" s="230">
        <f t="shared" si="13"/>
        <v>1340219.4400000002</v>
      </c>
      <c r="AA75" s="230">
        <f t="shared" si="13"/>
        <v>390389.14</v>
      </c>
      <c r="AB75" s="230">
        <f t="shared" si="13"/>
        <v>906550.97</v>
      </c>
      <c r="AC75" s="230">
        <f t="shared" si="13"/>
        <v>8661012.7699999977</v>
      </c>
      <c r="AD75" s="230">
        <f t="shared" si="13"/>
        <v>5752434.8700000001</v>
      </c>
      <c r="AE75" s="230">
        <f t="shared" si="13"/>
        <v>13597381.690000001</v>
      </c>
      <c r="AF75" s="230">
        <f t="shared" si="13"/>
        <v>3497162.3</v>
      </c>
      <c r="AG75" s="230">
        <f t="shared" si="13"/>
        <v>318943.25</v>
      </c>
      <c r="AH75" s="230">
        <f t="shared" si="13"/>
        <v>3535279.23</v>
      </c>
      <c r="AI75" s="230">
        <f t="shared" si="13"/>
        <v>2513230.3600000003</v>
      </c>
      <c r="AJ75" s="230">
        <f t="shared" si="13"/>
        <v>649270.81999999995</v>
      </c>
      <c r="AK75" s="230">
        <f t="shared" si="13"/>
        <v>4355127.62</v>
      </c>
      <c r="AL75" s="230">
        <f t="shared" si="13"/>
        <v>1115748.8400000001</v>
      </c>
      <c r="AM75" s="230">
        <f t="shared" ref="AM75:BR75" si="14">SUM(AM58:AM74)</f>
        <v>7494694.9299999997</v>
      </c>
      <c r="AN75" s="230">
        <f t="shared" si="14"/>
        <v>3322232.21</v>
      </c>
      <c r="AO75" s="230">
        <f t="shared" si="14"/>
        <v>329200.56</v>
      </c>
      <c r="AP75" s="230">
        <f t="shared" si="14"/>
        <v>237222.47999999998</v>
      </c>
      <c r="AQ75" s="230">
        <f t="shared" si="14"/>
        <v>471733.3</v>
      </c>
      <c r="AR75" s="230">
        <f t="shared" si="14"/>
        <v>134548845.55000001</v>
      </c>
      <c r="AS75" s="230">
        <f t="shared" si="14"/>
        <v>37084279.749999993</v>
      </c>
      <c r="AT75" s="230">
        <f t="shared" si="14"/>
        <v>2521020.29</v>
      </c>
      <c r="AU75" s="230">
        <f t="shared" si="14"/>
        <v>1033329</v>
      </c>
      <c r="AV75" s="230">
        <f t="shared" si="14"/>
        <v>2483697</v>
      </c>
      <c r="AW75" s="230">
        <f t="shared" si="14"/>
        <v>2547206.1599999997</v>
      </c>
      <c r="AX75" s="230">
        <f t="shared" si="14"/>
        <v>1065951.6099999999</v>
      </c>
      <c r="AY75" s="230">
        <f t="shared" si="14"/>
        <v>2080985.79</v>
      </c>
      <c r="AZ75" s="230">
        <f t="shared" si="14"/>
        <v>13185226.410000002</v>
      </c>
      <c r="BA75" s="230">
        <f t="shared" si="14"/>
        <v>0</v>
      </c>
      <c r="BB75" s="230">
        <f t="shared" si="14"/>
        <v>3447054</v>
      </c>
      <c r="BC75" s="230">
        <f t="shared" si="14"/>
        <v>5361410.419999999</v>
      </c>
      <c r="BD75" s="230">
        <f t="shared" si="14"/>
        <v>4486970.3899999997</v>
      </c>
      <c r="BE75" s="230">
        <f t="shared" si="14"/>
        <v>1186884.29</v>
      </c>
      <c r="BF75" s="230">
        <f t="shared" si="14"/>
        <v>2564809.0299999998</v>
      </c>
      <c r="BG75" s="230">
        <f t="shared" si="14"/>
        <v>500403.98000000004</v>
      </c>
      <c r="BH75" s="230">
        <f t="shared" si="14"/>
        <v>5896101.3099999996</v>
      </c>
      <c r="BI75" s="230">
        <f t="shared" si="14"/>
        <v>1602155.1300000001</v>
      </c>
      <c r="BJ75" s="230">
        <f t="shared" si="14"/>
        <v>1447765</v>
      </c>
      <c r="BK75" s="230">
        <f t="shared" si="14"/>
        <v>6585202</v>
      </c>
      <c r="BL75" s="230">
        <f t="shared" si="14"/>
        <v>1059276.3299999998</v>
      </c>
      <c r="BM75" s="230">
        <f t="shared" si="14"/>
        <v>3044441.65</v>
      </c>
      <c r="BN75" s="230">
        <f t="shared" si="14"/>
        <v>3104334.65</v>
      </c>
      <c r="BO75" s="230">
        <f t="shared" si="14"/>
        <v>510832.83</v>
      </c>
      <c r="BP75" s="230">
        <f t="shared" si="14"/>
        <v>861831.12</v>
      </c>
      <c r="BQ75" s="230">
        <f t="shared" si="14"/>
        <v>403785.74000000005</v>
      </c>
      <c r="BR75" s="230">
        <f t="shared" si="14"/>
        <v>0</v>
      </c>
      <c r="BS75" s="230">
        <f t="shared" ref="BS75:CX75" si="15">SUM(BS58:BS74)</f>
        <v>4985824.1000000006</v>
      </c>
      <c r="BT75" s="230">
        <f t="shared" si="15"/>
        <v>1291161.9200000002</v>
      </c>
      <c r="BU75" s="230">
        <f t="shared" si="15"/>
        <v>88614630.640000001</v>
      </c>
      <c r="BV75" s="230">
        <f t="shared" si="15"/>
        <v>9955126</v>
      </c>
      <c r="BW75" s="230">
        <f t="shared" si="15"/>
        <v>1224764.73</v>
      </c>
      <c r="BX75" s="230">
        <f t="shared" si="15"/>
        <v>3574971</v>
      </c>
      <c r="BY75" s="230">
        <f t="shared" si="15"/>
        <v>1816145.48</v>
      </c>
      <c r="BZ75" s="230">
        <f t="shared" si="15"/>
        <v>664701.68999999994</v>
      </c>
      <c r="CA75" s="230">
        <f t="shared" si="15"/>
        <v>761178</v>
      </c>
      <c r="CB75" s="230">
        <f t="shared" si="15"/>
        <v>2521107.2199999993</v>
      </c>
      <c r="CC75" s="230">
        <f t="shared" si="15"/>
        <v>3331274.41</v>
      </c>
      <c r="CD75" s="230">
        <f t="shared" si="15"/>
        <v>0</v>
      </c>
      <c r="CE75" s="230">
        <f t="shared" si="15"/>
        <v>0</v>
      </c>
      <c r="CF75" s="230">
        <f t="shared" si="15"/>
        <v>0</v>
      </c>
      <c r="CG75" s="230">
        <f t="shared" si="15"/>
        <v>113204645.54000001</v>
      </c>
      <c r="CH75" s="230">
        <f t="shared" si="15"/>
        <v>4410752.1500000004</v>
      </c>
      <c r="CI75" s="230">
        <f t="shared" si="15"/>
        <v>408227.9</v>
      </c>
      <c r="CJ75" s="230">
        <f t="shared" si="15"/>
        <v>6931061.9800000004</v>
      </c>
      <c r="CK75" s="230">
        <f t="shared" si="15"/>
        <v>3612857.7</v>
      </c>
      <c r="CL75" s="230">
        <f t="shared" si="15"/>
        <v>6344612.04</v>
      </c>
      <c r="CM75" s="230">
        <f t="shared" si="15"/>
        <v>3482052.15</v>
      </c>
      <c r="CN75" s="230">
        <f t="shared" si="15"/>
        <v>1021712.72</v>
      </c>
      <c r="CO75" s="230">
        <f t="shared" si="15"/>
        <v>345648.86000000004</v>
      </c>
      <c r="CP75" s="230">
        <f t="shared" si="15"/>
        <v>1192763.2900000003</v>
      </c>
      <c r="CQ75" s="230">
        <f t="shared" si="15"/>
        <v>384941.98</v>
      </c>
      <c r="CR75" s="230">
        <f t="shared" si="15"/>
        <v>1059583.2400000002</v>
      </c>
      <c r="CS75" s="230">
        <f t="shared" si="15"/>
        <v>8751729.7300000004</v>
      </c>
      <c r="CT75" s="230">
        <f t="shared" si="15"/>
        <v>4137377.6799999997</v>
      </c>
      <c r="CU75" s="230">
        <f t="shared" si="15"/>
        <v>14284825.780000001</v>
      </c>
      <c r="CV75" s="230">
        <f t="shared" si="15"/>
        <v>3926304.9699999993</v>
      </c>
      <c r="CW75" s="230">
        <f t="shared" si="15"/>
        <v>366684.66</v>
      </c>
      <c r="CX75" s="230">
        <f t="shared" si="15"/>
        <v>3374269.2100000004</v>
      </c>
      <c r="CY75" s="230">
        <f t="shared" ref="CY75:ED75" si="16">SUM(CY58:CY74)</f>
        <v>2056708.9200000002</v>
      </c>
      <c r="CZ75" s="230">
        <f t="shared" si="16"/>
        <v>527018.79</v>
      </c>
      <c r="DA75" s="230">
        <f t="shared" si="16"/>
        <v>3334977.4</v>
      </c>
      <c r="DB75" s="230">
        <f t="shared" si="16"/>
        <v>1131321.71</v>
      </c>
      <c r="DC75" s="230">
        <f t="shared" si="16"/>
        <v>6008643.3799999999</v>
      </c>
      <c r="DD75" s="230">
        <f t="shared" si="16"/>
        <v>3193495.77</v>
      </c>
      <c r="DE75" s="230">
        <f t="shared" si="16"/>
        <v>327744.58999999997</v>
      </c>
      <c r="DF75" s="230">
        <f t="shared" si="16"/>
        <v>240900.45</v>
      </c>
      <c r="DG75" s="230">
        <f t="shared" si="16"/>
        <v>416682.97000000003</v>
      </c>
      <c r="DH75" s="230">
        <f t="shared" si="16"/>
        <v>142387877.15000001</v>
      </c>
      <c r="DI75" s="230">
        <f t="shared" si="16"/>
        <v>32345793.030000001</v>
      </c>
      <c r="DJ75" s="230">
        <f t="shared" si="16"/>
        <v>2710288.6100000003</v>
      </c>
      <c r="DK75" s="230">
        <f t="shared" si="16"/>
        <v>922967</v>
      </c>
      <c r="DL75" s="230">
        <f t="shared" si="16"/>
        <v>2272557</v>
      </c>
      <c r="DM75" s="230">
        <f t="shared" si="16"/>
        <v>2551480.04</v>
      </c>
      <c r="DN75" s="230">
        <f t="shared" si="16"/>
        <v>925181.49</v>
      </c>
      <c r="DO75" s="230">
        <f t="shared" si="16"/>
        <v>1861207.04</v>
      </c>
      <c r="DP75" s="230">
        <f t="shared" si="16"/>
        <v>12397357.029999999</v>
      </c>
      <c r="DQ75" s="230">
        <f t="shared" si="16"/>
        <v>977376.2300000001</v>
      </c>
      <c r="DR75" s="230">
        <f t="shared" si="16"/>
        <v>3216832</v>
      </c>
      <c r="DS75" s="230">
        <f t="shared" si="16"/>
        <v>4152459.8699999996</v>
      </c>
      <c r="DT75" s="230">
        <f t="shared" si="16"/>
        <v>4444665.6300000008</v>
      </c>
      <c r="DU75" s="230">
        <f t="shared" si="16"/>
        <v>892216.09</v>
      </c>
      <c r="DV75" s="230">
        <f t="shared" si="16"/>
        <v>2682987.2200000002</v>
      </c>
      <c r="DW75" s="230">
        <f t="shared" si="16"/>
        <v>616494.91</v>
      </c>
      <c r="DX75" s="230">
        <f t="shared" si="16"/>
        <v>5909887.1400000006</v>
      </c>
      <c r="DY75" s="230">
        <f t="shared" si="16"/>
        <v>1470848.6300000001</v>
      </c>
      <c r="DZ75" s="230">
        <f t="shared" si="16"/>
        <v>1445709</v>
      </c>
      <c r="EA75" s="230">
        <f t="shared" si="16"/>
        <v>6131893.9700000007</v>
      </c>
      <c r="EB75" s="230">
        <f t="shared" si="16"/>
        <v>1102476.02</v>
      </c>
      <c r="EC75" s="230">
        <f t="shared" si="16"/>
        <v>2958729.6900000004</v>
      </c>
      <c r="ED75" s="230">
        <f t="shared" si="16"/>
        <v>2883978.01</v>
      </c>
      <c r="EE75" s="230">
        <f t="shared" ref="EE75:ET75" si="17">SUM(EE58:EE74)</f>
        <v>493104.8</v>
      </c>
      <c r="EF75" s="230">
        <f t="shared" si="17"/>
        <v>877650.5</v>
      </c>
      <c r="EG75" s="230">
        <f t="shared" si="17"/>
        <v>424974.69999999995</v>
      </c>
      <c r="EH75" s="230">
        <f t="shared" si="17"/>
        <v>1897247.5500000003</v>
      </c>
      <c r="EI75" s="230">
        <f t="shared" si="17"/>
        <v>5224240.57</v>
      </c>
      <c r="EJ75" s="230">
        <f t="shared" si="17"/>
        <v>1373041.94</v>
      </c>
      <c r="EK75" s="230">
        <f t="shared" si="17"/>
        <v>86271178.540000007</v>
      </c>
      <c r="EL75" s="230">
        <f t="shared" si="17"/>
        <v>10140259</v>
      </c>
      <c r="EM75" s="230">
        <f t="shared" si="17"/>
        <v>1175868.8700000003</v>
      </c>
      <c r="EN75" s="230">
        <f t="shared" si="17"/>
        <v>2721669</v>
      </c>
      <c r="EO75" s="230">
        <f t="shared" si="17"/>
        <v>1797549.84</v>
      </c>
      <c r="EP75" s="230">
        <f t="shared" si="17"/>
        <v>649061.45000000007</v>
      </c>
      <c r="EQ75" s="230">
        <f t="shared" si="17"/>
        <v>731627</v>
      </c>
      <c r="ER75" s="230">
        <f t="shared" si="17"/>
        <v>2610125</v>
      </c>
      <c r="ES75" s="230">
        <f t="shared" si="17"/>
        <v>3634045.3100000005</v>
      </c>
      <c r="ET75" s="230">
        <f t="shared" si="17"/>
        <v>0</v>
      </c>
    </row>
    <row r="76" spans="1:150" outlineLevel="1" x14ac:dyDescent="0.2">
      <c r="A76" s="3"/>
      <c r="B76" s="9">
        <v>68</v>
      </c>
      <c r="C76" s="11">
        <v>5635</v>
      </c>
      <c r="D76" s="184">
        <v>64</v>
      </c>
      <c r="E76" s="11" t="s">
        <v>75</v>
      </c>
      <c r="F76" s="98"/>
      <c r="G76" s="98">
        <v>187848</v>
      </c>
      <c r="H76" s="227">
        <v>181320</v>
      </c>
      <c r="I76" s="227">
        <v>191605</v>
      </c>
      <c r="J76" s="227">
        <v>191605</v>
      </c>
      <c r="K76" s="227"/>
      <c r="L76" s="227"/>
      <c r="M76" s="227"/>
      <c r="N76" s="197"/>
      <c r="O76" s="108">
        <v>74</v>
      </c>
      <c r="P76" s="108">
        <v>0</v>
      </c>
      <c r="Q76" s="155">
        <v>0</v>
      </c>
      <c r="R76" s="155">
        <v>40558.75</v>
      </c>
      <c r="S76" s="155">
        <v>6660.2</v>
      </c>
      <c r="T76" s="155">
        <v>188037</v>
      </c>
      <c r="U76" s="155">
        <v>137663.25</v>
      </c>
      <c r="V76" s="155">
        <v>26093.58</v>
      </c>
      <c r="W76" s="155">
        <v>48257.41</v>
      </c>
      <c r="X76" s="191">
        <v>5725.08</v>
      </c>
      <c r="Y76" s="155">
        <v>9373.07</v>
      </c>
      <c r="Z76" s="155">
        <v>14109.17</v>
      </c>
      <c r="AA76" s="155">
        <v>2846.81</v>
      </c>
      <c r="AB76" s="155">
        <v>30784.560000000001</v>
      </c>
      <c r="AC76" s="155">
        <v>21433.919999999998</v>
      </c>
      <c r="AD76" s="155">
        <v>181039.16</v>
      </c>
      <c r="AE76" s="155">
        <v>453115.29</v>
      </c>
      <c r="AF76" s="155">
        <v>65120.15</v>
      </c>
      <c r="AG76" s="155">
        <v>5928.12</v>
      </c>
      <c r="AH76" s="155">
        <v>9095.0400000000009</v>
      </c>
      <c r="AI76" s="155">
        <v>0</v>
      </c>
      <c r="AJ76" s="155">
        <v>12708.58</v>
      </c>
      <c r="AK76" s="155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7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50" outlineLevel="1" x14ac:dyDescent="0.2">
      <c r="A77" s="3"/>
      <c r="B77" s="9">
        <v>69</v>
      </c>
      <c r="C77" s="11">
        <v>6210</v>
      </c>
      <c r="D77" s="184">
        <v>65</v>
      </c>
      <c r="E77" s="11" t="s">
        <v>76</v>
      </c>
      <c r="F77" s="98"/>
      <c r="G77" s="98">
        <f>HLOOKUP($E$3,$P$3:$CE$269,O77,TRUE)</f>
        <v>0</v>
      </c>
      <c r="H77" s="14"/>
      <c r="I77" s="14"/>
      <c r="J77" s="14"/>
      <c r="K77" s="14"/>
      <c r="L77" s="14"/>
      <c r="M77" s="14"/>
      <c r="N77" s="197"/>
      <c r="O77" s="108">
        <v>75</v>
      </c>
      <c r="P77" s="108">
        <v>0</v>
      </c>
      <c r="Q77" s="155">
        <v>0</v>
      </c>
      <c r="R77" s="155">
        <v>0</v>
      </c>
      <c r="S77" s="155">
        <v>0</v>
      </c>
      <c r="T77" s="155">
        <v>0</v>
      </c>
      <c r="U77" s="155">
        <v>0</v>
      </c>
      <c r="V77" s="155">
        <v>0</v>
      </c>
      <c r="W77" s="155">
        <v>0</v>
      </c>
      <c r="X77" s="191">
        <v>0</v>
      </c>
      <c r="Y77" s="155">
        <v>0</v>
      </c>
      <c r="Z77" s="155">
        <v>0</v>
      </c>
      <c r="AA77" s="155">
        <v>0</v>
      </c>
      <c r="AB77" s="155">
        <v>0</v>
      </c>
      <c r="AC77" s="155">
        <v>0</v>
      </c>
      <c r="AD77" s="155">
        <v>0</v>
      </c>
      <c r="AE77" s="155">
        <v>0</v>
      </c>
      <c r="AF77" s="155">
        <v>0</v>
      </c>
      <c r="AG77" s="155">
        <v>0</v>
      </c>
      <c r="AH77" s="155">
        <v>0</v>
      </c>
      <c r="AI77" s="155">
        <v>0</v>
      </c>
      <c r="AJ77" s="155">
        <v>0</v>
      </c>
      <c r="AK77" s="155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7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50" x14ac:dyDescent="0.2">
      <c r="A78" s="3"/>
      <c r="B78" s="9">
        <v>70</v>
      </c>
      <c r="D78" s="2"/>
      <c r="E78" s="16" t="s">
        <v>77</v>
      </c>
      <c r="F78" s="99"/>
      <c r="G78" s="230">
        <f>SUM(G76:G77)</f>
        <v>187848</v>
      </c>
      <c r="H78" s="230">
        <f t="shared" ref="H78:M78" si="18">SUM(H76:H77)</f>
        <v>181320</v>
      </c>
      <c r="I78" s="230">
        <f t="shared" si="18"/>
        <v>191605</v>
      </c>
      <c r="J78" s="230">
        <f t="shared" si="18"/>
        <v>191605</v>
      </c>
      <c r="K78" s="230">
        <f t="shared" si="18"/>
        <v>0</v>
      </c>
      <c r="L78" s="230">
        <f t="shared" si="18"/>
        <v>0</v>
      </c>
      <c r="M78" s="230">
        <f t="shared" si="18"/>
        <v>0</v>
      </c>
      <c r="N78" s="197"/>
      <c r="O78" s="108">
        <v>76</v>
      </c>
      <c r="P78" s="108">
        <v>0</v>
      </c>
      <c r="Q78" s="155">
        <v>0</v>
      </c>
      <c r="R78" s="155">
        <v>40558.75</v>
      </c>
      <c r="S78" s="155">
        <v>6660.2</v>
      </c>
      <c r="T78" s="155">
        <v>188037</v>
      </c>
      <c r="U78" s="155">
        <v>137663.25</v>
      </c>
      <c r="V78" s="155">
        <v>26093.58</v>
      </c>
      <c r="W78" s="155">
        <v>48257.41</v>
      </c>
      <c r="X78" s="191">
        <v>5725.08</v>
      </c>
      <c r="Y78" s="155">
        <v>9373.07</v>
      </c>
      <c r="Z78" s="155">
        <v>14109.17</v>
      </c>
      <c r="AA78" s="155">
        <v>2846.81</v>
      </c>
      <c r="AB78" s="155">
        <v>30784.560000000001</v>
      </c>
      <c r="AC78" s="155">
        <v>21433.919999999998</v>
      </c>
      <c r="AD78" s="155">
        <v>181039.16</v>
      </c>
      <c r="AE78" s="155">
        <v>453115.29</v>
      </c>
      <c r="AF78" s="155">
        <v>65120.15</v>
      </c>
      <c r="AG78" s="155">
        <v>5928.12</v>
      </c>
      <c r="AH78" s="155">
        <v>9095.0400000000009</v>
      </c>
      <c r="AI78" s="155">
        <v>0</v>
      </c>
      <c r="AJ78" s="155">
        <v>12708.58</v>
      </c>
      <c r="AK78" s="155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7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50" outlineLevel="1" x14ac:dyDescent="0.2">
      <c r="A79" s="3"/>
      <c r="B79" s="9">
        <v>71</v>
      </c>
      <c r="C79" s="19">
        <v>5515</v>
      </c>
      <c r="D79" s="184">
        <v>46</v>
      </c>
      <c r="E79" s="11" t="s">
        <v>78</v>
      </c>
      <c r="F79" s="98"/>
      <c r="G79" s="98">
        <f>HLOOKUP($E$3,$P$3:$CE$269,O79,TRUE)</f>
        <v>0</v>
      </c>
      <c r="H79" s="14"/>
      <c r="I79" s="14"/>
      <c r="J79" s="14"/>
      <c r="K79" s="14"/>
      <c r="L79" s="14"/>
      <c r="M79" s="14"/>
      <c r="N79" s="197"/>
      <c r="O79" s="108">
        <v>77</v>
      </c>
      <c r="P79" s="108">
        <v>0</v>
      </c>
      <c r="Q79" s="155">
        <v>0</v>
      </c>
      <c r="R79" s="155">
        <v>0</v>
      </c>
      <c r="S79" s="155">
        <v>0</v>
      </c>
      <c r="T79" s="155">
        <v>0</v>
      </c>
      <c r="U79" s="155">
        <v>0</v>
      </c>
      <c r="V79" s="155">
        <v>0</v>
      </c>
      <c r="W79" s="155">
        <v>0</v>
      </c>
      <c r="X79" s="191">
        <v>0</v>
      </c>
      <c r="Y79" s="155">
        <v>0</v>
      </c>
      <c r="Z79" s="155">
        <v>0</v>
      </c>
      <c r="AA79" s="155">
        <v>2400</v>
      </c>
      <c r="AB79" s="155">
        <v>0</v>
      </c>
      <c r="AC79" s="155">
        <v>0</v>
      </c>
      <c r="AD79" s="155">
        <v>0</v>
      </c>
      <c r="AE79" s="155">
        <v>0</v>
      </c>
      <c r="AF79" s="155">
        <v>14288.17</v>
      </c>
      <c r="AG79" s="155">
        <v>0</v>
      </c>
      <c r="AH79" s="155">
        <v>2463.77</v>
      </c>
      <c r="AI79" s="155">
        <v>0</v>
      </c>
      <c r="AJ79" s="155">
        <v>0</v>
      </c>
      <c r="AK79" s="155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7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50" x14ac:dyDescent="0.2">
      <c r="A80" s="3"/>
      <c r="B80" s="9">
        <v>72</v>
      </c>
      <c r="C80" s="18"/>
      <c r="D80" s="15"/>
      <c r="E80" s="16" t="s">
        <v>79</v>
      </c>
      <c r="F80" s="99"/>
      <c r="G80" s="98">
        <f>G79</f>
        <v>0</v>
      </c>
      <c r="H80" s="98">
        <f t="shared" ref="H80:BS80" si="19">H79</f>
        <v>0</v>
      </c>
      <c r="I80" s="98">
        <f t="shared" si="19"/>
        <v>0</v>
      </c>
      <c r="J80" s="98">
        <f t="shared" si="19"/>
        <v>0</v>
      </c>
      <c r="K80" s="98">
        <f t="shared" si="19"/>
        <v>0</v>
      </c>
      <c r="L80" s="98">
        <f t="shared" si="19"/>
        <v>0</v>
      </c>
      <c r="M80" s="98">
        <f t="shared" si="19"/>
        <v>0</v>
      </c>
      <c r="N80" s="98">
        <f t="shared" si="19"/>
        <v>0</v>
      </c>
      <c r="O80" s="98">
        <f t="shared" si="19"/>
        <v>77</v>
      </c>
      <c r="P80" s="98">
        <f t="shared" si="19"/>
        <v>0</v>
      </c>
      <c r="Q80" s="98">
        <f t="shared" si="19"/>
        <v>0</v>
      </c>
      <c r="R80" s="98">
        <f t="shared" si="19"/>
        <v>0</v>
      </c>
      <c r="S80" s="98">
        <f t="shared" si="19"/>
        <v>0</v>
      </c>
      <c r="T80" s="98">
        <f t="shared" si="19"/>
        <v>0</v>
      </c>
      <c r="U80" s="98">
        <f t="shared" si="19"/>
        <v>0</v>
      </c>
      <c r="V80" s="98">
        <f t="shared" si="19"/>
        <v>0</v>
      </c>
      <c r="W80" s="98">
        <f t="shared" si="19"/>
        <v>0</v>
      </c>
      <c r="X80" s="98">
        <f t="shared" si="19"/>
        <v>0</v>
      </c>
      <c r="Y80" s="98">
        <f t="shared" si="19"/>
        <v>0</v>
      </c>
      <c r="Z80" s="98">
        <f t="shared" si="19"/>
        <v>0</v>
      </c>
      <c r="AA80" s="98">
        <f t="shared" si="19"/>
        <v>2400</v>
      </c>
      <c r="AB80" s="98">
        <f t="shared" si="19"/>
        <v>0</v>
      </c>
      <c r="AC80" s="98">
        <f t="shared" si="19"/>
        <v>0</v>
      </c>
      <c r="AD80" s="98">
        <f t="shared" si="19"/>
        <v>0</v>
      </c>
      <c r="AE80" s="98">
        <f t="shared" si="19"/>
        <v>0</v>
      </c>
      <c r="AF80" s="98">
        <f t="shared" si="19"/>
        <v>14288.17</v>
      </c>
      <c r="AG80" s="98">
        <f t="shared" si="19"/>
        <v>0</v>
      </c>
      <c r="AH80" s="98">
        <f t="shared" si="19"/>
        <v>2463.77</v>
      </c>
      <c r="AI80" s="98">
        <f t="shared" si="19"/>
        <v>0</v>
      </c>
      <c r="AJ80" s="98">
        <f t="shared" si="19"/>
        <v>0</v>
      </c>
      <c r="AK80" s="98">
        <f t="shared" si="19"/>
        <v>0</v>
      </c>
      <c r="AL80" s="98">
        <f t="shared" si="19"/>
        <v>0</v>
      </c>
      <c r="AM80" s="98">
        <f t="shared" si="19"/>
        <v>26092.400000000001</v>
      </c>
      <c r="AN80" s="98">
        <f t="shared" si="19"/>
        <v>0</v>
      </c>
      <c r="AO80" s="98">
        <f t="shared" si="19"/>
        <v>3561.37</v>
      </c>
      <c r="AP80" s="98">
        <f t="shared" si="19"/>
        <v>0</v>
      </c>
      <c r="AQ80" s="98">
        <f t="shared" si="19"/>
        <v>0</v>
      </c>
      <c r="AR80" s="98">
        <f t="shared" si="19"/>
        <v>0</v>
      </c>
      <c r="AS80" s="98">
        <f t="shared" si="19"/>
        <v>0</v>
      </c>
      <c r="AT80" s="98">
        <f t="shared" si="19"/>
        <v>0</v>
      </c>
      <c r="AU80" s="98">
        <f t="shared" si="19"/>
        <v>0</v>
      </c>
      <c r="AV80" s="98">
        <f t="shared" si="19"/>
        <v>0</v>
      </c>
      <c r="AW80" s="98">
        <f t="shared" si="19"/>
        <v>0</v>
      </c>
      <c r="AX80" s="98">
        <f t="shared" si="19"/>
        <v>0</v>
      </c>
      <c r="AY80" s="98">
        <f t="shared" si="19"/>
        <v>0</v>
      </c>
      <c r="AZ80" s="98">
        <f t="shared" si="19"/>
        <v>0</v>
      </c>
      <c r="BA80" s="98">
        <f t="shared" si="19"/>
        <v>0</v>
      </c>
      <c r="BB80" s="98">
        <f t="shared" si="19"/>
        <v>0</v>
      </c>
      <c r="BC80" s="98">
        <f t="shared" si="19"/>
        <v>750</v>
      </c>
      <c r="BD80" s="98">
        <f t="shared" si="19"/>
        <v>0</v>
      </c>
      <c r="BE80" s="98">
        <f t="shared" si="19"/>
        <v>0</v>
      </c>
      <c r="BF80" s="98">
        <f t="shared" si="19"/>
        <v>0</v>
      </c>
      <c r="BG80" s="98">
        <f t="shared" si="19"/>
        <v>0</v>
      </c>
      <c r="BH80" s="98">
        <f t="shared" si="19"/>
        <v>260.75</v>
      </c>
      <c r="BI80" s="98">
        <f t="shared" si="19"/>
        <v>0</v>
      </c>
      <c r="BJ80" s="98">
        <f t="shared" si="19"/>
        <v>0</v>
      </c>
      <c r="BK80" s="98">
        <f t="shared" si="19"/>
        <v>0</v>
      </c>
      <c r="BL80" s="98">
        <f t="shared" si="19"/>
        <v>259.5</v>
      </c>
      <c r="BM80" s="98">
        <f t="shared" si="19"/>
        <v>0</v>
      </c>
      <c r="BN80" s="98">
        <f t="shared" si="19"/>
        <v>0</v>
      </c>
      <c r="BO80" s="98">
        <f t="shared" si="19"/>
        <v>0</v>
      </c>
      <c r="BP80" s="98">
        <f t="shared" si="19"/>
        <v>0</v>
      </c>
      <c r="BQ80" s="98">
        <f t="shared" si="19"/>
        <v>0</v>
      </c>
      <c r="BR80" s="98">
        <f t="shared" si="19"/>
        <v>0</v>
      </c>
      <c r="BS80" s="98">
        <f t="shared" si="19"/>
        <v>91750.77</v>
      </c>
      <c r="BT80" s="98">
        <f t="shared" ref="BT80:EE80" si="20">BT79</f>
        <v>0</v>
      </c>
      <c r="BU80" s="98">
        <f t="shared" si="20"/>
        <v>0</v>
      </c>
      <c r="BV80" s="98">
        <f t="shared" si="20"/>
        <v>0</v>
      </c>
      <c r="BW80" s="98">
        <f t="shared" si="20"/>
        <v>0</v>
      </c>
      <c r="BX80" s="98">
        <f t="shared" si="20"/>
        <v>0</v>
      </c>
      <c r="BY80" s="98">
        <f t="shared" si="20"/>
        <v>4523.72</v>
      </c>
      <c r="BZ80" s="98">
        <f t="shared" si="20"/>
        <v>0</v>
      </c>
      <c r="CA80" s="98">
        <f t="shared" si="20"/>
        <v>612</v>
      </c>
      <c r="CB80" s="98">
        <f t="shared" si="20"/>
        <v>0</v>
      </c>
      <c r="CC80" s="98">
        <f t="shared" si="20"/>
        <v>0</v>
      </c>
      <c r="CD80" s="98">
        <f t="shared" si="20"/>
        <v>0</v>
      </c>
      <c r="CE80" s="98">
        <f t="shared" si="20"/>
        <v>0</v>
      </c>
      <c r="CF80" s="98">
        <f t="shared" si="20"/>
        <v>0</v>
      </c>
      <c r="CG80" s="98">
        <f t="shared" si="20"/>
        <v>0</v>
      </c>
      <c r="CH80" s="98">
        <f t="shared" si="20"/>
        <v>0</v>
      </c>
      <c r="CI80" s="98">
        <f t="shared" si="20"/>
        <v>0</v>
      </c>
      <c r="CJ80" s="98">
        <f t="shared" si="20"/>
        <v>0</v>
      </c>
      <c r="CK80" s="98">
        <f t="shared" si="20"/>
        <v>0</v>
      </c>
      <c r="CL80" s="98">
        <f t="shared" si="20"/>
        <v>0</v>
      </c>
      <c r="CM80" s="98">
        <f t="shared" si="20"/>
        <v>0</v>
      </c>
      <c r="CN80" s="98">
        <f t="shared" si="20"/>
        <v>0</v>
      </c>
      <c r="CO80" s="98">
        <f t="shared" si="20"/>
        <v>0</v>
      </c>
      <c r="CP80" s="98">
        <f t="shared" si="20"/>
        <v>0</v>
      </c>
      <c r="CQ80" s="98">
        <f t="shared" si="20"/>
        <v>2523.5</v>
      </c>
      <c r="CR80" s="98">
        <f t="shared" si="20"/>
        <v>0</v>
      </c>
      <c r="CS80" s="98">
        <f t="shared" si="20"/>
        <v>0</v>
      </c>
      <c r="CT80" s="98">
        <f t="shared" si="20"/>
        <v>0</v>
      </c>
      <c r="CU80" s="98">
        <f t="shared" si="20"/>
        <v>0</v>
      </c>
      <c r="CV80" s="98">
        <f t="shared" si="20"/>
        <v>5927.31</v>
      </c>
      <c r="CW80" s="98">
        <f t="shared" si="20"/>
        <v>0</v>
      </c>
      <c r="CX80" s="98">
        <f t="shared" si="20"/>
        <v>374.75</v>
      </c>
      <c r="CY80" s="98">
        <f t="shared" si="20"/>
        <v>0</v>
      </c>
      <c r="CZ80" s="98">
        <f t="shared" si="20"/>
        <v>0</v>
      </c>
      <c r="DA80" s="98">
        <f t="shared" si="20"/>
        <v>0</v>
      </c>
      <c r="DB80" s="98">
        <f t="shared" si="20"/>
        <v>0</v>
      </c>
      <c r="DC80" s="98">
        <f t="shared" si="20"/>
        <v>17014.66</v>
      </c>
      <c r="DD80" s="98">
        <f t="shared" si="20"/>
        <v>0</v>
      </c>
      <c r="DE80" s="98">
        <f t="shared" si="20"/>
        <v>2057.6</v>
      </c>
      <c r="DF80" s="98">
        <f t="shared" si="20"/>
        <v>0</v>
      </c>
      <c r="DG80" s="98">
        <f t="shared" si="20"/>
        <v>0</v>
      </c>
      <c r="DH80" s="98">
        <f t="shared" si="20"/>
        <v>0</v>
      </c>
      <c r="DI80" s="98">
        <f t="shared" si="20"/>
        <v>0</v>
      </c>
      <c r="DJ80" s="98">
        <f t="shared" si="20"/>
        <v>0</v>
      </c>
      <c r="DK80" s="98">
        <f t="shared" si="20"/>
        <v>0</v>
      </c>
      <c r="DL80" s="98">
        <f t="shared" si="20"/>
        <v>0</v>
      </c>
      <c r="DM80" s="98">
        <f t="shared" si="20"/>
        <v>0</v>
      </c>
      <c r="DN80" s="98">
        <f t="shared" si="20"/>
        <v>0</v>
      </c>
      <c r="DO80" s="98">
        <f t="shared" si="20"/>
        <v>0</v>
      </c>
      <c r="DP80" s="98">
        <f t="shared" si="20"/>
        <v>0</v>
      </c>
      <c r="DQ80" s="98">
        <f t="shared" si="20"/>
        <v>0</v>
      </c>
      <c r="DR80" s="98">
        <f t="shared" si="20"/>
        <v>0</v>
      </c>
      <c r="DS80" s="98">
        <f t="shared" si="20"/>
        <v>5150</v>
      </c>
      <c r="DT80" s="98">
        <f t="shared" si="20"/>
        <v>0</v>
      </c>
      <c r="DU80" s="98">
        <f t="shared" si="20"/>
        <v>0</v>
      </c>
      <c r="DV80" s="98">
        <f t="shared" si="20"/>
        <v>0</v>
      </c>
      <c r="DW80" s="98">
        <f t="shared" si="20"/>
        <v>0</v>
      </c>
      <c r="DX80" s="98">
        <f t="shared" si="20"/>
        <v>64.900000000000006</v>
      </c>
      <c r="DY80" s="98">
        <f t="shared" si="20"/>
        <v>0</v>
      </c>
      <c r="DZ80" s="98">
        <f t="shared" si="20"/>
        <v>0</v>
      </c>
      <c r="EA80" s="98">
        <f t="shared" si="20"/>
        <v>0</v>
      </c>
      <c r="EB80" s="98">
        <f t="shared" si="20"/>
        <v>249.5</v>
      </c>
      <c r="EC80" s="98">
        <f t="shared" si="20"/>
        <v>0</v>
      </c>
      <c r="ED80" s="98">
        <f t="shared" si="20"/>
        <v>0</v>
      </c>
      <c r="EE80" s="98">
        <f t="shared" si="20"/>
        <v>0</v>
      </c>
      <c r="EF80" s="98">
        <f t="shared" ref="EF80:ET80" si="21">EF79</f>
        <v>0</v>
      </c>
      <c r="EG80" s="98">
        <f t="shared" si="21"/>
        <v>0</v>
      </c>
      <c r="EH80" s="98">
        <f t="shared" si="21"/>
        <v>0</v>
      </c>
      <c r="EI80" s="98">
        <f t="shared" si="21"/>
        <v>93866.28</v>
      </c>
      <c r="EJ80" s="98">
        <f t="shared" si="21"/>
        <v>0</v>
      </c>
      <c r="EK80" s="98">
        <f t="shared" si="21"/>
        <v>0</v>
      </c>
      <c r="EL80" s="98">
        <f t="shared" si="21"/>
        <v>0</v>
      </c>
      <c r="EM80" s="98">
        <f t="shared" si="21"/>
        <v>0</v>
      </c>
      <c r="EN80" s="98">
        <f t="shared" si="21"/>
        <v>0</v>
      </c>
      <c r="EO80" s="98">
        <f t="shared" si="21"/>
        <v>13378.43</v>
      </c>
      <c r="EP80" s="98">
        <f t="shared" si="21"/>
        <v>0</v>
      </c>
      <c r="EQ80" s="98">
        <f t="shared" si="21"/>
        <v>2073</v>
      </c>
      <c r="ER80" s="98">
        <f t="shared" si="21"/>
        <v>0</v>
      </c>
      <c r="ES80" s="98">
        <f t="shared" si="21"/>
        <v>0</v>
      </c>
      <c r="ET80" s="98">
        <f t="shared" si="21"/>
        <v>0</v>
      </c>
    </row>
    <row r="81" spans="1:160" x14ac:dyDescent="0.2">
      <c r="A81" s="3"/>
      <c r="B81" s="9">
        <v>73</v>
      </c>
      <c r="C81" s="18"/>
      <c r="D81" s="18"/>
      <c r="E81" s="16" t="s">
        <v>80</v>
      </c>
      <c r="F81" s="99"/>
      <c r="G81" s="230">
        <f t="shared" ref="G81:M81" si="22">G78+G75+G57+G52+G44+G30+G80</f>
        <v>14176616.75</v>
      </c>
      <c r="H81" s="230">
        <f t="shared" si="22"/>
        <v>14312013</v>
      </c>
      <c r="I81" s="230">
        <f t="shared" si="22"/>
        <v>14888492.611297507</v>
      </c>
      <c r="J81" s="230">
        <f t="shared" si="22"/>
        <v>15621401.031297505</v>
      </c>
      <c r="K81" s="230">
        <f t="shared" si="22"/>
        <v>0</v>
      </c>
      <c r="L81" s="230">
        <f t="shared" si="22"/>
        <v>0</v>
      </c>
      <c r="M81" s="230">
        <f t="shared" si="22"/>
        <v>0</v>
      </c>
      <c r="O81" s="108">
        <v>79</v>
      </c>
      <c r="P81" s="108">
        <v>0</v>
      </c>
      <c r="Q81" s="155">
        <v>227326786.06999999</v>
      </c>
      <c r="R81" s="155">
        <v>11930620.43</v>
      </c>
      <c r="S81" s="155">
        <v>1087097.3199999998</v>
      </c>
      <c r="T81" s="155">
        <v>13668703</v>
      </c>
      <c r="U81" s="155">
        <v>10063306.57</v>
      </c>
      <c r="V81" s="155">
        <v>18025935.079999998</v>
      </c>
      <c r="W81" s="155">
        <v>10228807.91</v>
      </c>
      <c r="X81" s="191">
        <v>2409145.87</v>
      </c>
      <c r="Y81" s="155">
        <v>744871.7</v>
      </c>
      <c r="Z81" s="155">
        <v>4766822.5500000007</v>
      </c>
      <c r="AA81" s="155">
        <v>679958.22</v>
      </c>
      <c r="AB81" s="155">
        <v>2582598.65</v>
      </c>
      <c r="AC81" s="155">
        <v>17889501.899999999</v>
      </c>
      <c r="AD81" s="155">
        <v>13407790.4</v>
      </c>
      <c r="AE81" s="155">
        <v>26176963.359999999</v>
      </c>
      <c r="AF81" s="155">
        <v>6178187.9700000007</v>
      </c>
      <c r="AG81" s="155">
        <v>1365191.08</v>
      </c>
      <c r="AH81" s="155">
        <v>7475839.3399999989</v>
      </c>
      <c r="AI81" s="155">
        <v>6264181.0600000005</v>
      </c>
      <c r="AJ81" s="155">
        <v>1695781.33</v>
      </c>
      <c r="AK81" s="155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7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60" x14ac:dyDescent="0.2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5"/>
      <c r="O82" s="108">
        <v>80</v>
      </c>
      <c r="P82" s="108">
        <v>0</v>
      </c>
      <c r="Q82" s="155"/>
      <c r="R82" s="155"/>
      <c r="S82" s="155"/>
      <c r="T82" s="155"/>
      <c r="U82" s="155"/>
      <c r="V82" s="155"/>
      <c r="W82" s="155"/>
      <c r="X82" s="191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7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60" x14ac:dyDescent="0.2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5"/>
      <c r="R83" s="155"/>
      <c r="S83" s="155"/>
      <c r="T83" s="155"/>
      <c r="U83" s="155"/>
      <c r="V83" s="155"/>
      <c r="W83" s="155"/>
      <c r="X83" s="191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7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60" s="3" customFormat="1" outlineLevel="1" x14ac:dyDescent="0.2">
      <c r="B84" s="9">
        <v>76</v>
      </c>
      <c r="C84" s="22"/>
      <c r="D84" s="22"/>
      <c r="E84" s="19">
        <v>5014</v>
      </c>
      <c r="F84" s="98"/>
      <c r="G84" s="98">
        <f t="shared" ref="G84:M85" si="23">G13</f>
        <v>184625.99</v>
      </c>
      <c r="H84" s="98">
        <f t="shared" si="23"/>
        <v>278465</v>
      </c>
      <c r="I84" s="98">
        <f t="shared" si="23"/>
        <v>214205.48</v>
      </c>
      <c r="J84" s="98">
        <f t="shared" si="23"/>
        <v>174090</v>
      </c>
      <c r="K84" s="98">
        <f t="shared" si="23"/>
        <v>0</v>
      </c>
      <c r="L84" s="98">
        <f t="shared" si="23"/>
        <v>0</v>
      </c>
      <c r="M84" s="98">
        <f t="shared" si="23"/>
        <v>0</v>
      </c>
      <c r="N84" s="206"/>
      <c r="O84" s="108">
        <v>82</v>
      </c>
      <c r="P84" s="108">
        <v>0</v>
      </c>
      <c r="Q84" s="155">
        <v>363307.15</v>
      </c>
      <c r="R84" s="155">
        <v>0</v>
      </c>
      <c r="S84" s="155">
        <v>0</v>
      </c>
      <c r="T84" s="155">
        <v>0</v>
      </c>
      <c r="U84" s="155">
        <v>2489.17</v>
      </c>
      <c r="V84" s="155">
        <v>0</v>
      </c>
      <c r="W84" s="155">
        <v>0</v>
      </c>
      <c r="X84" s="191">
        <v>0</v>
      </c>
      <c r="Y84" s="155">
        <v>0</v>
      </c>
      <c r="Z84" s="155">
        <v>0</v>
      </c>
      <c r="AA84" s="155">
        <v>0</v>
      </c>
      <c r="AB84" s="155">
        <v>0</v>
      </c>
      <c r="AC84" s="155">
        <v>0</v>
      </c>
      <c r="AD84" s="155">
        <v>0</v>
      </c>
      <c r="AE84" s="155">
        <v>270171.8</v>
      </c>
      <c r="AF84" s="155">
        <v>0</v>
      </c>
      <c r="AG84" s="155">
        <v>0</v>
      </c>
      <c r="AH84" s="155">
        <v>0</v>
      </c>
      <c r="AI84" s="155">
        <v>2610.94</v>
      </c>
      <c r="AJ84" s="155">
        <v>41273.25</v>
      </c>
      <c r="AK84" s="155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7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60" s="3" customFormat="1" outlineLevel="1" x14ac:dyDescent="0.2">
      <c r="B85" s="9">
        <v>77</v>
      </c>
      <c r="C85" s="22"/>
      <c r="D85" s="22"/>
      <c r="E85" s="19">
        <v>5015</v>
      </c>
      <c r="F85" s="98"/>
      <c r="G85" s="98">
        <f t="shared" si="23"/>
        <v>104523</v>
      </c>
      <c r="H85" s="98">
        <f t="shared" si="23"/>
        <v>127891</v>
      </c>
      <c r="I85" s="98">
        <f t="shared" si="23"/>
        <v>91005</v>
      </c>
      <c r="J85" s="98">
        <f t="shared" si="23"/>
        <v>96218</v>
      </c>
      <c r="K85" s="98">
        <f t="shared" si="23"/>
        <v>0</v>
      </c>
      <c r="L85" s="98">
        <f t="shared" si="23"/>
        <v>0</v>
      </c>
      <c r="M85" s="98">
        <f t="shared" si="23"/>
        <v>0</v>
      </c>
      <c r="N85" s="98">
        <f t="shared" ref="N85:AS85" si="24">N14</f>
        <v>0</v>
      </c>
      <c r="O85" s="98">
        <f t="shared" si="24"/>
        <v>12</v>
      </c>
      <c r="P85" s="98">
        <f t="shared" si="24"/>
        <v>0</v>
      </c>
      <c r="Q85" s="98">
        <f t="shared" si="24"/>
        <v>0</v>
      </c>
      <c r="R85" s="98">
        <f t="shared" si="24"/>
        <v>0</v>
      </c>
      <c r="S85" s="98">
        <f t="shared" si="24"/>
        <v>0</v>
      </c>
      <c r="T85" s="98">
        <f t="shared" si="24"/>
        <v>0</v>
      </c>
      <c r="U85" s="98">
        <f t="shared" si="24"/>
        <v>86632.84</v>
      </c>
      <c r="V85" s="98">
        <f t="shared" si="24"/>
        <v>0</v>
      </c>
      <c r="W85" s="98">
        <f t="shared" si="24"/>
        <v>0</v>
      </c>
      <c r="X85" s="98">
        <f t="shared" si="24"/>
        <v>0</v>
      </c>
      <c r="Y85" s="98">
        <f t="shared" si="24"/>
        <v>0</v>
      </c>
      <c r="Z85" s="98">
        <f t="shared" si="24"/>
        <v>0</v>
      </c>
      <c r="AA85" s="98">
        <f t="shared" si="24"/>
        <v>0</v>
      </c>
      <c r="AB85" s="98">
        <f t="shared" si="24"/>
        <v>0</v>
      </c>
      <c r="AC85" s="98">
        <f t="shared" si="24"/>
        <v>206212.91</v>
      </c>
      <c r="AD85" s="98">
        <f t="shared" si="24"/>
        <v>0</v>
      </c>
      <c r="AE85" s="98">
        <f t="shared" si="24"/>
        <v>1889.06</v>
      </c>
      <c r="AF85" s="98">
        <f t="shared" si="24"/>
        <v>0</v>
      </c>
      <c r="AG85" s="98">
        <f t="shared" si="24"/>
        <v>0</v>
      </c>
      <c r="AH85" s="98">
        <f t="shared" si="24"/>
        <v>0</v>
      </c>
      <c r="AI85" s="98">
        <f t="shared" si="24"/>
        <v>126451.39</v>
      </c>
      <c r="AJ85" s="98">
        <f t="shared" si="24"/>
        <v>12504.63</v>
      </c>
      <c r="AK85" s="98">
        <f t="shared" si="24"/>
        <v>0</v>
      </c>
      <c r="AL85" s="98">
        <f t="shared" si="24"/>
        <v>51367.17</v>
      </c>
      <c r="AM85" s="98">
        <f t="shared" si="24"/>
        <v>0</v>
      </c>
      <c r="AN85" s="98">
        <f t="shared" si="24"/>
        <v>0</v>
      </c>
      <c r="AO85" s="98">
        <f t="shared" si="24"/>
        <v>0</v>
      </c>
      <c r="AP85" s="98">
        <f t="shared" si="24"/>
        <v>0</v>
      </c>
      <c r="AQ85" s="98">
        <f t="shared" si="24"/>
        <v>9427.84</v>
      </c>
      <c r="AR85" s="98">
        <f t="shared" si="24"/>
        <v>102951.5</v>
      </c>
      <c r="AS85" s="98">
        <f t="shared" si="24"/>
        <v>39080.35</v>
      </c>
      <c r="AT85" s="98">
        <f t="shared" ref="AT85:BY85" si="25">AT14</f>
        <v>0</v>
      </c>
      <c r="AU85" s="98">
        <f t="shared" si="25"/>
        <v>560</v>
      </c>
      <c r="AV85" s="98">
        <f t="shared" si="25"/>
        <v>0</v>
      </c>
      <c r="AW85" s="98">
        <f t="shared" si="25"/>
        <v>657137.92000000004</v>
      </c>
      <c r="AX85" s="98">
        <f t="shared" si="25"/>
        <v>0</v>
      </c>
      <c r="AY85" s="98">
        <f t="shared" si="25"/>
        <v>0</v>
      </c>
      <c r="AZ85" s="98">
        <f t="shared" si="25"/>
        <v>0</v>
      </c>
      <c r="BA85" s="98">
        <f t="shared" si="25"/>
        <v>0</v>
      </c>
      <c r="BB85" s="98">
        <f t="shared" si="25"/>
        <v>0</v>
      </c>
      <c r="BC85" s="98">
        <f t="shared" si="25"/>
        <v>0</v>
      </c>
      <c r="BD85" s="98">
        <f t="shared" si="25"/>
        <v>156255.01999999999</v>
      </c>
      <c r="BE85" s="98">
        <f t="shared" si="25"/>
        <v>0</v>
      </c>
      <c r="BF85" s="98">
        <f t="shared" si="25"/>
        <v>0</v>
      </c>
      <c r="BG85" s="98">
        <f t="shared" si="25"/>
        <v>0</v>
      </c>
      <c r="BH85" s="98">
        <f t="shared" si="25"/>
        <v>31402.59</v>
      </c>
      <c r="BI85" s="98">
        <f t="shared" si="25"/>
        <v>0</v>
      </c>
      <c r="BJ85" s="98">
        <f t="shared" si="25"/>
        <v>0</v>
      </c>
      <c r="BK85" s="98">
        <f t="shared" si="25"/>
        <v>0</v>
      </c>
      <c r="BL85" s="98">
        <f t="shared" si="25"/>
        <v>0</v>
      </c>
      <c r="BM85" s="98">
        <f t="shared" si="25"/>
        <v>0</v>
      </c>
      <c r="BN85" s="98">
        <f t="shared" si="25"/>
        <v>8417.2800000000007</v>
      </c>
      <c r="BO85" s="98">
        <f t="shared" si="25"/>
        <v>0</v>
      </c>
      <c r="BP85" s="98">
        <f t="shared" si="25"/>
        <v>0</v>
      </c>
      <c r="BQ85" s="98">
        <f t="shared" si="25"/>
        <v>0</v>
      </c>
      <c r="BR85" s="98">
        <f t="shared" si="25"/>
        <v>0</v>
      </c>
      <c r="BS85" s="98">
        <f t="shared" si="25"/>
        <v>0</v>
      </c>
      <c r="BT85" s="98">
        <f t="shared" si="25"/>
        <v>0</v>
      </c>
      <c r="BU85" s="98">
        <f t="shared" si="25"/>
        <v>39487.089999999997</v>
      </c>
      <c r="BV85" s="98">
        <f t="shared" si="25"/>
        <v>0</v>
      </c>
      <c r="BW85" s="98">
        <f t="shared" si="25"/>
        <v>0</v>
      </c>
      <c r="BX85" s="98">
        <f t="shared" si="25"/>
        <v>104523</v>
      </c>
      <c r="BY85" s="98">
        <f t="shared" si="25"/>
        <v>0</v>
      </c>
      <c r="BZ85" s="98">
        <f t="shared" ref="BZ85:DE85" si="26">BZ14</f>
        <v>0</v>
      </c>
      <c r="CA85" s="98">
        <f t="shared" si="26"/>
        <v>0</v>
      </c>
      <c r="CB85" s="98">
        <f t="shared" si="26"/>
        <v>0</v>
      </c>
      <c r="CC85" s="98">
        <f t="shared" si="26"/>
        <v>0</v>
      </c>
      <c r="CD85" s="98">
        <f t="shared" si="26"/>
        <v>0</v>
      </c>
      <c r="CE85" s="98">
        <f t="shared" si="26"/>
        <v>0</v>
      </c>
      <c r="CF85" s="98">
        <f t="shared" si="26"/>
        <v>0</v>
      </c>
      <c r="CG85" s="98">
        <f t="shared" si="26"/>
        <v>635.67999999999995</v>
      </c>
      <c r="CH85" s="98">
        <f t="shared" si="26"/>
        <v>0</v>
      </c>
      <c r="CI85" s="98">
        <f t="shared" si="26"/>
        <v>0</v>
      </c>
      <c r="CJ85" s="98">
        <f t="shared" si="26"/>
        <v>0</v>
      </c>
      <c r="CK85" s="98">
        <f t="shared" si="26"/>
        <v>90387.72</v>
      </c>
      <c r="CL85" s="98">
        <f t="shared" si="26"/>
        <v>0</v>
      </c>
      <c r="CM85" s="98">
        <f t="shared" si="26"/>
        <v>0</v>
      </c>
      <c r="CN85" s="98">
        <f t="shared" si="26"/>
        <v>0</v>
      </c>
      <c r="CO85" s="98">
        <f t="shared" si="26"/>
        <v>0</v>
      </c>
      <c r="CP85" s="98">
        <f t="shared" si="26"/>
        <v>0</v>
      </c>
      <c r="CQ85" s="98">
        <f t="shared" si="26"/>
        <v>0</v>
      </c>
      <c r="CR85" s="98">
        <f t="shared" si="26"/>
        <v>0</v>
      </c>
      <c r="CS85" s="98">
        <f t="shared" si="26"/>
        <v>163528.93</v>
      </c>
      <c r="CT85" s="98">
        <f t="shared" si="26"/>
        <v>0</v>
      </c>
      <c r="CU85" s="98">
        <f t="shared" si="26"/>
        <v>0</v>
      </c>
      <c r="CV85" s="98">
        <f t="shared" si="26"/>
        <v>0</v>
      </c>
      <c r="CW85" s="98">
        <f t="shared" si="26"/>
        <v>0</v>
      </c>
      <c r="CX85" s="98">
        <f t="shared" si="26"/>
        <v>0</v>
      </c>
      <c r="CY85" s="98">
        <f t="shared" si="26"/>
        <v>114239.16</v>
      </c>
      <c r="CZ85" s="98">
        <f t="shared" si="26"/>
        <v>8794.58</v>
      </c>
      <c r="DA85" s="98">
        <f t="shared" si="26"/>
        <v>0</v>
      </c>
      <c r="DB85" s="98">
        <f t="shared" si="26"/>
        <v>72470.38</v>
      </c>
      <c r="DC85" s="98">
        <f t="shared" si="26"/>
        <v>0</v>
      </c>
      <c r="DD85" s="98">
        <f t="shared" si="26"/>
        <v>0</v>
      </c>
      <c r="DE85" s="98">
        <f t="shared" si="26"/>
        <v>0</v>
      </c>
      <c r="DF85" s="98">
        <f t="shared" ref="DF85:EK85" si="27">DF14</f>
        <v>0</v>
      </c>
      <c r="DG85" s="98">
        <f t="shared" si="27"/>
        <v>7982.77</v>
      </c>
      <c r="DH85" s="98">
        <f t="shared" si="27"/>
        <v>110061.78</v>
      </c>
      <c r="DI85" s="98">
        <f t="shared" si="27"/>
        <v>32140.13</v>
      </c>
      <c r="DJ85" s="98">
        <f t="shared" si="27"/>
        <v>0</v>
      </c>
      <c r="DK85" s="98">
        <f t="shared" si="27"/>
        <v>247</v>
      </c>
      <c r="DL85" s="98">
        <f t="shared" si="27"/>
        <v>0</v>
      </c>
      <c r="DM85" s="98">
        <f t="shared" si="27"/>
        <v>612847.06999999995</v>
      </c>
      <c r="DN85" s="98">
        <f t="shared" si="27"/>
        <v>0</v>
      </c>
      <c r="DO85" s="98">
        <f t="shared" si="27"/>
        <v>0</v>
      </c>
      <c r="DP85" s="98">
        <f t="shared" si="27"/>
        <v>0</v>
      </c>
      <c r="DQ85" s="98">
        <f t="shared" si="27"/>
        <v>0</v>
      </c>
      <c r="DR85" s="98">
        <f t="shared" si="27"/>
        <v>0</v>
      </c>
      <c r="DS85" s="98">
        <f t="shared" si="27"/>
        <v>0</v>
      </c>
      <c r="DT85" s="98">
        <f t="shared" si="27"/>
        <v>118016.13</v>
      </c>
      <c r="DU85" s="98">
        <f t="shared" si="27"/>
        <v>0</v>
      </c>
      <c r="DV85" s="98">
        <f t="shared" si="27"/>
        <v>0</v>
      </c>
      <c r="DW85" s="98">
        <f t="shared" si="27"/>
        <v>0</v>
      </c>
      <c r="DX85" s="98">
        <f t="shared" si="27"/>
        <v>30223.98</v>
      </c>
      <c r="DY85" s="98">
        <f t="shared" si="27"/>
        <v>0</v>
      </c>
      <c r="DZ85" s="98">
        <f t="shared" si="27"/>
        <v>0</v>
      </c>
      <c r="EA85" s="98">
        <f t="shared" si="27"/>
        <v>0</v>
      </c>
      <c r="EB85" s="98">
        <f t="shared" si="27"/>
        <v>0</v>
      </c>
      <c r="EC85" s="98">
        <f t="shared" si="27"/>
        <v>0</v>
      </c>
      <c r="ED85" s="98">
        <f t="shared" si="27"/>
        <v>4455.99</v>
      </c>
      <c r="EE85" s="98">
        <f t="shared" si="27"/>
        <v>0</v>
      </c>
      <c r="EF85" s="98">
        <f t="shared" si="27"/>
        <v>0</v>
      </c>
      <c r="EG85" s="98">
        <f t="shared" si="27"/>
        <v>0</v>
      </c>
      <c r="EH85" s="98">
        <f t="shared" si="27"/>
        <v>0</v>
      </c>
      <c r="EI85" s="98">
        <f t="shared" si="27"/>
        <v>0</v>
      </c>
      <c r="EJ85" s="98">
        <f t="shared" si="27"/>
        <v>0</v>
      </c>
      <c r="EK85" s="98">
        <f t="shared" si="27"/>
        <v>10034.200000000001</v>
      </c>
      <c r="EL85" s="98">
        <f t="shared" ref="EL85:ET85" si="28">EL14</f>
        <v>0</v>
      </c>
      <c r="EM85" s="98">
        <f t="shared" si="28"/>
        <v>0</v>
      </c>
      <c r="EN85" s="98">
        <f t="shared" si="28"/>
        <v>91934</v>
      </c>
      <c r="EO85" s="98">
        <f t="shared" si="28"/>
        <v>0</v>
      </c>
      <c r="EP85" s="98">
        <f t="shared" si="28"/>
        <v>0</v>
      </c>
      <c r="EQ85" s="98">
        <f t="shared" si="28"/>
        <v>0</v>
      </c>
      <c r="ER85" s="98">
        <f t="shared" si="28"/>
        <v>0</v>
      </c>
      <c r="ES85" s="98">
        <f t="shared" si="28"/>
        <v>0</v>
      </c>
      <c r="ET85" s="98">
        <f t="shared" si="28"/>
        <v>0</v>
      </c>
    </row>
    <row r="86" spans="1:160" s="3" customFormat="1" outlineLevel="1" x14ac:dyDescent="0.2">
      <c r="B86" s="9">
        <v>78</v>
      </c>
      <c r="C86" s="22"/>
      <c r="D86" s="22"/>
      <c r="E86" s="19">
        <v>5112</v>
      </c>
      <c r="F86" s="98"/>
      <c r="G86" s="98">
        <f t="shared" ref="G86:M86" si="29">G33</f>
        <v>93559.719999999987</v>
      </c>
      <c r="H86" s="98">
        <f t="shared" si="29"/>
        <v>44191</v>
      </c>
      <c r="I86" s="98">
        <f t="shared" si="29"/>
        <v>39256.11</v>
      </c>
      <c r="J86" s="98">
        <f t="shared" si="29"/>
        <v>39467</v>
      </c>
      <c r="K86" s="98">
        <f t="shared" si="29"/>
        <v>0</v>
      </c>
      <c r="L86" s="98">
        <f t="shared" si="29"/>
        <v>0</v>
      </c>
      <c r="M86" s="98">
        <f t="shared" si="29"/>
        <v>0</v>
      </c>
      <c r="N86" s="206"/>
      <c r="O86" s="108">
        <v>84</v>
      </c>
      <c r="P86" s="108">
        <v>0</v>
      </c>
      <c r="Q86" s="155">
        <v>357775.77</v>
      </c>
      <c r="R86" s="155">
        <v>0</v>
      </c>
      <c r="S86" s="155">
        <v>0</v>
      </c>
      <c r="T86" s="155">
        <v>0</v>
      </c>
      <c r="U86" s="155">
        <v>9619.68</v>
      </c>
      <c r="V86" s="155">
        <v>0</v>
      </c>
      <c r="W86" s="155">
        <v>0</v>
      </c>
      <c r="X86" s="191">
        <v>0</v>
      </c>
      <c r="Y86" s="155">
        <v>0</v>
      </c>
      <c r="Z86" s="155">
        <v>0</v>
      </c>
      <c r="AA86" s="155">
        <v>0</v>
      </c>
      <c r="AB86" s="155">
        <v>0</v>
      </c>
      <c r="AC86" s="155">
        <v>5317.6</v>
      </c>
      <c r="AD86" s="155">
        <v>0</v>
      </c>
      <c r="AE86" s="155">
        <v>349316.43</v>
      </c>
      <c r="AF86" s="155">
        <v>0</v>
      </c>
      <c r="AG86" s="155">
        <v>0</v>
      </c>
      <c r="AH86" s="155">
        <v>0</v>
      </c>
      <c r="AI86" s="155">
        <v>0</v>
      </c>
      <c r="AJ86" s="155">
        <v>22824.42</v>
      </c>
      <c r="AK86" s="155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7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60" x14ac:dyDescent="0.2">
      <c r="A87" s="3"/>
      <c r="B87" s="9">
        <v>79</v>
      </c>
      <c r="C87" s="18"/>
      <c r="D87" s="18"/>
      <c r="E87" s="11" t="s">
        <v>82</v>
      </c>
      <c r="F87" s="98"/>
      <c r="G87" s="98">
        <f>SUM(G84:G86)</f>
        <v>382708.70999999996</v>
      </c>
      <c r="H87" s="98">
        <f>SUM(H84:H86)</f>
        <v>450547</v>
      </c>
      <c r="I87" s="98">
        <f t="shared" ref="I87:M87" si="30">SUM(I84:I86)</f>
        <v>344466.58999999997</v>
      </c>
      <c r="J87" s="98">
        <f t="shared" si="30"/>
        <v>309775</v>
      </c>
      <c r="K87" s="98">
        <f t="shared" si="30"/>
        <v>0</v>
      </c>
      <c r="L87" s="98">
        <f t="shared" si="30"/>
        <v>0</v>
      </c>
      <c r="M87" s="98">
        <f t="shared" si="30"/>
        <v>0</v>
      </c>
      <c r="N87" s="206"/>
      <c r="O87" s="108">
        <v>85</v>
      </c>
      <c r="P87" s="108">
        <v>0</v>
      </c>
      <c r="Q87" s="155">
        <v>721082.92</v>
      </c>
      <c r="R87" s="155">
        <v>0</v>
      </c>
      <c r="S87" s="155">
        <v>0</v>
      </c>
      <c r="T87" s="155">
        <v>0</v>
      </c>
      <c r="U87" s="155">
        <v>98741.69</v>
      </c>
      <c r="V87" s="155">
        <v>0</v>
      </c>
      <c r="W87" s="155">
        <v>0</v>
      </c>
      <c r="X87" s="191">
        <v>0</v>
      </c>
      <c r="Y87" s="155">
        <v>0</v>
      </c>
      <c r="Z87" s="155">
        <v>0</v>
      </c>
      <c r="AA87" s="155">
        <v>0</v>
      </c>
      <c r="AB87" s="155">
        <v>0</v>
      </c>
      <c r="AC87" s="155">
        <v>211530.51</v>
      </c>
      <c r="AD87" s="155">
        <v>0</v>
      </c>
      <c r="AE87" s="155">
        <v>621377.29</v>
      </c>
      <c r="AF87" s="155">
        <v>0</v>
      </c>
      <c r="AG87" s="155">
        <v>0</v>
      </c>
      <c r="AH87" s="155">
        <v>0</v>
      </c>
      <c r="AI87" s="155">
        <v>129062.33</v>
      </c>
      <c r="AJ87" s="155">
        <v>76602.299999999988</v>
      </c>
      <c r="AK87" s="155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7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60" ht="13.5" thickBot="1" x14ac:dyDescent="0.25">
      <c r="A88" s="3"/>
      <c r="B88" s="9">
        <v>80</v>
      </c>
      <c r="C88" s="18"/>
      <c r="D88" s="18"/>
      <c r="E88" s="11" t="s">
        <v>83</v>
      </c>
      <c r="F88" s="98"/>
      <c r="G88" s="98">
        <f>HLOOKUP($E$3,$P$3:$CE$269,O88,FALSE)</f>
        <v>18336.239999999998</v>
      </c>
      <c r="H88" s="7">
        <v>17420.419999999925</v>
      </c>
      <c r="I88" s="7">
        <f>H88*1.02</f>
        <v>17768.828399999926</v>
      </c>
      <c r="J88" s="7">
        <f t="shared" ref="J88" si="31">I88*1.02</f>
        <v>18124.204967999925</v>
      </c>
      <c r="K88" s="7"/>
      <c r="L88" s="7"/>
      <c r="M88" s="7"/>
      <c r="N88" s="206"/>
      <c r="O88" s="108">
        <v>86</v>
      </c>
      <c r="P88" s="108">
        <v>0</v>
      </c>
      <c r="Q88" s="155">
        <v>224594.43999999977</v>
      </c>
      <c r="R88" s="155">
        <v>0</v>
      </c>
      <c r="S88" s="155">
        <v>0</v>
      </c>
      <c r="T88" s="155">
        <v>85370.61000000003</v>
      </c>
      <c r="U88" s="155">
        <v>0</v>
      </c>
      <c r="V88" s="155">
        <v>0</v>
      </c>
      <c r="W88" s="155">
        <v>0</v>
      </c>
      <c r="X88" s="191">
        <v>55374.540000000015</v>
      </c>
      <c r="Y88" s="155">
        <v>0</v>
      </c>
      <c r="Z88" s="155">
        <v>49279.63</v>
      </c>
      <c r="AA88" s="155">
        <v>9168.1200000000008</v>
      </c>
      <c r="AB88" s="155">
        <v>22864.6</v>
      </c>
      <c r="AC88" s="155">
        <v>0</v>
      </c>
      <c r="AD88" s="155">
        <v>168234.30999999997</v>
      </c>
      <c r="AE88" s="155">
        <v>0</v>
      </c>
      <c r="AF88" s="155">
        <v>30020.929999999993</v>
      </c>
      <c r="AG88" s="155">
        <v>117438.06650000002</v>
      </c>
      <c r="AH88" s="155">
        <v>69550.080000000016</v>
      </c>
      <c r="AI88" s="155">
        <v>33150.01</v>
      </c>
      <c r="AJ88" s="155">
        <v>0</v>
      </c>
      <c r="AK88" s="155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7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60" ht="13.5" thickBot="1" x14ac:dyDescent="0.25">
      <c r="A89" s="3"/>
      <c r="B89" s="9">
        <v>81</v>
      </c>
      <c r="C89" s="18"/>
      <c r="D89" s="18"/>
      <c r="E89" s="11" t="s">
        <v>84</v>
      </c>
      <c r="F89" s="98"/>
      <c r="G89" s="98">
        <f>HLOOKUP($E$3,$P$3:$CE$269,O89,FALSE)</f>
        <v>13837414.24</v>
      </c>
      <c r="H89" s="161">
        <f>'Model Inputs'!H31</f>
        <v>13878886.42</v>
      </c>
      <c r="I89" s="162">
        <f>'Model Inputs'!I31</f>
        <v>14561794.849697506</v>
      </c>
      <c r="J89" s="162">
        <f>'Model Inputs'!J31</f>
        <v>15329750.236265505</v>
      </c>
      <c r="K89" s="162">
        <f>'Model Inputs'!K31</f>
        <v>0</v>
      </c>
      <c r="L89" s="162">
        <f>'Model Inputs'!L31</f>
        <v>0</v>
      </c>
      <c r="M89" s="163">
        <f>'Model Inputs'!M31</f>
        <v>0</v>
      </c>
      <c r="N89" s="204">
        <v>11</v>
      </c>
      <c r="O89" s="108">
        <v>87</v>
      </c>
      <c r="P89" s="108">
        <v>0</v>
      </c>
      <c r="Q89" s="155">
        <v>226830297.59</v>
      </c>
      <c r="R89" s="155">
        <v>11930620.43</v>
      </c>
      <c r="S89" s="155">
        <v>1087097.3199999998</v>
      </c>
      <c r="T89" s="155">
        <v>13754073.609999999</v>
      </c>
      <c r="U89" s="155">
        <v>9964564.8800000008</v>
      </c>
      <c r="V89" s="155">
        <v>18025935.079999998</v>
      </c>
      <c r="W89" s="155">
        <v>10228807.91</v>
      </c>
      <c r="X89" s="191">
        <v>2464520.41</v>
      </c>
      <c r="Y89" s="155">
        <v>744871.7</v>
      </c>
      <c r="Z89" s="155">
        <v>4816102.1800000006</v>
      </c>
      <c r="AA89" s="155">
        <v>689126.34</v>
      </c>
      <c r="AB89" s="155">
        <v>2605463.25</v>
      </c>
      <c r="AC89" s="155">
        <v>17677971.389999997</v>
      </c>
      <c r="AD89" s="155">
        <v>13576024.710000001</v>
      </c>
      <c r="AE89" s="155">
        <v>25555586.07</v>
      </c>
      <c r="AF89" s="155">
        <v>6208208.9000000004</v>
      </c>
      <c r="AG89" s="155">
        <v>1482629.1465</v>
      </c>
      <c r="AH89" s="155">
        <v>7545389.419999999</v>
      </c>
      <c r="AI89" s="155">
        <v>6168268.7400000002</v>
      </c>
      <c r="AJ89" s="155">
        <v>1619179.03</v>
      </c>
      <c r="AK89" s="155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7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  <c r="EY89" s="51"/>
      <c r="EZ89" s="51"/>
      <c r="FA89" s="51"/>
      <c r="FB89" s="51"/>
      <c r="FC89" s="51"/>
      <c r="FD89" s="51"/>
    </row>
    <row r="90" spans="1:160" x14ac:dyDescent="0.2">
      <c r="A90" s="3"/>
      <c r="B90" s="9">
        <v>82</v>
      </c>
      <c r="C90" s="18"/>
      <c r="D90" s="18"/>
      <c r="M90" s="89"/>
      <c r="O90" s="108">
        <v>88</v>
      </c>
      <c r="P90" s="108">
        <v>0</v>
      </c>
      <c r="Q90" s="155"/>
      <c r="R90" s="155"/>
      <c r="S90" s="155"/>
      <c r="T90" s="155"/>
      <c r="U90" s="155"/>
      <c r="V90" s="155"/>
      <c r="W90" s="155"/>
      <c r="X90" s="191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7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60" ht="13.5" thickBot="1" x14ac:dyDescent="0.25">
      <c r="A91" s="3"/>
      <c r="B91" s="9">
        <v>83</v>
      </c>
      <c r="C91" s="21" t="s">
        <v>85</v>
      </c>
      <c r="D91" s="21"/>
      <c r="M91" s="89"/>
      <c r="O91" s="108">
        <v>89</v>
      </c>
      <c r="P91" s="108">
        <v>0</v>
      </c>
      <c r="Q91" s="155"/>
      <c r="R91" s="155"/>
      <c r="S91" s="155"/>
      <c r="T91" s="155"/>
      <c r="U91" s="155"/>
      <c r="V91" s="155"/>
      <c r="W91" s="155"/>
      <c r="X91" s="191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7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60" ht="13.5" thickBot="1" x14ac:dyDescent="0.25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19537430</v>
      </c>
      <c r="H92" s="161">
        <f>'Model Inputs'!H9</f>
        <v>19651071</v>
      </c>
      <c r="I92" s="162">
        <f>'Model Inputs'!I9</f>
        <v>19367300</v>
      </c>
      <c r="J92" s="162">
        <f>'Model Inputs'!J9</f>
        <v>18784880</v>
      </c>
      <c r="K92" s="162">
        <f>'Model Inputs'!K9</f>
        <v>0</v>
      </c>
      <c r="L92" s="162">
        <f>'Model Inputs'!L9</f>
        <v>0</v>
      </c>
      <c r="M92" s="163">
        <f>'Model Inputs'!M9</f>
        <v>0</v>
      </c>
      <c r="N92" s="204">
        <v>1</v>
      </c>
      <c r="O92" s="108">
        <v>90</v>
      </c>
      <c r="P92" s="108">
        <v>0</v>
      </c>
      <c r="Q92" s="155">
        <v>328219959</v>
      </c>
      <c r="R92" s="155">
        <v>7307000</v>
      </c>
      <c r="S92" s="155">
        <v>716351</v>
      </c>
      <c r="T92" s="155">
        <v>9241677</v>
      </c>
      <c r="U92" s="155">
        <v>4322647</v>
      </c>
      <c r="V92" s="155">
        <v>13483192.810000001</v>
      </c>
      <c r="W92" s="155">
        <v>15385000</v>
      </c>
      <c r="X92" s="191">
        <v>1453404.22</v>
      </c>
      <c r="Y92" s="155">
        <v>512764.83</v>
      </c>
      <c r="Z92" s="155">
        <v>2673795.0699999998</v>
      </c>
      <c r="AA92" s="155">
        <v>227281</v>
      </c>
      <c r="AB92" s="155">
        <v>1105037.9099999999</v>
      </c>
      <c r="AC92" s="155">
        <v>14222941</v>
      </c>
      <c r="AD92" s="155">
        <v>12166321.029999999</v>
      </c>
      <c r="AE92" s="155">
        <v>20377654.359999999</v>
      </c>
      <c r="AF92" s="155">
        <v>4455227.57</v>
      </c>
      <c r="AG92" s="155">
        <v>479402.5</v>
      </c>
      <c r="AH92" s="155">
        <v>6383352.46</v>
      </c>
      <c r="AI92" s="155">
        <v>3761249.09</v>
      </c>
      <c r="AJ92" s="155">
        <v>511690.91</v>
      </c>
      <c r="AK92" s="155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7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60" ht="13.5" thickBot="1" x14ac:dyDescent="0.25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736383</v>
      </c>
      <c r="H93" s="161">
        <f>'Model Inputs'!H10</f>
        <v>184374</v>
      </c>
      <c r="I93" s="162">
        <f>'Model Inputs'!I10</f>
        <v>1053674</v>
      </c>
      <c r="J93" s="162">
        <f>'Model Inputs'!J10</f>
        <v>1116490</v>
      </c>
      <c r="K93" s="162">
        <f>'Model Inputs'!K10</f>
        <v>0</v>
      </c>
      <c r="L93" s="162">
        <f>'Model Inputs'!L10</f>
        <v>0</v>
      </c>
      <c r="M93" s="163">
        <f>'Model Inputs'!M10</f>
        <v>0</v>
      </c>
      <c r="N93" s="204">
        <v>2</v>
      </c>
      <c r="O93" s="108">
        <v>91</v>
      </c>
      <c r="P93" s="108">
        <v>0</v>
      </c>
      <c r="Q93" s="155">
        <v>2348426</v>
      </c>
      <c r="R93" s="155">
        <v>0</v>
      </c>
      <c r="S93" s="155">
        <v>0</v>
      </c>
      <c r="T93" s="155">
        <v>0</v>
      </c>
      <c r="U93" s="155">
        <v>0</v>
      </c>
      <c r="V93" s="155">
        <v>0</v>
      </c>
      <c r="W93" s="155">
        <v>0</v>
      </c>
      <c r="X93" s="191">
        <v>0</v>
      </c>
      <c r="Y93" s="155">
        <v>0</v>
      </c>
      <c r="Z93" s="155">
        <v>0</v>
      </c>
      <c r="AA93" s="155">
        <v>935</v>
      </c>
      <c r="AB93" s="155">
        <v>0</v>
      </c>
      <c r="AC93" s="155">
        <v>0</v>
      </c>
      <c r="AD93" s="155">
        <v>0</v>
      </c>
      <c r="AE93" s="155">
        <v>583621</v>
      </c>
      <c r="AF93" s="155">
        <v>0</v>
      </c>
      <c r="AG93" s="155">
        <v>0</v>
      </c>
      <c r="AH93" s="155">
        <v>0</v>
      </c>
      <c r="AI93" s="155">
        <v>0</v>
      </c>
      <c r="AJ93" s="155">
        <v>133652</v>
      </c>
      <c r="AK93" s="155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7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60" x14ac:dyDescent="0.2">
      <c r="A94" s="3"/>
      <c r="B94" s="9">
        <v>86</v>
      </c>
      <c r="C94" s="18"/>
      <c r="D94" s="18"/>
      <c r="M94" s="89"/>
      <c r="O94" s="108">
        <v>92</v>
      </c>
      <c r="P94" s="108">
        <v>0</v>
      </c>
      <c r="Q94" s="155"/>
      <c r="R94" s="155"/>
      <c r="S94" s="155"/>
      <c r="T94" s="155"/>
      <c r="U94" s="155"/>
      <c r="V94" s="155"/>
      <c r="W94" s="155"/>
      <c r="X94" s="191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7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60" ht="13.5" thickBot="1" x14ac:dyDescent="0.25">
      <c r="A95" s="3"/>
      <c r="B95" s="9">
        <v>87</v>
      </c>
      <c r="C95" s="21" t="s">
        <v>88</v>
      </c>
      <c r="D95" s="21"/>
      <c r="M95" s="89"/>
      <c r="O95" s="108">
        <v>93</v>
      </c>
      <c r="P95" s="108">
        <v>0</v>
      </c>
      <c r="Q95" s="155"/>
      <c r="R95" s="155"/>
      <c r="S95" s="155"/>
      <c r="T95" s="155"/>
      <c r="U95" s="155"/>
      <c r="V95" s="155"/>
      <c r="W95" s="155"/>
      <c r="X95" s="191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7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60" ht="13.5" thickBot="1" x14ac:dyDescent="0.25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57472</v>
      </c>
      <c r="H96" s="161">
        <f>'Model Inputs'!H13</f>
        <v>57856</v>
      </c>
      <c r="I96" s="162">
        <f>'Model Inputs'!I13</f>
        <v>58273</v>
      </c>
      <c r="J96" s="162">
        <f>'Model Inputs'!J13</f>
        <v>58693</v>
      </c>
      <c r="K96" s="162">
        <f>'Model Inputs'!K13</f>
        <v>0</v>
      </c>
      <c r="L96" s="162">
        <f>'Model Inputs'!L13</f>
        <v>0</v>
      </c>
      <c r="M96" s="163">
        <f>'Model Inputs'!M13</f>
        <v>0</v>
      </c>
      <c r="N96" s="206">
        <v>3</v>
      </c>
      <c r="O96" s="108">
        <v>94</v>
      </c>
      <c r="P96" s="108">
        <v>0</v>
      </c>
      <c r="Q96" s="155">
        <v>991103</v>
      </c>
      <c r="R96" s="155">
        <v>11721</v>
      </c>
      <c r="S96" s="155">
        <v>1636</v>
      </c>
      <c r="T96" s="155">
        <v>36691</v>
      </c>
      <c r="U96" s="155">
        <v>39905</v>
      </c>
      <c r="V96" s="155">
        <v>67940</v>
      </c>
      <c r="W96" s="155">
        <v>29246</v>
      </c>
      <c r="X96" s="191">
        <v>7022</v>
      </c>
      <c r="Y96" s="155">
        <v>1208</v>
      </c>
      <c r="Z96" s="155">
        <v>17408</v>
      </c>
      <c r="AA96" s="155">
        <v>2305</v>
      </c>
      <c r="AB96" s="155">
        <v>12412</v>
      </c>
      <c r="AC96" s="155">
        <v>65404</v>
      </c>
      <c r="AD96" s="155">
        <v>59187</v>
      </c>
      <c r="AE96" s="155">
        <v>88978</v>
      </c>
      <c r="AF96" s="155">
        <v>19242</v>
      </c>
      <c r="AG96" s="155">
        <v>3303</v>
      </c>
      <c r="AH96" s="155">
        <v>30016</v>
      </c>
      <c r="AI96" s="155">
        <v>21369</v>
      </c>
      <c r="AJ96" s="155">
        <v>3745</v>
      </c>
      <c r="AK96" s="155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7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A97" s="3"/>
      <c r="B97" s="9">
        <v>89</v>
      </c>
      <c r="C97" s="18"/>
      <c r="D97" s="18"/>
      <c r="E97" s="3" t="s">
        <v>90</v>
      </c>
      <c r="F97" s="98"/>
      <c r="G97" s="98">
        <f>G129</f>
        <v>1461137926</v>
      </c>
      <c r="H97" s="161">
        <f>'Model Inputs'!H14</f>
        <v>1431774008</v>
      </c>
      <c r="I97" s="162">
        <f>'Model Inputs'!I14</f>
        <v>1433417594</v>
      </c>
      <c r="J97" s="162">
        <f>'Model Inputs'!J14</f>
        <v>1434005015</v>
      </c>
      <c r="K97" s="162">
        <f>'Model Inputs'!K14</f>
        <v>0</v>
      </c>
      <c r="L97" s="162">
        <f>'Model Inputs'!L14</f>
        <v>0</v>
      </c>
      <c r="M97" s="163">
        <f>'Model Inputs'!M14</f>
        <v>0</v>
      </c>
      <c r="N97" s="206">
        <v>4</v>
      </c>
      <c r="O97" s="108">
        <v>95</v>
      </c>
      <c r="P97" s="108">
        <v>0</v>
      </c>
      <c r="Q97" s="155">
        <v>25280291057</v>
      </c>
      <c r="R97" s="155">
        <v>223988678.07520866</v>
      </c>
      <c r="S97" s="155">
        <v>29726073.119999997</v>
      </c>
      <c r="T97" s="155">
        <v>985257711</v>
      </c>
      <c r="U97" s="155">
        <v>973189790.19000006</v>
      </c>
      <c r="V97" s="155">
        <v>1587097140</v>
      </c>
      <c r="W97" s="155">
        <v>473473781.3066833</v>
      </c>
      <c r="X97" s="191">
        <v>142194816.25999999</v>
      </c>
      <c r="Y97" s="155">
        <v>24228193</v>
      </c>
      <c r="Z97" s="155">
        <v>307635771.03999996</v>
      </c>
      <c r="AA97" s="155">
        <v>29043489</v>
      </c>
      <c r="AB97" s="155">
        <v>244678551</v>
      </c>
      <c r="AC97" s="155">
        <v>1693068324</v>
      </c>
      <c r="AD97" s="155">
        <v>1211909343</v>
      </c>
      <c r="AE97" s="155">
        <v>2429022729</v>
      </c>
      <c r="AF97" s="155">
        <v>506809214.88</v>
      </c>
      <c r="AG97" s="155">
        <v>56436105.189999998</v>
      </c>
      <c r="AH97" s="155">
        <v>514149798.70999998</v>
      </c>
      <c r="AI97" s="155">
        <v>609956991</v>
      </c>
      <c r="AJ97" s="155">
        <v>73312156.159999996</v>
      </c>
      <c r="AK97" s="155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7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A98" s="3"/>
      <c r="B98" s="9">
        <v>90</v>
      </c>
      <c r="E98" s="3" t="s">
        <v>91</v>
      </c>
      <c r="F98" s="98"/>
      <c r="G98" s="98">
        <f>HLOOKUP($E$3,$P$3:$CE$269,O98,FALSE)</f>
        <v>290747</v>
      </c>
      <c r="H98" s="161">
        <f>'Model Inputs'!H15</f>
        <v>271173</v>
      </c>
      <c r="I98" s="162">
        <f>'Model Inputs'!I15</f>
        <v>283728</v>
      </c>
      <c r="J98" s="162">
        <f>'Model Inputs'!J15</f>
        <v>286565.28000000003</v>
      </c>
      <c r="K98" s="162">
        <f>'Model Inputs'!K15</f>
        <v>0</v>
      </c>
      <c r="L98" s="162">
        <f>'Model Inputs'!L15</f>
        <v>0</v>
      </c>
      <c r="M98" s="163">
        <f>'Model Inputs'!M15</f>
        <v>0</v>
      </c>
      <c r="N98" s="206">
        <v>5</v>
      </c>
      <c r="O98" s="108">
        <v>96</v>
      </c>
      <c r="P98" s="108">
        <v>0</v>
      </c>
      <c r="Q98" s="155">
        <v>5106316</v>
      </c>
      <c r="R98" s="155">
        <v>44182</v>
      </c>
      <c r="S98" s="155">
        <v>6256</v>
      </c>
      <c r="T98" s="155">
        <v>161525</v>
      </c>
      <c r="U98" s="155">
        <v>186912</v>
      </c>
      <c r="V98" s="155">
        <v>351438</v>
      </c>
      <c r="W98" s="155">
        <v>98015</v>
      </c>
      <c r="X98" s="191">
        <v>26524</v>
      </c>
      <c r="Y98" s="155">
        <v>6354</v>
      </c>
      <c r="Z98" s="155">
        <v>55379</v>
      </c>
      <c r="AA98" s="155">
        <v>6858</v>
      </c>
      <c r="AB98" s="155">
        <v>65612</v>
      </c>
      <c r="AC98" s="155">
        <v>331153</v>
      </c>
      <c r="AD98" s="155">
        <v>231782</v>
      </c>
      <c r="AE98" s="155">
        <v>488900</v>
      </c>
      <c r="AF98" s="155">
        <v>82701</v>
      </c>
      <c r="AG98" s="155">
        <v>15504</v>
      </c>
      <c r="AH98" s="155">
        <v>126059</v>
      </c>
      <c r="AI98" s="155">
        <v>108689</v>
      </c>
      <c r="AJ98" s="155">
        <v>15430</v>
      </c>
      <c r="AK98" s="155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7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A99" s="3"/>
      <c r="B99" s="9">
        <v>91</v>
      </c>
      <c r="E99" s="11" t="s">
        <v>92</v>
      </c>
      <c r="F99" s="98"/>
      <c r="G99" s="98">
        <f>HLOOKUP($E$3,$P$3:$CE$269,O99,FALSE)</f>
        <v>1652</v>
      </c>
      <c r="H99" s="161">
        <f>'Model Inputs'!H16</f>
        <v>1648</v>
      </c>
      <c r="I99" s="162">
        <f>'Model Inputs'!I16</f>
        <v>1656.8</v>
      </c>
      <c r="J99" s="162">
        <f>'Model Inputs'!J16</f>
        <v>1665.6</v>
      </c>
      <c r="K99" s="162">
        <f>'Model Inputs'!K16</f>
        <v>0</v>
      </c>
      <c r="L99" s="162">
        <f>'Model Inputs'!L16</f>
        <v>0</v>
      </c>
      <c r="M99" s="163">
        <f>'Model Inputs'!M16</f>
        <v>0</v>
      </c>
      <c r="N99" s="206">
        <v>6</v>
      </c>
      <c r="O99" s="108">
        <v>97</v>
      </c>
      <c r="P99" s="108">
        <v>0</v>
      </c>
      <c r="Q99" s="155">
        <v>19897</v>
      </c>
      <c r="R99" s="155">
        <v>1849</v>
      </c>
      <c r="S99" s="155">
        <v>92</v>
      </c>
      <c r="T99" s="155">
        <v>783</v>
      </c>
      <c r="U99" s="155">
        <v>510</v>
      </c>
      <c r="V99" s="155">
        <v>1535</v>
      </c>
      <c r="W99" s="155">
        <v>1038</v>
      </c>
      <c r="X99" s="191">
        <v>156</v>
      </c>
      <c r="Y99" s="155">
        <v>30</v>
      </c>
      <c r="Z99" s="155">
        <v>362</v>
      </c>
      <c r="AA99" s="155">
        <v>36</v>
      </c>
      <c r="AB99" s="155">
        <v>162</v>
      </c>
      <c r="AC99" s="155">
        <v>1510</v>
      </c>
      <c r="AD99" s="155">
        <v>1243</v>
      </c>
      <c r="AE99" s="155">
        <v>4668</v>
      </c>
      <c r="AF99" s="155">
        <v>352</v>
      </c>
      <c r="AG99" s="155">
        <v>141</v>
      </c>
      <c r="AH99" s="155">
        <v>457</v>
      </c>
      <c r="AI99" s="155">
        <v>261</v>
      </c>
      <c r="AJ99" s="155">
        <v>81</v>
      </c>
      <c r="AK99" s="155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7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6"/>
      <c r="O100" s="108">
        <v>98</v>
      </c>
      <c r="P100" s="108">
        <v>0</v>
      </c>
      <c r="Q100" s="155"/>
      <c r="R100" s="155"/>
      <c r="S100" s="155"/>
      <c r="T100" s="155"/>
      <c r="U100" s="155"/>
      <c r="V100" s="155"/>
      <c r="W100" s="155"/>
      <c r="X100" s="191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7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6"/>
      <c r="O101" s="108">
        <v>99</v>
      </c>
      <c r="P101" s="108">
        <v>0</v>
      </c>
      <c r="Q101" s="155"/>
      <c r="R101" s="155"/>
      <c r="S101" s="155"/>
      <c r="T101" s="155"/>
      <c r="U101" s="155"/>
      <c r="V101" s="155"/>
      <c r="W101" s="155"/>
      <c r="X101" s="191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7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25">
      <c r="A102" s="241" t="s">
        <v>93</v>
      </c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7"/>
      <c r="N102" s="206"/>
      <c r="O102" s="108">
        <v>100</v>
      </c>
      <c r="P102" s="108">
        <v>0</v>
      </c>
      <c r="Q102" s="155"/>
      <c r="R102" s="155"/>
      <c r="S102" s="155"/>
      <c r="T102" s="155"/>
      <c r="U102" s="155"/>
      <c r="V102" s="155"/>
      <c r="W102" s="155"/>
      <c r="X102" s="191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7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206"/>
      <c r="O103" s="108">
        <v>101</v>
      </c>
      <c r="P103" s="108">
        <v>0</v>
      </c>
      <c r="Q103" s="155"/>
      <c r="R103" s="155"/>
      <c r="S103" s="155"/>
      <c r="T103" s="155"/>
      <c r="U103" s="155"/>
      <c r="V103" s="155"/>
      <c r="W103" s="155"/>
      <c r="X103" s="191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7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6"/>
      <c r="O104" s="108">
        <v>102</v>
      </c>
      <c r="P104" s="108">
        <v>0</v>
      </c>
      <c r="Q104" s="155"/>
      <c r="R104" s="155"/>
      <c r="S104" s="155"/>
      <c r="T104" s="155"/>
      <c r="U104" s="155"/>
      <c r="V104" s="155"/>
      <c r="W104" s="155"/>
      <c r="X104" s="191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7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5"/>
      <c r="R105" s="155"/>
      <c r="S105" s="155"/>
      <c r="T105" s="155"/>
      <c r="U105" s="155"/>
      <c r="V105" s="155"/>
      <c r="W105" s="155"/>
      <c r="X105" s="191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7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5"/>
      <c r="R106" s="155"/>
      <c r="S106" s="155"/>
      <c r="T106" s="155"/>
      <c r="U106" s="155"/>
      <c r="V106" s="155"/>
      <c r="W106" s="155"/>
      <c r="X106" s="191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7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13837414.24</v>
      </c>
      <c r="H107" s="28">
        <f t="shared" ref="H107:K107" si="32">H89</f>
        <v>13878886.42</v>
      </c>
      <c r="I107" s="28">
        <f t="shared" si="32"/>
        <v>14561794.849697506</v>
      </c>
      <c r="J107" s="28">
        <f t="shared" si="32"/>
        <v>15329750.236265505</v>
      </c>
      <c r="K107" s="28">
        <f t="shared" si="32"/>
        <v>0</v>
      </c>
      <c r="L107" s="28">
        <f t="shared" ref="L107:M107" si="33">L89</f>
        <v>0</v>
      </c>
      <c r="M107" s="28">
        <f t="shared" si="33"/>
        <v>0</v>
      </c>
      <c r="O107" s="108">
        <v>105</v>
      </c>
      <c r="P107" s="108">
        <v>0</v>
      </c>
      <c r="Q107" s="155">
        <v>226830297.59</v>
      </c>
      <c r="R107" s="155">
        <v>11930620.43</v>
      </c>
      <c r="S107" s="155">
        <v>1087097.3199999998</v>
      </c>
      <c r="T107" s="155">
        <v>13754073.609999999</v>
      </c>
      <c r="U107" s="155">
        <v>9964564.8800000008</v>
      </c>
      <c r="V107" s="155">
        <v>18025935.079999998</v>
      </c>
      <c r="W107" s="155">
        <v>10228807.91</v>
      </c>
      <c r="X107" s="191">
        <v>2464520.41</v>
      </c>
      <c r="Y107" s="155">
        <v>744871.7</v>
      </c>
      <c r="Z107" s="155">
        <v>4816102.1800000006</v>
      </c>
      <c r="AA107" s="155">
        <v>689126.34</v>
      </c>
      <c r="AB107" s="155">
        <v>2605463.25</v>
      </c>
      <c r="AC107" s="155">
        <v>17677971.389999997</v>
      </c>
      <c r="AD107" s="155">
        <v>13576024.710000001</v>
      </c>
      <c r="AE107" s="155">
        <v>25555586.07</v>
      </c>
      <c r="AF107" s="155">
        <v>6208208.9000000004</v>
      </c>
      <c r="AG107" s="155">
        <v>1482629.1465</v>
      </c>
      <c r="AH107" s="155">
        <v>7545389.419999999</v>
      </c>
      <c r="AI107" s="155">
        <v>6168268.7400000002</v>
      </c>
      <c r="AJ107" s="155">
        <v>1619179.03</v>
      </c>
      <c r="AK107" s="155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7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5"/>
      <c r="R108" s="155"/>
      <c r="S108" s="155"/>
      <c r="T108" s="155"/>
      <c r="U108" s="155"/>
      <c r="V108" s="155"/>
      <c r="W108" s="155"/>
      <c r="X108" s="191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7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5"/>
      <c r="R109" s="155"/>
      <c r="S109" s="155"/>
      <c r="T109" s="155"/>
      <c r="U109" s="155"/>
      <c r="V109" s="155"/>
      <c r="W109" s="155"/>
      <c r="X109" s="191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7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34">HLOOKUP($E$3,$P$3:$CE$269,O110,FALSE)</f>
        <v>6.0212000000000002E-2</v>
      </c>
      <c r="H110" s="164">
        <f>'Model Inputs'!H22</f>
        <v>6.0212000000000002E-2</v>
      </c>
      <c r="I110" s="165">
        <f>'Model Inputs'!I22</f>
        <v>6.0212000000000002E-2</v>
      </c>
      <c r="J110" s="165">
        <f>'Model Inputs'!J22</f>
        <v>6.0212000000000002E-2</v>
      </c>
      <c r="K110" s="165">
        <f>'Model Inputs'!K22</f>
        <v>0</v>
      </c>
      <c r="L110" s="165">
        <f>'Model Inputs'!L22</f>
        <v>0</v>
      </c>
      <c r="M110" s="166">
        <f>'Model Inputs'!M22</f>
        <v>0</v>
      </c>
      <c r="N110" s="206">
        <v>10</v>
      </c>
      <c r="O110" s="108">
        <v>108</v>
      </c>
      <c r="P110" s="108">
        <v>0</v>
      </c>
      <c r="Q110" s="155">
        <v>6.0212000000000002E-2</v>
      </c>
      <c r="R110" s="155">
        <v>6.0212000000000002E-2</v>
      </c>
      <c r="S110" s="155">
        <v>6.0212000000000002E-2</v>
      </c>
      <c r="T110" s="155">
        <v>6.0212000000000002E-2</v>
      </c>
      <c r="U110" s="155">
        <v>6.0212000000000002E-2</v>
      </c>
      <c r="V110" s="155">
        <v>6.0212000000000002E-2</v>
      </c>
      <c r="W110" s="155">
        <v>6.0212000000000002E-2</v>
      </c>
      <c r="X110" s="191">
        <v>6.0212000000000002E-2</v>
      </c>
      <c r="Y110" s="155">
        <v>6.0212000000000002E-2</v>
      </c>
      <c r="Z110" s="155">
        <v>6.0212000000000002E-2</v>
      </c>
      <c r="AA110" s="155">
        <v>6.0212000000000002E-2</v>
      </c>
      <c r="AB110" s="155">
        <v>6.0212000000000002E-2</v>
      </c>
      <c r="AC110" s="155">
        <v>6.0212000000000002E-2</v>
      </c>
      <c r="AD110" s="155">
        <v>6.0212000000000002E-2</v>
      </c>
      <c r="AE110" s="155">
        <v>6.0212000000000002E-2</v>
      </c>
      <c r="AF110" s="155">
        <v>6.0212000000000002E-2</v>
      </c>
      <c r="AG110" s="155">
        <v>6.0212000000000002E-2</v>
      </c>
      <c r="AH110" s="155">
        <v>6.0212000000000002E-2</v>
      </c>
      <c r="AI110" s="155">
        <v>6.0212000000000002E-2</v>
      </c>
      <c r="AJ110" s="155">
        <v>6.0212000000000002E-2</v>
      </c>
      <c r="AK110" s="155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7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34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8"/>
      <c r="O111" s="108">
        <v>109</v>
      </c>
      <c r="P111" s="108">
        <v>0</v>
      </c>
      <c r="Q111" s="155">
        <v>4.5900000000000003E-2</v>
      </c>
      <c r="R111" s="155">
        <v>4.5900000000000003E-2</v>
      </c>
      <c r="S111" s="155">
        <v>4.5900000000000003E-2</v>
      </c>
      <c r="T111" s="155">
        <v>4.5900000000000003E-2</v>
      </c>
      <c r="U111" s="155">
        <v>4.5900000000000003E-2</v>
      </c>
      <c r="V111" s="155">
        <v>4.5900000000000003E-2</v>
      </c>
      <c r="W111" s="155">
        <v>4.5900000000000003E-2</v>
      </c>
      <c r="X111" s="191">
        <v>4.5900000000000003E-2</v>
      </c>
      <c r="Y111" s="155">
        <v>4.5900000000000003E-2</v>
      </c>
      <c r="Z111" s="155">
        <v>4.5900000000000003E-2</v>
      </c>
      <c r="AA111" s="155">
        <v>4.5900000000000003E-2</v>
      </c>
      <c r="AB111" s="155">
        <v>4.5900000000000003E-2</v>
      </c>
      <c r="AC111" s="155">
        <v>4.5900000000000003E-2</v>
      </c>
      <c r="AD111" s="155">
        <v>4.5900000000000003E-2</v>
      </c>
      <c r="AE111" s="155">
        <v>4.5900000000000003E-2</v>
      </c>
      <c r="AF111" s="155">
        <v>4.5900000000000003E-2</v>
      </c>
      <c r="AG111" s="155">
        <v>4.5900000000000003E-2</v>
      </c>
      <c r="AH111" s="155">
        <v>4.5900000000000003E-2</v>
      </c>
      <c r="AI111" s="155">
        <v>4.5900000000000003E-2</v>
      </c>
      <c r="AJ111" s="155">
        <v>4.5900000000000003E-2</v>
      </c>
      <c r="AK111" s="155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7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34"/>
        <v>170.0597525065601</v>
      </c>
      <c r="H112" s="167">
        <f>G112*EXP('Model Inputs'!H21)</f>
        <v>172.80391633216158</v>
      </c>
      <c r="I112" s="168">
        <f>H112*EXP('Model Inputs'!I21)</f>
        <v>175.59236127067041</v>
      </c>
      <c r="J112" s="168">
        <f>I112*EXP('Model Inputs'!J21)</f>
        <v>178.42580186286656</v>
      </c>
      <c r="K112" s="168">
        <f>J112*EXP('Model Inputs'!K21)</f>
        <v>178.42580186286656</v>
      </c>
      <c r="L112" s="168">
        <f>K112*EXP('Model Inputs'!L21)</f>
        <v>178.42580186286656</v>
      </c>
      <c r="M112" s="169">
        <f>L112*EXP('Model Inputs'!M21)</f>
        <v>178.42580186286656</v>
      </c>
      <c r="N112" s="206">
        <v>9</v>
      </c>
      <c r="O112" s="108">
        <v>110</v>
      </c>
      <c r="P112" s="108">
        <v>0</v>
      </c>
      <c r="Q112" s="155">
        <v>170.0597525065601</v>
      </c>
      <c r="R112" s="155">
        <v>170.0597525065601</v>
      </c>
      <c r="S112" s="155">
        <v>170.0597525065601</v>
      </c>
      <c r="T112" s="155">
        <v>170.0597525065601</v>
      </c>
      <c r="U112" s="155">
        <v>170.0597525065601</v>
      </c>
      <c r="V112" s="155">
        <v>170.0597525065601</v>
      </c>
      <c r="W112" s="155">
        <v>170.0597525065601</v>
      </c>
      <c r="X112" s="191">
        <v>170.0597525065601</v>
      </c>
      <c r="Y112" s="155">
        <v>170.0597525065601</v>
      </c>
      <c r="Z112" s="155">
        <v>170.0597525065601</v>
      </c>
      <c r="AA112" s="155">
        <v>170.0597525065601</v>
      </c>
      <c r="AB112" s="155">
        <v>170.0597525065601</v>
      </c>
      <c r="AC112" s="155">
        <v>170.0597525065601</v>
      </c>
      <c r="AD112" s="155">
        <v>170.0597525065601</v>
      </c>
      <c r="AE112" s="155">
        <v>170.0597525065601</v>
      </c>
      <c r="AF112" s="155">
        <v>170.0597525065601</v>
      </c>
      <c r="AG112" s="155">
        <v>170.0597525065601</v>
      </c>
      <c r="AH112" s="155">
        <v>170.0597525065601</v>
      </c>
      <c r="AI112" s="155">
        <v>170.0597525065601</v>
      </c>
      <c r="AJ112" s="155">
        <v>170.0597525065601</v>
      </c>
      <c r="AK112" s="155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7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34"/>
        <v>17.882772779379295</v>
      </c>
      <c r="H113" s="28">
        <v>18.1933190168869</v>
      </c>
      <c r="I113" s="28">
        <f>H112*I110+I111*I112</f>
        <v>18.464558792515888</v>
      </c>
      <c r="J113" s="28">
        <f t="shared" ref="J113:M113" si="35">I112*J110+J111*J112</f>
        <v>18.762511562335185</v>
      </c>
      <c r="K113" s="28">
        <f t="shared" si="35"/>
        <v>8.1897443055055756</v>
      </c>
      <c r="L113" s="28">
        <f t="shared" si="35"/>
        <v>8.1897443055055756</v>
      </c>
      <c r="M113" s="28">
        <f t="shared" si="35"/>
        <v>8.1897443055055756</v>
      </c>
      <c r="N113" s="205"/>
      <c r="O113" s="108">
        <v>111</v>
      </c>
      <c r="P113" s="108">
        <v>0</v>
      </c>
      <c r="Q113" s="155">
        <v>17.882772779379295</v>
      </c>
      <c r="R113" s="155">
        <v>17.882772779379295</v>
      </c>
      <c r="S113" s="155">
        <v>17.882772779379295</v>
      </c>
      <c r="T113" s="155">
        <v>17.882772779379295</v>
      </c>
      <c r="U113" s="155">
        <v>17.882772779379295</v>
      </c>
      <c r="V113" s="155">
        <v>17.882772779379295</v>
      </c>
      <c r="W113" s="155">
        <v>17.882772779379295</v>
      </c>
      <c r="X113" s="191">
        <v>17.882772779379295</v>
      </c>
      <c r="Y113" s="155">
        <v>17.882772779379295</v>
      </c>
      <c r="Z113" s="155">
        <v>17.882772779379295</v>
      </c>
      <c r="AA113" s="155">
        <v>17.882772779379295</v>
      </c>
      <c r="AB113" s="155">
        <v>17.882772779379295</v>
      </c>
      <c r="AC113" s="155">
        <v>17.882772779379295</v>
      </c>
      <c r="AD113" s="155">
        <v>17.882772779379295</v>
      </c>
      <c r="AE113" s="155">
        <v>17.882772779379295</v>
      </c>
      <c r="AF113" s="155">
        <v>17.882772779379295</v>
      </c>
      <c r="AG113" s="155">
        <v>17.882772779379295</v>
      </c>
      <c r="AH113" s="155">
        <v>17.882772779379295</v>
      </c>
      <c r="AI113" s="155">
        <v>17.882772779379295</v>
      </c>
      <c r="AJ113" s="155">
        <v>17.882772779379295</v>
      </c>
      <c r="AK113" s="155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7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34"/>
        <v>19537430</v>
      </c>
      <c r="H114" s="170">
        <f>H92</f>
        <v>19651071</v>
      </c>
      <c r="I114" s="171">
        <f t="shared" ref="I114:L114" si="36">I92</f>
        <v>19367300</v>
      </c>
      <c r="J114" s="171">
        <f t="shared" si="36"/>
        <v>18784880</v>
      </c>
      <c r="K114" s="171">
        <f t="shared" si="36"/>
        <v>0</v>
      </c>
      <c r="L114" s="171">
        <f t="shared" si="36"/>
        <v>0</v>
      </c>
      <c r="M114" s="172">
        <f t="shared" ref="M114" si="37">M92</f>
        <v>0</v>
      </c>
      <c r="N114" s="206">
        <v>1</v>
      </c>
      <c r="O114" s="108">
        <v>112</v>
      </c>
      <c r="P114" s="108">
        <v>0</v>
      </c>
      <c r="Q114" s="155">
        <v>328219959</v>
      </c>
      <c r="R114" s="155">
        <v>7307000</v>
      </c>
      <c r="S114" s="155">
        <v>716351</v>
      </c>
      <c r="T114" s="155">
        <v>9241677</v>
      </c>
      <c r="U114" s="155">
        <v>4322647</v>
      </c>
      <c r="V114" s="155">
        <v>13483192.810000001</v>
      </c>
      <c r="W114" s="155">
        <v>15385000</v>
      </c>
      <c r="X114" s="191">
        <v>1453404.22</v>
      </c>
      <c r="Y114" s="155">
        <v>512764.83</v>
      </c>
      <c r="Z114" s="155">
        <v>2673795.0699999998</v>
      </c>
      <c r="AA114" s="155">
        <v>227281</v>
      </c>
      <c r="AB114" s="155">
        <v>1105037.9099999999</v>
      </c>
      <c r="AC114" s="155">
        <v>14222941</v>
      </c>
      <c r="AD114" s="155">
        <v>12166321.029999999</v>
      </c>
      <c r="AE114" s="155">
        <v>20377654.359999999</v>
      </c>
      <c r="AF114" s="155">
        <v>4455227.57</v>
      </c>
      <c r="AG114" s="155">
        <v>479402.5</v>
      </c>
      <c r="AH114" s="155">
        <v>6383352.46</v>
      </c>
      <c r="AI114" s="155">
        <v>3761249.09</v>
      </c>
      <c r="AJ114" s="155">
        <v>511690.91</v>
      </c>
      <c r="AK114" s="155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7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34"/>
        <v>736383</v>
      </c>
      <c r="H115" s="173">
        <f>H93</f>
        <v>184374</v>
      </c>
      <c r="I115" s="174">
        <f t="shared" ref="I115:L115" si="38">I93</f>
        <v>1053674</v>
      </c>
      <c r="J115" s="174">
        <f t="shared" si="38"/>
        <v>1116490</v>
      </c>
      <c r="K115" s="174">
        <f t="shared" si="38"/>
        <v>0</v>
      </c>
      <c r="L115" s="174">
        <f t="shared" si="38"/>
        <v>0</v>
      </c>
      <c r="M115" s="175">
        <f t="shared" ref="M115" si="39">M93</f>
        <v>0</v>
      </c>
      <c r="N115" s="206">
        <v>2</v>
      </c>
      <c r="O115" s="108">
        <v>113</v>
      </c>
      <c r="P115" s="108">
        <v>0</v>
      </c>
      <c r="Q115" s="155">
        <v>2348426</v>
      </c>
      <c r="R115" s="155">
        <v>0</v>
      </c>
      <c r="S115" s="155">
        <v>0</v>
      </c>
      <c r="T115" s="155">
        <v>0</v>
      </c>
      <c r="U115" s="155">
        <v>0</v>
      </c>
      <c r="V115" s="155">
        <v>0</v>
      </c>
      <c r="W115" s="155">
        <v>0</v>
      </c>
      <c r="X115" s="191">
        <v>0</v>
      </c>
      <c r="Y115" s="155">
        <v>0</v>
      </c>
      <c r="Z115" s="155">
        <v>0</v>
      </c>
      <c r="AA115" s="155">
        <v>935</v>
      </c>
      <c r="AB115" s="155">
        <v>0</v>
      </c>
      <c r="AC115" s="155">
        <v>0</v>
      </c>
      <c r="AD115" s="155">
        <v>0</v>
      </c>
      <c r="AE115" s="155">
        <v>583621</v>
      </c>
      <c r="AF115" s="155">
        <v>0</v>
      </c>
      <c r="AG115" s="155">
        <v>0</v>
      </c>
      <c r="AH115" s="155">
        <v>0</v>
      </c>
      <c r="AI115" s="155">
        <v>0</v>
      </c>
      <c r="AJ115" s="155">
        <v>133652</v>
      </c>
      <c r="AK115" s="155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7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34"/>
        <v>110555.53546848038</v>
      </c>
      <c r="H116" s="7">
        <f t="shared" ref="H116:K116" si="40">(H114-H115)/H112</f>
        <v>112651.94338872131</v>
      </c>
      <c r="I116" s="7">
        <f t="shared" si="40"/>
        <v>104296.25678175196</v>
      </c>
      <c r="J116" s="7">
        <f t="shared" si="40"/>
        <v>99023.738806450565</v>
      </c>
      <c r="K116" s="7">
        <f t="shared" si="40"/>
        <v>0</v>
      </c>
      <c r="L116" s="7">
        <f t="shared" ref="L116:M116" si="41">(L114-L115)/L112</f>
        <v>0</v>
      </c>
      <c r="M116" s="7">
        <f t="shared" si="41"/>
        <v>0</v>
      </c>
      <c r="N116" s="206"/>
      <c r="O116" s="108">
        <v>114</v>
      </c>
      <c r="P116" s="108">
        <v>0</v>
      </c>
      <c r="Q116" s="155">
        <v>1916217.8481203506</v>
      </c>
      <c r="R116" s="155">
        <v>42967.250582809887</v>
      </c>
      <c r="S116" s="155">
        <v>4212.348832933686</v>
      </c>
      <c r="T116" s="155">
        <v>54343.704867167202</v>
      </c>
      <c r="U116" s="155">
        <v>25418.401098950515</v>
      </c>
      <c r="V116" s="155">
        <v>79285.031356727879</v>
      </c>
      <c r="W116" s="155">
        <v>90468.201754007139</v>
      </c>
      <c r="X116" s="191">
        <v>8546.4326425144864</v>
      </c>
      <c r="Y116" s="155">
        <v>3015.2039059342978</v>
      </c>
      <c r="Z116" s="155">
        <v>15722.680002705858</v>
      </c>
      <c r="AA116" s="155">
        <v>1330.9792391428339</v>
      </c>
      <c r="AB116" s="155">
        <v>6497.9390697241706</v>
      </c>
      <c r="AC116" s="155">
        <v>83634.962360958074</v>
      </c>
      <c r="AD116" s="155">
        <v>71541.448524280786</v>
      </c>
      <c r="AE116" s="155">
        <v>116394.57936548766</v>
      </c>
      <c r="AF116" s="155">
        <v>26198.012782760805</v>
      </c>
      <c r="AG116" s="155">
        <v>2819.0238603428929</v>
      </c>
      <c r="AH116" s="155">
        <v>37535.938785714512</v>
      </c>
      <c r="AI116" s="155">
        <v>22117.220768358515</v>
      </c>
      <c r="AJ116" s="155">
        <v>2222.976950324663</v>
      </c>
      <c r="AK116" s="155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7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34"/>
        <v>84111.218825749398</v>
      </c>
      <c r="H117" s="24">
        <f t="shared" ref="H117:M117" si="42">H111*G118</f>
        <v>85325.012959650747</v>
      </c>
      <c r="I117" s="24">
        <f t="shared" si="42"/>
        <v>86561.062847105568</v>
      </c>
      <c r="J117" s="24">
        <f t="shared" si="42"/>
        <v>87375.108248705845</v>
      </c>
      <c r="K117" s="24">
        <f t="shared" si="42"/>
        <v>87909.780391306325</v>
      </c>
      <c r="L117" s="24">
        <f t="shared" si="42"/>
        <v>83874.721471345358</v>
      </c>
      <c r="M117" s="24">
        <f t="shared" si="42"/>
        <v>80024.871755810615</v>
      </c>
      <c r="N117" s="207"/>
      <c r="O117" s="108">
        <v>115</v>
      </c>
      <c r="P117" s="108">
        <v>0</v>
      </c>
      <c r="Q117" s="155">
        <v>1114795.1185467313</v>
      </c>
      <c r="R117" s="155">
        <v>34636.590755191704</v>
      </c>
      <c r="S117" s="155">
        <v>1380.1630985555378</v>
      </c>
      <c r="T117" s="155">
        <v>32394.908016213707</v>
      </c>
      <c r="U117" s="155">
        <v>28525.923772341899</v>
      </c>
      <c r="V117" s="155">
        <v>62349.459296919915</v>
      </c>
      <c r="W117" s="155">
        <v>36335.906226633582</v>
      </c>
      <c r="X117" s="191">
        <v>6372.5925927736307</v>
      </c>
      <c r="Y117" s="155">
        <v>475.21317346719798</v>
      </c>
      <c r="Z117" s="155">
        <v>11369.336538191392</v>
      </c>
      <c r="AA117" s="155">
        <v>1309.8813150399417</v>
      </c>
      <c r="AB117" s="155">
        <v>6099.1609925436032</v>
      </c>
      <c r="AC117" s="155">
        <v>64959.907231173078</v>
      </c>
      <c r="AD117" s="155">
        <v>49608.845309343305</v>
      </c>
      <c r="AE117" s="155">
        <v>97187.935226577451</v>
      </c>
      <c r="AF117" s="155">
        <v>17155.923704433244</v>
      </c>
      <c r="AG117" s="155">
        <v>1945.9201523944453</v>
      </c>
      <c r="AH117" s="155">
        <v>24563.87071090873</v>
      </c>
      <c r="AI117" s="155">
        <v>20190.378803133732</v>
      </c>
      <c r="AJ117" s="155">
        <v>2343.6757266704844</v>
      </c>
      <c r="AK117" s="155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7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34"/>
        <v>1858932.7442189704</v>
      </c>
      <c r="H118" s="24">
        <v>1885861.9356667879</v>
      </c>
      <c r="I118" s="24">
        <f t="shared" ref="I118:M118" si="43">H118+I116-I117</f>
        <v>1903597.1296014343</v>
      </c>
      <c r="J118" s="24">
        <f t="shared" si="43"/>
        <v>1915245.7601591791</v>
      </c>
      <c r="K118" s="24">
        <f t="shared" si="43"/>
        <v>1827335.9797678727</v>
      </c>
      <c r="L118" s="24">
        <f t="shared" si="43"/>
        <v>1743461.2582965274</v>
      </c>
      <c r="M118" s="24">
        <f t="shared" si="43"/>
        <v>1663436.3865407167</v>
      </c>
      <c r="N118" s="207"/>
      <c r="O118" s="108">
        <v>116</v>
      </c>
      <c r="P118" s="108">
        <v>0</v>
      </c>
      <c r="Q118" s="155">
        <v>25088898.079175606</v>
      </c>
      <c r="R118" s="155">
        <v>762940.48020216497</v>
      </c>
      <c r="S118" s="155">
        <v>32901.098556938879</v>
      </c>
      <c r="T118" s="155">
        <v>727720.21332619758</v>
      </c>
      <c r="U118" s="155">
        <v>618372.29807479808</v>
      </c>
      <c r="V118" s="155">
        <v>1375311.5916005468</v>
      </c>
      <c r="W118" s="155">
        <v>845764.23946274561</v>
      </c>
      <c r="X118" s="191">
        <v>141010.27997944958</v>
      </c>
      <c r="Y118" s="155">
        <v>12893.218912580343</v>
      </c>
      <c r="Z118" s="155">
        <v>252051.30725953387</v>
      </c>
      <c r="AA118" s="155">
        <v>28558.817206018834</v>
      </c>
      <c r="AB118" s="155">
        <v>133278.10253346822</v>
      </c>
      <c r="AC118" s="155">
        <v>1433923.578684754</v>
      </c>
      <c r="AD118" s="155">
        <v>1102735.3332659896</v>
      </c>
      <c r="AE118" s="155">
        <v>2136590.8538682666</v>
      </c>
      <c r="AF118" s="155">
        <v>382809.490046372</v>
      </c>
      <c r="AG118" s="155">
        <v>43267.878269918932</v>
      </c>
      <c r="AH118" s="155">
        <v>548132.65001181513</v>
      </c>
      <c r="AI118" s="155">
        <v>441804.37580256094</v>
      </c>
      <c r="AJ118" s="155">
        <v>50939.774571595015</v>
      </c>
      <c r="AK118" s="155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7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34"/>
        <v>33242871.877015855</v>
      </c>
      <c r="H119" s="24">
        <f>H113*H118</f>
        <v>34310087.817389712</v>
      </c>
      <c r="I119" s="24">
        <f t="shared" ref="I119:K119" si="44">I113*I118</f>
        <v>35149081.116790168</v>
      </c>
      <c r="J119" s="24">
        <f t="shared" si="44"/>
        <v>35934820.719700038</v>
      </c>
      <c r="K119" s="24">
        <f t="shared" si="44"/>
        <v>14965414.434549388</v>
      </c>
      <c r="L119" s="24">
        <f t="shared" ref="L119:M119" si="45">L113*L118</f>
        <v>14278501.912003571</v>
      </c>
      <c r="M119" s="24">
        <f t="shared" si="45"/>
        <v>13623118.674242606</v>
      </c>
      <c r="N119" s="207"/>
      <c r="O119" s="108">
        <v>117</v>
      </c>
      <c r="P119" s="108">
        <v>0</v>
      </c>
      <c r="Q119" s="155">
        <v>448659063.63490301</v>
      </c>
      <c r="R119" s="155">
        <v>13643491.251645843</v>
      </c>
      <c r="S119" s="155">
        <v>588362.86968570203</v>
      </c>
      <c r="T119" s="155">
        <v>13013655.22187382</v>
      </c>
      <c r="U119" s="155">
        <v>11058211.299534218</v>
      </c>
      <c r="V119" s="155">
        <v>24594384.693439074</v>
      </c>
      <c r="W119" s="155">
        <v>15124609.719236819</v>
      </c>
      <c r="X119" s="191">
        <v>2521654.796429154</v>
      </c>
      <c r="Y119" s="155">
        <v>230566.50420847008</v>
      </c>
      <c r="Z119" s="155">
        <v>4507376.2564677596</v>
      </c>
      <c r="AA119" s="155">
        <v>510710.83894306264</v>
      </c>
      <c r="AB119" s="155">
        <v>2383382.0240728282</v>
      </c>
      <c r="AC119" s="155">
        <v>25642529.540613864</v>
      </c>
      <c r="AD119" s="155">
        <v>19719965.400588792</v>
      </c>
      <c r="AE119" s="155">
        <v>38208168.762226202</v>
      </c>
      <c r="AF119" s="155">
        <v>6845695.1282893298</v>
      </c>
      <c r="AG119" s="155">
        <v>773749.63574680313</v>
      </c>
      <c r="AH119" s="155">
        <v>9802131.6331203245</v>
      </c>
      <c r="AI119" s="155">
        <v>7900687.2654126966</v>
      </c>
      <c r="AJ119" s="155">
        <v>910944.41409663693</v>
      </c>
      <c r="AK119" s="155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7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5"/>
      <c r="R120" s="155"/>
      <c r="S120" s="155"/>
      <c r="T120" s="155"/>
      <c r="U120" s="155"/>
      <c r="V120" s="155"/>
      <c r="W120" s="155"/>
      <c r="X120" s="191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7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47080286.117015854</v>
      </c>
      <c r="H121" s="24">
        <f>H107+H119</f>
        <v>48188974.237389714</v>
      </c>
      <c r="I121" s="24">
        <f t="shared" ref="I121:K121" si="46">I107+I119</f>
        <v>49710875.966487676</v>
      </c>
      <c r="J121" s="24">
        <f t="shared" si="46"/>
        <v>51264570.955965541</v>
      </c>
      <c r="K121" s="24">
        <f t="shared" si="46"/>
        <v>14965414.434549388</v>
      </c>
      <c r="L121" s="24">
        <f t="shared" ref="L121:M121" si="47">L107+L119</f>
        <v>14278501.912003571</v>
      </c>
      <c r="M121" s="24">
        <f t="shared" si="47"/>
        <v>13623118.674242606</v>
      </c>
      <c r="N121" s="207"/>
      <c r="O121" s="108">
        <v>119</v>
      </c>
      <c r="P121" s="108">
        <v>0</v>
      </c>
      <c r="Q121" s="155">
        <v>675489361.22490299</v>
      </c>
      <c r="R121" s="155">
        <v>25574111.68164584</v>
      </c>
      <c r="S121" s="155">
        <v>1675460.1896857019</v>
      </c>
      <c r="T121" s="155">
        <v>26767728.831873819</v>
      </c>
      <c r="U121" s="155">
        <v>21022776.179534219</v>
      </c>
      <c r="V121" s="155">
        <v>42620319.773439072</v>
      </c>
      <c r="W121" s="155">
        <v>25353417.629236817</v>
      </c>
      <c r="X121" s="191">
        <v>4986175.2064291537</v>
      </c>
      <c r="Y121" s="155">
        <v>975438.20420847007</v>
      </c>
      <c r="Z121" s="155">
        <v>9323478.4364677593</v>
      </c>
      <c r="AA121" s="155">
        <v>1199837.1789430627</v>
      </c>
      <c r="AB121" s="155">
        <v>4988845.2740728278</v>
      </c>
      <c r="AC121" s="155">
        <v>43320500.93061386</v>
      </c>
      <c r="AD121" s="155">
        <v>33295990.110588793</v>
      </c>
      <c r="AE121" s="155">
        <v>63763754.832226202</v>
      </c>
      <c r="AF121" s="155">
        <v>13053904.028289329</v>
      </c>
      <c r="AG121" s="155">
        <v>2256378.7822468029</v>
      </c>
      <c r="AH121" s="155">
        <v>17347521.053120323</v>
      </c>
      <c r="AI121" s="155">
        <v>14068956.005412698</v>
      </c>
      <c r="AJ121" s="155">
        <v>2530123.444096637</v>
      </c>
      <c r="AK121" s="155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7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A122" s="3"/>
      <c r="B122" s="3"/>
      <c r="C122" s="3"/>
      <c r="D122" s="3"/>
      <c r="E122" s="3"/>
      <c r="O122" s="108">
        <v>120</v>
      </c>
      <c r="P122" s="108">
        <v>0</v>
      </c>
      <c r="Q122" s="155"/>
      <c r="R122" s="155"/>
      <c r="S122" s="155"/>
      <c r="T122" s="155"/>
      <c r="U122" s="155"/>
      <c r="V122" s="155"/>
      <c r="W122" s="155"/>
      <c r="X122" s="191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7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25">
      <c r="A123" s="241" t="s">
        <v>108</v>
      </c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7"/>
      <c r="N123" s="206"/>
      <c r="O123" s="108">
        <v>121</v>
      </c>
      <c r="P123" s="108">
        <v>0</v>
      </c>
      <c r="Q123" s="155"/>
      <c r="R123" s="155"/>
      <c r="S123" s="155"/>
      <c r="T123" s="155"/>
      <c r="U123" s="155"/>
      <c r="V123" s="155"/>
      <c r="W123" s="155"/>
      <c r="X123" s="191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7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2">
      <c r="A124" s="3"/>
      <c r="B124" s="3"/>
      <c r="C124" s="3"/>
      <c r="D124" s="3"/>
      <c r="E124" s="3"/>
      <c r="O124" s="108">
        <v>122</v>
      </c>
      <c r="P124" s="108">
        <v>0</v>
      </c>
      <c r="Q124" s="155"/>
      <c r="R124" s="155"/>
      <c r="S124" s="155"/>
      <c r="T124" s="155"/>
      <c r="U124" s="155"/>
      <c r="V124" s="155"/>
      <c r="W124" s="155"/>
      <c r="X124" s="191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7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5"/>
      <c r="R125" s="155"/>
      <c r="S125" s="155"/>
      <c r="T125" s="155"/>
      <c r="U125" s="155"/>
      <c r="V125" s="155"/>
      <c r="W125" s="155"/>
      <c r="X125" s="191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7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5"/>
      <c r="R126" s="155"/>
      <c r="S126" s="155"/>
      <c r="T126" s="155"/>
      <c r="U126" s="155"/>
      <c r="V126" s="155"/>
      <c r="W126" s="155"/>
      <c r="X126" s="191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7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5"/>
      <c r="R127" s="155"/>
      <c r="S127" s="155"/>
      <c r="T127" s="155"/>
      <c r="U127" s="155"/>
      <c r="V127" s="155"/>
      <c r="W127" s="155"/>
      <c r="X127" s="191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7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57472</v>
      </c>
      <c r="H128" s="7">
        <f t="shared" ref="H128:K130" si="48">H96</f>
        <v>57856</v>
      </c>
      <c r="I128" s="7">
        <f t="shared" si="48"/>
        <v>58273</v>
      </c>
      <c r="J128" s="7">
        <f t="shared" si="48"/>
        <v>58693</v>
      </c>
      <c r="K128" s="7">
        <f t="shared" si="48"/>
        <v>0</v>
      </c>
      <c r="L128" s="7">
        <f t="shared" ref="L128:M128" si="49">L96</f>
        <v>0</v>
      </c>
      <c r="M128" s="7">
        <f t="shared" si="49"/>
        <v>0</v>
      </c>
      <c r="N128" s="206"/>
      <c r="O128" s="108">
        <v>126</v>
      </c>
      <c r="P128" s="108">
        <v>0</v>
      </c>
      <c r="Q128" s="155">
        <v>991103</v>
      </c>
      <c r="R128" s="155">
        <v>11721</v>
      </c>
      <c r="S128" s="155">
        <v>1636</v>
      </c>
      <c r="T128" s="155">
        <v>36691</v>
      </c>
      <c r="U128" s="155">
        <v>39905</v>
      </c>
      <c r="V128" s="155">
        <v>67940</v>
      </c>
      <c r="W128" s="155">
        <v>29246</v>
      </c>
      <c r="X128" s="191">
        <v>7022</v>
      </c>
      <c r="Y128" s="155">
        <v>1208</v>
      </c>
      <c r="Z128" s="155">
        <v>17408</v>
      </c>
      <c r="AA128" s="155">
        <v>2305</v>
      </c>
      <c r="AB128" s="155">
        <v>12412</v>
      </c>
      <c r="AC128" s="155">
        <v>65404</v>
      </c>
      <c r="AD128" s="155">
        <v>59187</v>
      </c>
      <c r="AE128" s="155">
        <v>88978</v>
      </c>
      <c r="AF128" s="155">
        <v>19242</v>
      </c>
      <c r="AG128" s="155">
        <v>3303</v>
      </c>
      <c r="AH128" s="155">
        <v>30016</v>
      </c>
      <c r="AI128" s="155">
        <v>21369</v>
      </c>
      <c r="AJ128" s="155">
        <v>3745</v>
      </c>
      <c r="AK128" s="155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7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413689291+197978623+706516406+98366842+8585533+36001231</f>
        <v>1461137926</v>
      </c>
      <c r="H129" s="38">
        <f>406423263+198022375+683561942+96183866+8606064+38976498</f>
        <v>1431774008</v>
      </c>
      <c r="I129" s="38">
        <f>402802358+198535182+682793910+98212403+9216027+41857714</f>
        <v>1433417594</v>
      </c>
      <c r="J129" s="38">
        <f>398063895+197062409+691376687+96428283+9216027+41857714</f>
        <v>1434005015</v>
      </c>
      <c r="K129" s="38"/>
      <c r="L129" s="38"/>
      <c r="M129" s="38"/>
      <c r="N129" s="208"/>
      <c r="O129" s="108">
        <v>127</v>
      </c>
      <c r="P129" s="108">
        <v>0</v>
      </c>
      <c r="Q129" s="155">
        <v>25280291057</v>
      </c>
      <c r="R129" s="155">
        <v>223988678.07520866</v>
      </c>
      <c r="S129" s="155">
        <v>29726073.119999997</v>
      </c>
      <c r="T129" s="155">
        <v>985257711</v>
      </c>
      <c r="U129" s="155">
        <v>973189790.19000006</v>
      </c>
      <c r="V129" s="155">
        <v>1587097140</v>
      </c>
      <c r="W129" s="155">
        <v>473473781.3066833</v>
      </c>
      <c r="X129" s="191">
        <v>142194816.25999999</v>
      </c>
      <c r="Y129" s="155">
        <v>24228193</v>
      </c>
      <c r="Z129" s="155">
        <v>307635771.03999996</v>
      </c>
      <c r="AA129" s="155">
        <v>29043489</v>
      </c>
      <c r="AB129" s="155">
        <v>244678551</v>
      </c>
      <c r="AC129" s="155">
        <v>1693068324</v>
      </c>
      <c r="AD129" s="155">
        <v>1211909343</v>
      </c>
      <c r="AE129" s="155">
        <v>2429022729</v>
      </c>
      <c r="AF129" s="155">
        <v>506809214.88</v>
      </c>
      <c r="AG129" s="155">
        <v>56436105.189999998</v>
      </c>
      <c r="AH129" s="155">
        <v>514149798.70999998</v>
      </c>
      <c r="AI129" s="155">
        <v>609956991</v>
      </c>
      <c r="AJ129" s="155">
        <v>73312156.159999996</v>
      </c>
      <c r="AK129" s="155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7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290747</v>
      </c>
      <c r="H130" s="7">
        <f>H98</f>
        <v>271173</v>
      </c>
      <c r="I130" s="7">
        <f t="shared" si="48"/>
        <v>283728</v>
      </c>
      <c r="J130" s="7">
        <f t="shared" si="48"/>
        <v>286565.28000000003</v>
      </c>
      <c r="K130" s="7">
        <f t="shared" si="48"/>
        <v>0</v>
      </c>
      <c r="L130" s="7"/>
      <c r="M130" s="7">
        <f t="shared" ref="M130" si="50">M98</f>
        <v>0</v>
      </c>
      <c r="N130" s="206"/>
      <c r="O130" s="108">
        <v>128</v>
      </c>
      <c r="P130" s="108">
        <v>0</v>
      </c>
      <c r="Q130" s="155">
        <v>5106316</v>
      </c>
      <c r="R130" s="155">
        <v>44182</v>
      </c>
      <c r="S130" s="155">
        <v>6256</v>
      </c>
      <c r="T130" s="155">
        <v>161525</v>
      </c>
      <c r="U130" s="155">
        <v>186912</v>
      </c>
      <c r="V130" s="155">
        <v>351438</v>
      </c>
      <c r="W130" s="155">
        <v>98015</v>
      </c>
      <c r="X130" s="191">
        <v>26524</v>
      </c>
      <c r="Y130" s="155">
        <v>6354</v>
      </c>
      <c r="Z130" s="155">
        <v>55379</v>
      </c>
      <c r="AA130" s="155">
        <v>6858</v>
      </c>
      <c r="AB130" s="155">
        <v>65612</v>
      </c>
      <c r="AC130" s="155">
        <v>331153</v>
      </c>
      <c r="AD130" s="155">
        <v>231782</v>
      </c>
      <c r="AE130" s="155">
        <v>488900</v>
      </c>
      <c r="AF130" s="155">
        <v>82701</v>
      </c>
      <c r="AG130" s="155">
        <v>15504</v>
      </c>
      <c r="AH130" s="155">
        <v>126059</v>
      </c>
      <c r="AI130" s="155">
        <v>108689</v>
      </c>
      <c r="AJ130" s="155">
        <v>15430</v>
      </c>
      <c r="AK130" s="155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7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295130</v>
      </c>
      <c r="H131" s="7">
        <f t="shared" ref="H131:M131" si="51">MAX(G131,H130)</f>
        <v>295130</v>
      </c>
      <c r="I131" s="7">
        <f>MAX(H131,I130)</f>
        <v>295130</v>
      </c>
      <c r="J131" s="7">
        <f t="shared" si="51"/>
        <v>295130</v>
      </c>
      <c r="K131" s="7">
        <f t="shared" si="51"/>
        <v>295130</v>
      </c>
      <c r="L131" s="7">
        <f t="shared" si="51"/>
        <v>295130</v>
      </c>
      <c r="M131" s="7">
        <f t="shared" si="51"/>
        <v>295130</v>
      </c>
      <c r="N131" s="206"/>
      <c r="O131" s="108">
        <v>129</v>
      </c>
      <c r="P131" s="108">
        <v>0</v>
      </c>
      <c r="Q131" s="155">
        <v>5811998.2599999998</v>
      </c>
      <c r="R131" s="155">
        <v>47365</v>
      </c>
      <c r="S131" s="155">
        <v>8722</v>
      </c>
      <c r="T131" s="155">
        <v>219364</v>
      </c>
      <c r="U131" s="155">
        <v>197591</v>
      </c>
      <c r="V131" s="155">
        <v>379690</v>
      </c>
      <c r="W131" s="155">
        <v>116948</v>
      </c>
      <c r="X131" s="191">
        <v>39945</v>
      </c>
      <c r="Y131" s="155">
        <v>8879</v>
      </c>
      <c r="Z131" s="155">
        <v>70523</v>
      </c>
      <c r="AA131" s="155">
        <v>7251</v>
      </c>
      <c r="AB131" s="155">
        <v>65612</v>
      </c>
      <c r="AC131" s="155">
        <v>382435</v>
      </c>
      <c r="AD131" s="155">
        <v>314474</v>
      </c>
      <c r="AE131" s="155">
        <v>656700</v>
      </c>
      <c r="AF131" s="155">
        <v>108683</v>
      </c>
      <c r="AG131" s="155">
        <v>15590</v>
      </c>
      <c r="AH131" s="155">
        <v>143420</v>
      </c>
      <c r="AI131" s="155">
        <v>111673</v>
      </c>
      <c r="AJ131" s="155">
        <v>18859</v>
      </c>
      <c r="AK131" s="155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7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">
      <c r="A132" s="3"/>
      <c r="B132" s="9">
        <v>118</v>
      </c>
      <c r="C132" s="3"/>
      <c r="D132" s="3"/>
      <c r="E132" s="36"/>
      <c r="M132" s="89"/>
      <c r="O132" s="108">
        <v>130</v>
      </c>
      <c r="P132" s="108">
        <v>0</v>
      </c>
      <c r="Q132" s="155"/>
      <c r="R132" s="155"/>
      <c r="S132" s="155"/>
      <c r="T132" s="155"/>
      <c r="U132" s="155"/>
      <c r="V132" s="155"/>
      <c r="W132" s="155"/>
      <c r="X132" s="191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7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2"/>
      <c r="O133" s="108">
        <v>131</v>
      </c>
      <c r="P133" s="108">
        <v>0</v>
      </c>
      <c r="Q133" s="155"/>
      <c r="R133" s="155"/>
      <c r="S133" s="155"/>
      <c r="T133" s="155"/>
      <c r="U133" s="155"/>
      <c r="V133" s="155"/>
      <c r="W133" s="155"/>
      <c r="X133" s="191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7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25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6">
        <f>G134*EXP('Model Inputs'!H21)</f>
        <v>122.2777587111741</v>
      </c>
      <c r="I134" s="177">
        <f>H134*EXP('Model Inputs'!I21)</f>
        <v>124.25088990291734</v>
      </c>
      <c r="J134" s="177">
        <f>I134*EXP('Model Inputs'!J21)</f>
        <v>126.25586046382195</v>
      </c>
      <c r="K134" s="177">
        <f>J134*EXP('Model Inputs'!K21)</f>
        <v>126.25586046382195</v>
      </c>
      <c r="L134" s="177">
        <f>K134*EXP('Model Inputs'!L21)</f>
        <v>126.25586046382195</v>
      </c>
      <c r="M134" s="178">
        <f>L134*EXP('Model Inputs'!M21)</f>
        <v>126.25586046382195</v>
      </c>
      <c r="N134" s="209">
        <v>9</v>
      </c>
      <c r="O134" s="108">
        <v>132</v>
      </c>
      <c r="P134" s="108">
        <v>0</v>
      </c>
      <c r="Q134" s="155">
        <v>120.33596127247579</v>
      </c>
      <c r="R134" s="155">
        <v>120.33596127247579</v>
      </c>
      <c r="S134" s="155">
        <v>120.33596127247579</v>
      </c>
      <c r="T134" s="155">
        <v>120.33596127247579</v>
      </c>
      <c r="U134" s="155">
        <v>120.33596127247579</v>
      </c>
      <c r="V134" s="155">
        <v>120.33596127247579</v>
      </c>
      <c r="W134" s="155">
        <v>120.33596127247579</v>
      </c>
      <c r="X134" s="191">
        <v>120.33596127247579</v>
      </c>
      <c r="Y134" s="155">
        <v>120.33596127247579</v>
      </c>
      <c r="Z134" s="155">
        <v>120.33596127247579</v>
      </c>
      <c r="AA134" s="155">
        <v>120.33596127247579</v>
      </c>
      <c r="AB134" s="155">
        <v>120.33596127247579</v>
      </c>
      <c r="AC134" s="155">
        <v>120.33596127247579</v>
      </c>
      <c r="AD134" s="155">
        <v>120.33596127247579</v>
      </c>
      <c r="AE134" s="155">
        <v>120.33596127247579</v>
      </c>
      <c r="AF134" s="155">
        <v>120.33596127247579</v>
      </c>
      <c r="AG134" s="155">
        <v>120.33596127247579</v>
      </c>
      <c r="AH134" s="155">
        <v>120.33596127247579</v>
      </c>
      <c r="AI134" s="155">
        <v>120.33596127247579</v>
      </c>
      <c r="AJ134" s="155">
        <v>120.33596127247579</v>
      </c>
      <c r="AK134" s="155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7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25">
      <c r="A135" s="3"/>
      <c r="B135" s="9">
        <v>121</v>
      </c>
      <c r="C135" s="3"/>
      <c r="D135" s="3"/>
      <c r="E135" s="36" t="s">
        <v>266</v>
      </c>
      <c r="F135" s="101">
        <f>CG135</f>
        <v>992.55</v>
      </c>
      <c r="G135" s="40">
        <f>HLOOKUP($E$3,$P$3:$CE$269,O135,FALSE)</f>
        <v>1021.5337961750064</v>
      </c>
      <c r="H135" s="179">
        <f>G135*EXP('Model Inputs'!H20)</f>
        <v>1051.3639582164319</v>
      </c>
      <c r="I135" s="180">
        <f>H135*EXP('Model Inputs'!I20)</f>
        <v>1082.0652011469574</v>
      </c>
      <c r="J135" s="180">
        <f>I135*EXP('Model Inputs'!J20)</f>
        <v>1113.6629617011972</v>
      </c>
      <c r="K135" s="180">
        <f>J135*EXP('Model Inputs'!K20)</f>
        <v>1113.6629617011972</v>
      </c>
      <c r="L135" s="180">
        <f>K135*EXP('Model Inputs'!L20)</f>
        <v>1113.6629617011972</v>
      </c>
      <c r="M135" s="181">
        <f>L135*EXP('Model Inputs'!M20)</f>
        <v>1113.6629617011972</v>
      </c>
      <c r="N135" s="209">
        <v>8</v>
      </c>
      <c r="O135" s="108">
        <v>133</v>
      </c>
      <c r="P135" s="108">
        <v>0</v>
      </c>
      <c r="Q135" s="155">
        <v>1021.5337961750064</v>
      </c>
      <c r="R135" s="155">
        <v>1021.5337961750064</v>
      </c>
      <c r="S135" s="155">
        <v>1021.5337961750064</v>
      </c>
      <c r="T135" s="155">
        <v>1021.5337961750064</v>
      </c>
      <c r="U135" s="155">
        <v>1021.5337961750064</v>
      </c>
      <c r="V135" s="155">
        <v>1021.5337961750064</v>
      </c>
      <c r="W135" s="155">
        <v>1021.5337961750064</v>
      </c>
      <c r="X135" s="191">
        <v>1021.5337961750064</v>
      </c>
      <c r="Y135" s="155">
        <v>1021.5337961750064</v>
      </c>
      <c r="Z135" s="155">
        <v>1021.5337961750064</v>
      </c>
      <c r="AA135" s="155">
        <v>1021.5337961750064</v>
      </c>
      <c r="AB135" s="155">
        <v>1021.5337961750064</v>
      </c>
      <c r="AC135" s="155">
        <v>1021.5337961750064</v>
      </c>
      <c r="AD135" s="155">
        <v>1021.5337961750064</v>
      </c>
      <c r="AE135" s="155">
        <v>1021.5337961750064</v>
      </c>
      <c r="AF135" s="155">
        <v>1021.5337961750064</v>
      </c>
      <c r="AG135" s="155">
        <v>1021.5337961750064</v>
      </c>
      <c r="AH135" s="155">
        <v>1021.5337961750064</v>
      </c>
      <c r="AI135" s="155">
        <v>1021.5337961750064</v>
      </c>
      <c r="AJ135" s="155">
        <v>1021.5337961750064</v>
      </c>
      <c r="AK135" s="155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7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52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53">LN(I134/H134)*0.3+LN(I135/H135)*0.7</f>
        <v>2.4950474438225345E-2</v>
      </c>
      <c r="J136" s="39">
        <f t="shared" si="53"/>
        <v>2.4950474438225345E-2</v>
      </c>
      <c r="K136" s="39">
        <f t="shared" si="53"/>
        <v>0</v>
      </c>
      <c r="L136" s="39">
        <f t="shared" si="53"/>
        <v>0</v>
      </c>
      <c r="M136" s="39">
        <f t="shared" si="53"/>
        <v>0</v>
      </c>
      <c r="N136" s="210"/>
      <c r="O136" s="108">
        <v>134</v>
      </c>
      <c r="P136" s="108">
        <v>0</v>
      </c>
      <c r="Q136" s="155">
        <v>2.4950474438225345E-2</v>
      </c>
      <c r="R136" s="155">
        <v>2.4950474438225345E-2</v>
      </c>
      <c r="S136" s="155">
        <v>2.4950474438225345E-2</v>
      </c>
      <c r="T136" s="155">
        <v>2.4950474438225345E-2</v>
      </c>
      <c r="U136" s="155">
        <v>2.4950474438225345E-2</v>
      </c>
      <c r="V136" s="155">
        <v>2.4950474438225345E-2</v>
      </c>
      <c r="W136" s="155">
        <v>2.4950474438225345E-2</v>
      </c>
      <c r="X136" s="191">
        <v>2.4950474438225345E-2</v>
      </c>
      <c r="Y136" s="155">
        <v>2.4950474438225345E-2</v>
      </c>
      <c r="Z136" s="155">
        <v>2.4950474438225345E-2</v>
      </c>
      <c r="AA136" s="155">
        <v>2.4950474438225345E-2</v>
      </c>
      <c r="AB136" s="155">
        <v>2.4950474438225345E-2</v>
      </c>
      <c r="AC136" s="155">
        <v>2.4950474438225345E-2</v>
      </c>
      <c r="AD136" s="155">
        <v>2.4950474438225345E-2</v>
      </c>
      <c r="AE136" s="155">
        <v>2.4950474438225345E-2</v>
      </c>
      <c r="AF136" s="155">
        <v>2.4950474438225345E-2</v>
      </c>
      <c r="AG136" s="155">
        <v>2.4950474438225345E-2</v>
      </c>
      <c r="AH136" s="155">
        <v>2.4950474438225345E-2</v>
      </c>
      <c r="AI136" s="155">
        <v>2.4950474438225345E-2</v>
      </c>
      <c r="AJ136" s="155">
        <v>2.4950474438225345E-2</v>
      </c>
      <c r="AK136" s="155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7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138.65637338359778</v>
      </c>
      <c r="H137" s="28">
        <v>142.14962945969702</v>
      </c>
      <c r="I137" s="28">
        <f t="shared" ref="I137:M137" si="54">H137*EXP(I136)</f>
        <v>145.74094638099078</v>
      </c>
      <c r="J137" s="28">
        <f t="shared" si="54"/>
        <v>149.4229955629186</v>
      </c>
      <c r="K137" s="28">
        <f t="shared" si="54"/>
        <v>149.4229955629186</v>
      </c>
      <c r="L137" s="28">
        <f t="shared" si="54"/>
        <v>149.4229955629186</v>
      </c>
      <c r="M137" s="28">
        <f t="shared" si="54"/>
        <v>149.4229955629186</v>
      </c>
      <c r="N137" s="205"/>
      <c r="O137" s="108">
        <v>135</v>
      </c>
      <c r="P137" s="108">
        <v>0</v>
      </c>
      <c r="Q137" s="155">
        <v>148.5804757052604</v>
      </c>
      <c r="R137" s="155">
        <v>117.84029975935469</v>
      </c>
      <c r="S137" s="155">
        <v>125.10444237512081</v>
      </c>
      <c r="T137" s="155">
        <v>135.44966503841732</v>
      </c>
      <c r="U137" s="155">
        <v>127.04410268398206</v>
      </c>
      <c r="V137" s="155">
        <v>142.73452696871527</v>
      </c>
      <c r="W137" s="155">
        <v>125.29129337669033</v>
      </c>
      <c r="X137" s="191">
        <v>133.43126398830893</v>
      </c>
      <c r="Y137" s="155">
        <v>126.74605058078812</v>
      </c>
      <c r="Z137" s="155">
        <v>120.87063966651004</v>
      </c>
      <c r="AA137" s="155">
        <v>147.4388084309023</v>
      </c>
      <c r="AB137" s="155">
        <v>152.07823232390956</v>
      </c>
      <c r="AC137" s="155">
        <v>138.65637338359778</v>
      </c>
      <c r="AD137" s="155">
        <v>129.41053048716657</v>
      </c>
      <c r="AE137" s="155">
        <v>152.07823232390956</v>
      </c>
      <c r="AF137" s="155">
        <v>130.19187476431208</v>
      </c>
      <c r="AG137" s="155">
        <v>126.74605058078812</v>
      </c>
      <c r="AH137" s="155">
        <v>152.07823232390956</v>
      </c>
      <c r="AI137" s="155">
        <v>127.18550362672097</v>
      </c>
      <c r="AJ137" s="155">
        <v>125.10444237512081</v>
      </c>
      <c r="AK137" s="155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7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5"/>
      <c r="O138" s="108">
        <v>136</v>
      </c>
      <c r="P138" s="108">
        <v>0</v>
      </c>
      <c r="Q138" s="155"/>
      <c r="R138" s="155"/>
      <c r="S138" s="155"/>
      <c r="T138" s="155"/>
      <c r="U138" s="155"/>
      <c r="V138" s="155"/>
      <c r="W138" s="155"/>
      <c r="X138" s="191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7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">
      <c r="A139" s="3"/>
      <c r="B139" s="9">
        <v>125</v>
      </c>
      <c r="C139" s="3"/>
      <c r="D139" s="3"/>
      <c r="E139" s="36" t="s">
        <v>116</v>
      </c>
      <c r="F139" s="31">
        <f t="shared" si="52"/>
        <v>17.035579942885761</v>
      </c>
      <c r="G139" s="28">
        <f>HLOOKUP($E$3,$P$3:$CE$269,O139,FALSE)</f>
        <v>17.882772779379295</v>
      </c>
      <c r="H139" s="28">
        <f t="shared" ref="H139:K139" si="55">H113</f>
        <v>18.1933190168869</v>
      </c>
      <c r="I139" s="28">
        <f t="shared" si="55"/>
        <v>18.464558792515888</v>
      </c>
      <c r="J139" s="28">
        <f t="shared" si="55"/>
        <v>18.762511562335185</v>
      </c>
      <c r="K139" s="28">
        <f t="shared" si="55"/>
        <v>8.1897443055055756</v>
      </c>
      <c r="L139" s="28">
        <f t="shared" ref="L139:M139" si="56">L113</f>
        <v>8.1897443055055756</v>
      </c>
      <c r="M139" s="28">
        <f t="shared" si="56"/>
        <v>8.1897443055055756</v>
      </c>
      <c r="N139" s="205"/>
      <c r="O139" s="108">
        <v>137</v>
      </c>
      <c r="P139" s="108">
        <v>0</v>
      </c>
      <c r="Q139" s="155">
        <v>17.882772779379295</v>
      </c>
      <c r="R139" s="155">
        <v>17.882772779379295</v>
      </c>
      <c r="S139" s="155">
        <v>17.882772779379295</v>
      </c>
      <c r="T139" s="155">
        <v>17.882772779379295</v>
      </c>
      <c r="U139" s="155">
        <v>17.882772779379295</v>
      </c>
      <c r="V139" s="155">
        <v>17.882772779379295</v>
      </c>
      <c r="W139" s="155">
        <v>17.882772779379295</v>
      </c>
      <c r="X139" s="191">
        <v>17.882772779379295</v>
      </c>
      <c r="Y139" s="155">
        <v>17.882772779379295</v>
      </c>
      <c r="Z139" s="155">
        <v>17.882772779379295</v>
      </c>
      <c r="AA139" s="155">
        <v>17.882772779379295</v>
      </c>
      <c r="AB139" s="155">
        <v>17.882772779379295</v>
      </c>
      <c r="AC139" s="155">
        <v>17.882772779379295</v>
      </c>
      <c r="AD139" s="155">
        <v>17.882772779379295</v>
      </c>
      <c r="AE139" s="155">
        <v>17.882772779379295</v>
      </c>
      <c r="AF139" s="155">
        <v>17.882772779379295</v>
      </c>
      <c r="AG139" s="155">
        <v>17.882772779379295</v>
      </c>
      <c r="AH139" s="155">
        <v>17.882772779379295</v>
      </c>
      <c r="AI139" s="155">
        <v>17.882772779379295</v>
      </c>
      <c r="AJ139" s="155">
        <v>17.882772779379295</v>
      </c>
      <c r="AK139" s="155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7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">
      <c r="A140" s="3"/>
      <c r="B140" s="9">
        <v>126</v>
      </c>
      <c r="C140" s="3"/>
      <c r="D140" s="3"/>
      <c r="O140" s="108">
        <v>138</v>
      </c>
      <c r="P140" s="108">
        <v>0</v>
      </c>
      <c r="Q140" s="155"/>
      <c r="R140" s="155"/>
      <c r="S140" s="155"/>
      <c r="T140" s="155"/>
      <c r="U140" s="155"/>
      <c r="V140" s="155"/>
      <c r="W140" s="155"/>
      <c r="X140" s="191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7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5"/>
      <c r="R141" s="155"/>
      <c r="S141" s="155"/>
      <c r="T141" s="155"/>
      <c r="U141" s="155"/>
      <c r="V141" s="155"/>
      <c r="W141" s="155"/>
      <c r="X141" s="191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7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1652</v>
      </c>
      <c r="H142" s="41">
        <f>'Model Inputs'!H16</f>
        <v>1648</v>
      </c>
      <c r="I142" s="41">
        <f>'Model Inputs'!I16</f>
        <v>1656.8</v>
      </c>
      <c r="J142" s="41">
        <f>'Model Inputs'!J16</f>
        <v>1665.6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5"/>
      <c r="O142" s="108">
        <v>140</v>
      </c>
      <c r="P142" s="108">
        <v>0</v>
      </c>
      <c r="Q142" s="155">
        <v>19897</v>
      </c>
      <c r="R142" s="155">
        <v>1849</v>
      </c>
      <c r="S142" s="155">
        <v>92</v>
      </c>
      <c r="T142" s="155">
        <v>783</v>
      </c>
      <c r="U142" s="155">
        <v>510</v>
      </c>
      <c r="V142" s="155">
        <v>1535</v>
      </c>
      <c r="W142" s="155">
        <v>1038</v>
      </c>
      <c r="X142" s="191">
        <v>156</v>
      </c>
      <c r="Y142" s="155">
        <v>30</v>
      </c>
      <c r="Z142" s="155">
        <v>362</v>
      </c>
      <c r="AA142" s="155">
        <v>36</v>
      </c>
      <c r="AB142" s="155">
        <v>162</v>
      </c>
      <c r="AC142" s="155">
        <v>1510</v>
      </c>
      <c r="AD142" s="155">
        <v>1243</v>
      </c>
      <c r="AE142" s="155">
        <v>4668</v>
      </c>
      <c r="AF142" s="155">
        <v>352</v>
      </c>
      <c r="AG142" s="155">
        <v>141</v>
      </c>
      <c r="AH142" s="155">
        <v>457</v>
      </c>
      <c r="AI142" s="155">
        <v>261</v>
      </c>
      <c r="AJ142" s="155">
        <v>81</v>
      </c>
      <c r="AK142" s="155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7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1502.3352941176472</v>
      </c>
      <c r="H143" s="40">
        <f>(G143*14+H142)/15</f>
        <v>1512.0462745098041</v>
      </c>
      <c r="I143" s="40">
        <f>(H143*15+I142)/16</f>
        <v>1521.0933823529413</v>
      </c>
      <c r="J143" s="40">
        <f>(I143*16+J142)/17</f>
        <v>1529.5937716262977</v>
      </c>
      <c r="K143" s="40">
        <f>(J143*17+K142)/18</f>
        <v>1444.6163398692811</v>
      </c>
      <c r="L143" s="40">
        <f>(K143*17+L142)/18</f>
        <v>1364.3598765432098</v>
      </c>
      <c r="M143" s="40">
        <f>(L143*17+M142)/18</f>
        <v>1288.5621056241425</v>
      </c>
      <c r="N143" s="197"/>
      <c r="O143" s="108">
        <v>141</v>
      </c>
      <c r="P143" s="108">
        <v>0</v>
      </c>
      <c r="Q143" s="155">
        <v>18885.28823529412</v>
      </c>
      <c r="R143" s="155">
        <v>1841.4588235294118</v>
      </c>
      <c r="S143" s="155">
        <v>92.088235294117652</v>
      </c>
      <c r="T143" s="155">
        <v>772.4</v>
      </c>
      <c r="U143" s="155">
        <v>501.76470588235293</v>
      </c>
      <c r="V143" s="155">
        <v>1531.8764705882354</v>
      </c>
      <c r="W143" s="155">
        <v>986.45882352941169</v>
      </c>
      <c r="X143" s="191">
        <v>147.58823529411765</v>
      </c>
      <c r="Y143" s="155">
        <v>27.441176470588236</v>
      </c>
      <c r="Z143" s="155">
        <v>334.35294117647061</v>
      </c>
      <c r="AA143" s="155">
        <v>29.652941176470591</v>
      </c>
      <c r="AB143" s="155">
        <v>148.44117647058826</v>
      </c>
      <c r="AC143" s="155">
        <v>1528.3941176470589</v>
      </c>
      <c r="AD143" s="155">
        <v>1176.6235294117646</v>
      </c>
      <c r="AE143" s="155">
        <v>1578.1764705882354</v>
      </c>
      <c r="AF143" s="155">
        <v>326.08235294117645</v>
      </c>
      <c r="AG143" s="155">
        <v>137.32941176470584</v>
      </c>
      <c r="AH143" s="155">
        <v>456.25294117647059</v>
      </c>
      <c r="AI143" s="155">
        <v>269.74705882352936</v>
      </c>
      <c r="AJ143" s="155">
        <v>80.45882352941176</v>
      </c>
      <c r="AK143" s="155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7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50478</v>
      </c>
      <c r="H144" s="7"/>
      <c r="I144" s="7"/>
      <c r="J144" s="7"/>
      <c r="K144" s="7"/>
      <c r="L144" s="7"/>
      <c r="M144" s="7"/>
      <c r="N144" s="206"/>
      <c r="O144" s="108">
        <v>142</v>
      </c>
      <c r="P144" s="108">
        <v>0</v>
      </c>
      <c r="Q144" s="155">
        <v>864662</v>
      </c>
      <c r="R144" s="155">
        <v>11587</v>
      </c>
      <c r="S144" s="155">
        <v>1676</v>
      </c>
      <c r="T144" s="155">
        <v>36218</v>
      </c>
      <c r="U144" s="155">
        <v>37473</v>
      </c>
      <c r="V144" s="155">
        <v>62737</v>
      </c>
      <c r="W144" s="155">
        <v>28388</v>
      </c>
      <c r="X144" s="191">
        <v>6309</v>
      </c>
      <c r="Y144" s="155">
        <v>1335</v>
      </c>
      <c r="Z144" s="155">
        <v>14387</v>
      </c>
      <c r="AA144" s="155">
        <v>1936</v>
      </c>
      <c r="AB144" s="155">
        <v>10853</v>
      </c>
      <c r="AC144" s="155">
        <v>49297</v>
      </c>
      <c r="AD144" s="155">
        <v>55253</v>
      </c>
      <c r="AE144" s="155">
        <v>84644</v>
      </c>
      <c r="AF144" s="155">
        <v>16319</v>
      </c>
      <c r="AG144" s="155">
        <v>3349</v>
      </c>
      <c r="AH144" s="155">
        <v>27929</v>
      </c>
      <c r="AI144" s="155">
        <v>19394</v>
      </c>
      <c r="AJ144" s="155">
        <v>4001</v>
      </c>
      <c r="AK144" s="155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7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0.13855541027774476</v>
      </c>
      <c r="H145" s="29">
        <f>'Model Inputs'!H17</f>
        <v>0.125</v>
      </c>
      <c r="I145" s="29">
        <f>'Model Inputs'!I17</f>
        <v>0.125</v>
      </c>
      <c r="J145" s="29">
        <f>'Model Inputs'!J17</f>
        <v>0.125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198"/>
      <c r="O145" s="108">
        <v>143</v>
      </c>
      <c r="P145" s="108">
        <v>0</v>
      </c>
      <c r="Q145" s="155">
        <v>0.14623170672470862</v>
      </c>
      <c r="R145" s="155">
        <v>1.1564684560283076E-2</v>
      </c>
      <c r="S145" s="155">
        <v>-2.386634844868735E-2</v>
      </c>
      <c r="T145" s="155">
        <v>1.3059804517090949E-2</v>
      </c>
      <c r="U145" s="155">
        <v>6.4900061377525145E-2</v>
      </c>
      <c r="V145" s="155">
        <v>8.2933516106922553E-2</v>
      </c>
      <c r="W145" s="155">
        <v>3.0224038326053262E-2</v>
      </c>
      <c r="X145" s="191">
        <v>0.11301315580916152</v>
      </c>
      <c r="Y145" s="155">
        <v>-9.5131086142322102E-2</v>
      </c>
      <c r="Z145" s="155">
        <v>0.20998123305762145</v>
      </c>
      <c r="AA145" s="155">
        <v>0.190599173553719</v>
      </c>
      <c r="AB145" s="155">
        <v>0.143646917902884</v>
      </c>
      <c r="AC145" s="155">
        <v>0.32673387832931011</v>
      </c>
      <c r="AD145" s="155">
        <v>7.1199753859518947E-2</v>
      </c>
      <c r="AE145" s="155">
        <v>5.1202684183167146E-2</v>
      </c>
      <c r="AF145" s="155">
        <v>0.17911636742447454</v>
      </c>
      <c r="AG145" s="155">
        <v>-1.3735443415945058E-2</v>
      </c>
      <c r="AH145" s="155">
        <v>7.4725196032797453E-2</v>
      </c>
      <c r="AI145" s="155">
        <v>0.10183561926368979</v>
      </c>
      <c r="AJ145" s="155">
        <v>-6.3984003999000255E-2</v>
      </c>
      <c r="AK145" s="155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7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">
      <c r="A146" s="3"/>
      <c r="B146" s="9">
        <v>132</v>
      </c>
      <c r="C146" s="3"/>
      <c r="D146" s="3"/>
      <c r="M146" s="89"/>
      <c r="O146" s="108">
        <v>144</v>
      </c>
      <c r="P146" s="108">
        <v>0</v>
      </c>
      <c r="Q146" s="155"/>
      <c r="R146" s="155"/>
      <c r="S146" s="155"/>
      <c r="T146" s="155"/>
      <c r="U146" s="155"/>
      <c r="V146" s="155"/>
      <c r="W146" s="155"/>
      <c r="X146" s="191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7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">
      <c r="A147" s="3"/>
      <c r="B147" s="9">
        <v>133</v>
      </c>
      <c r="C147" s="42" t="s">
        <v>122</v>
      </c>
      <c r="D147" s="3"/>
      <c r="E147" s="36"/>
      <c r="M147" s="89"/>
      <c r="O147" s="108">
        <v>145</v>
      </c>
      <c r="P147" s="108">
        <v>0</v>
      </c>
      <c r="Q147" s="155"/>
      <c r="R147" s="155"/>
      <c r="S147" s="155"/>
      <c r="T147" s="155"/>
      <c r="U147" s="155"/>
      <c r="V147" s="155"/>
      <c r="W147" s="155"/>
      <c r="X147" s="191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7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">
      <c r="A148" s="3"/>
      <c r="B148" s="9">
        <v>134</v>
      </c>
      <c r="C148" s="3"/>
      <c r="D148" s="3"/>
      <c r="E148" s="36"/>
      <c r="M148" s="89"/>
      <c r="O148" s="108">
        <v>146</v>
      </c>
      <c r="P148" s="108">
        <v>0</v>
      </c>
      <c r="Q148" s="155"/>
      <c r="R148" s="155"/>
      <c r="S148" s="155"/>
      <c r="T148" s="155"/>
      <c r="U148" s="155"/>
      <c r="V148" s="155"/>
      <c r="W148" s="155"/>
      <c r="X148" s="191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7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8">
        <v>147</v>
      </c>
      <c r="P149" s="108">
        <v>0</v>
      </c>
      <c r="Q149" s="155"/>
      <c r="R149" s="155"/>
      <c r="S149" s="155"/>
      <c r="T149" s="155"/>
      <c r="U149" s="155"/>
      <c r="V149" s="155"/>
      <c r="W149" s="155"/>
      <c r="X149" s="191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7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">
      <c r="A150" s="3"/>
      <c r="B150" s="9">
        <v>136</v>
      </c>
      <c r="C150" s="27"/>
      <c r="D150" s="27"/>
      <c r="E150" s="36"/>
      <c r="M150" s="89"/>
      <c r="O150" s="108">
        <v>148</v>
      </c>
      <c r="P150" s="108">
        <v>0</v>
      </c>
      <c r="Q150" s="155"/>
      <c r="R150" s="155"/>
      <c r="S150" s="155"/>
      <c r="T150" s="155"/>
      <c r="U150" s="155"/>
      <c r="V150" s="155"/>
      <c r="W150" s="155"/>
      <c r="X150" s="191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7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57">HLOOKUP($E$3,$P$3:$CE$269,O151,FALSE)</f>
        <v>1</v>
      </c>
      <c r="H151" s="31">
        <f t="shared" ref="H151:M151" si="58">G151</f>
        <v>1</v>
      </c>
      <c r="I151" s="31">
        <f t="shared" si="58"/>
        <v>1</v>
      </c>
      <c r="J151" s="31">
        <f t="shared" si="58"/>
        <v>1</v>
      </c>
      <c r="K151" s="31">
        <f t="shared" si="58"/>
        <v>1</v>
      </c>
      <c r="L151" s="31">
        <f t="shared" si="58"/>
        <v>1</v>
      </c>
      <c r="M151" s="31">
        <f t="shared" si="58"/>
        <v>1</v>
      </c>
      <c r="N151" s="211"/>
      <c r="O151" s="108">
        <v>149</v>
      </c>
      <c r="P151" s="108">
        <v>0</v>
      </c>
      <c r="Q151" s="155">
        <v>1</v>
      </c>
      <c r="R151" s="155">
        <v>1</v>
      </c>
      <c r="S151" s="155">
        <v>1</v>
      </c>
      <c r="T151" s="155">
        <v>1</v>
      </c>
      <c r="U151" s="155">
        <v>1</v>
      </c>
      <c r="V151" s="155">
        <v>1</v>
      </c>
      <c r="W151" s="155">
        <v>1</v>
      </c>
      <c r="X151" s="191">
        <v>1</v>
      </c>
      <c r="Y151" s="155">
        <v>1</v>
      </c>
      <c r="Z151" s="155">
        <v>1</v>
      </c>
      <c r="AA151" s="155">
        <v>1</v>
      </c>
      <c r="AB151" s="155">
        <v>1</v>
      </c>
      <c r="AC151" s="155">
        <v>1</v>
      </c>
      <c r="AD151" s="155">
        <v>1</v>
      </c>
      <c r="AE151" s="155">
        <v>1</v>
      </c>
      <c r="AF151" s="155">
        <v>1</v>
      </c>
      <c r="AG151" s="155">
        <v>1</v>
      </c>
      <c r="AH151" s="155">
        <v>1</v>
      </c>
      <c r="AI151" s="155">
        <v>1</v>
      </c>
      <c r="AJ151" s="155">
        <v>1</v>
      </c>
      <c r="AK151" s="155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7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57"/>
        <v>0.12897187733236012</v>
      </c>
      <c r="H152" s="43">
        <f t="shared" ref="H152:K152" si="59">H113/H137</f>
        <v>0.12798710124000121</v>
      </c>
      <c r="I152" s="43">
        <f t="shared" si="59"/>
        <v>0.12669437965804406</v>
      </c>
      <c r="J152" s="43">
        <f t="shared" si="59"/>
        <v>0.1255664263164549</v>
      </c>
      <c r="K152" s="43">
        <f t="shared" si="59"/>
        <v>5.4809129442576744E-2</v>
      </c>
      <c r="L152" s="43">
        <f t="shared" ref="L152:M152" si="60">L113/L137</f>
        <v>5.4809129442576744E-2</v>
      </c>
      <c r="M152" s="43">
        <f t="shared" si="60"/>
        <v>5.4809129442576744E-2</v>
      </c>
      <c r="N152" s="212"/>
      <c r="O152" s="108">
        <v>150</v>
      </c>
      <c r="P152" s="108">
        <v>0</v>
      </c>
      <c r="Q152" s="155">
        <v>0.12035748771496339</v>
      </c>
      <c r="R152" s="155">
        <v>0.15175430490161901</v>
      </c>
      <c r="S152" s="155">
        <v>0.14294274799417989</v>
      </c>
      <c r="T152" s="155">
        <v>0.13202522704140493</v>
      </c>
      <c r="U152" s="155">
        <v>0.14076035330708811</v>
      </c>
      <c r="V152" s="155">
        <v>0.12528694464583795</v>
      </c>
      <c r="W152" s="155">
        <v>0.14272957280131546</v>
      </c>
      <c r="X152" s="191">
        <v>0.13402235911477359</v>
      </c>
      <c r="Y152" s="155">
        <v>0.14109136101231642</v>
      </c>
      <c r="Z152" s="155">
        <v>0.14794968264186428</v>
      </c>
      <c r="AA152" s="155">
        <v>0.12128945539979806</v>
      </c>
      <c r="AB152" s="155">
        <v>0.11758929931070607</v>
      </c>
      <c r="AC152" s="155">
        <v>0.12897187733236012</v>
      </c>
      <c r="AD152" s="155">
        <v>0.13818638028960634</v>
      </c>
      <c r="AE152" s="155">
        <v>0.11758929931070607</v>
      </c>
      <c r="AF152" s="155">
        <v>0.13735705712628146</v>
      </c>
      <c r="AG152" s="155">
        <v>0.14109136101231642</v>
      </c>
      <c r="AH152" s="155">
        <v>0.11758929931070607</v>
      </c>
      <c r="AI152" s="155">
        <v>0.14060386026275265</v>
      </c>
      <c r="AJ152" s="155">
        <v>0.14294274799417989</v>
      </c>
      <c r="AK152" s="155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7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57"/>
        <v>57472</v>
      </c>
      <c r="H153" s="24">
        <f t="shared" ref="H153:K153" si="61">H96</f>
        <v>57856</v>
      </c>
      <c r="I153" s="24">
        <f t="shared" si="61"/>
        <v>58273</v>
      </c>
      <c r="J153" s="24">
        <f t="shared" si="61"/>
        <v>58693</v>
      </c>
      <c r="K153" s="24">
        <f t="shared" si="61"/>
        <v>0</v>
      </c>
      <c r="L153" s="24">
        <f t="shared" ref="L153:M153" si="62">L96</f>
        <v>0</v>
      </c>
      <c r="M153" s="24">
        <f t="shared" si="62"/>
        <v>0</v>
      </c>
      <c r="N153" s="207"/>
      <c r="O153" s="108">
        <v>151</v>
      </c>
      <c r="P153" s="108">
        <v>0</v>
      </c>
      <c r="Q153" s="155">
        <v>991103</v>
      </c>
      <c r="R153" s="155">
        <v>11721</v>
      </c>
      <c r="S153" s="155">
        <v>1636</v>
      </c>
      <c r="T153" s="155">
        <v>36691</v>
      </c>
      <c r="U153" s="155">
        <v>39905</v>
      </c>
      <c r="V153" s="155">
        <v>67940</v>
      </c>
      <c r="W153" s="155">
        <v>29246</v>
      </c>
      <c r="X153" s="191">
        <v>7022</v>
      </c>
      <c r="Y153" s="155">
        <v>1208</v>
      </c>
      <c r="Z153" s="155">
        <v>17408</v>
      </c>
      <c r="AA153" s="155">
        <v>2305</v>
      </c>
      <c r="AB153" s="155">
        <v>12412</v>
      </c>
      <c r="AC153" s="155">
        <v>65404</v>
      </c>
      <c r="AD153" s="155">
        <v>59187</v>
      </c>
      <c r="AE153" s="155">
        <v>88978</v>
      </c>
      <c r="AF153" s="155">
        <v>19242</v>
      </c>
      <c r="AG153" s="155">
        <v>3303</v>
      </c>
      <c r="AH153" s="155">
        <v>30016</v>
      </c>
      <c r="AI153" s="155">
        <v>21369</v>
      </c>
      <c r="AJ153" s="155">
        <v>3745</v>
      </c>
      <c r="AK153" s="155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7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57"/>
        <v>295130</v>
      </c>
      <c r="H154" s="24">
        <f t="shared" ref="H154:K154" si="63">H131</f>
        <v>295130</v>
      </c>
      <c r="I154" s="24">
        <f t="shared" si="63"/>
        <v>295130</v>
      </c>
      <c r="J154" s="24">
        <f t="shared" si="63"/>
        <v>295130</v>
      </c>
      <c r="K154" s="24">
        <f t="shared" si="63"/>
        <v>295130</v>
      </c>
      <c r="L154" s="24">
        <f t="shared" ref="L154:M154" si="64">L131</f>
        <v>295130</v>
      </c>
      <c r="M154" s="24">
        <f t="shared" si="64"/>
        <v>295130</v>
      </c>
      <c r="N154" s="207"/>
      <c r="O154" s="108">
        <v>152</v>
      </c>
      <c r="P154" s="108">
        <v>0</v>
      </c>
      <c r="Q154" s="155">
        <v>5811998.2599999998</v>
      </c>
      <c r="R154" s="155">
        <v>47365</v>
      </c>
      <c r="S154" s="155">
        <v>8722</v>
      </c>
      <c r="T154" s="155">
        <v>219364</v>
      </c>
      <c r="U154" s="155">
        <v>197591</v>
      </c>
      <c r="V154" s="155">
        <v>379690</v>
      </c>
      <c r="W154" s="155">
        <v>116948</v>
      </c>
      <c r="X154" s="191">
        <v>39945</v>
      </c>
      <c r="Y154" s="155">
        <v>8879</v>
      </c>
      <c r="Z154" s="155">
        <v>70523</v>
      </c>
      <c r="AA154" s="155">
        <v>7251</v>
      </c>
      <c r="AB154" s="155">
        <v>65612</v>
      </c>
      <c r="AC154" s="155">
        <v>382435</v>
      </c>
      <c r="AD154" s="155">
        <v>314474</v>
      </c>
      <c r="AE154" s="155">
        <v>656700</v>
      </c>
      <c r="AF154" s="155">
        <v>108683</v>
      </c>
      <c r="AG154" s="155">
        <v>15590</v>
      </c>
      <c r="AH154" s="155">
        <v>143420</v>
      </c>
      <c r="AI154" s="155">
        <v>111673</v>
      </c>
      <c r="AJ154" s="155">
        <v>18859</v>
      </c>
      <c r="AK154" s="155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7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57"/>
        <v>1452552393</v>
      </c>
      <c r="H155" s="38">
        <f t="shared" ref="H155:K155" si="65">H97</f>
        <v>1431774008</v>
      </c>
      <c r="I155" s="38">
        <f t="shared" si="65"/>
        <v>1433417594</v>
      </c>
      <c r="J155" s="38">
        <f t="shared" si="65"/>
        <v>1434005015</v>
      </c>
      <c r="K155" s="38">
        <f t="shared" si="65"/>
        <v>0</v>
      </c>
      <c r="L155" s="38">
        <f t="shared" ref="L155:M155" si="66">L97</f>
        <v>0</v>
      </c>
      <c r="M155" s="38">
        <f t="shared" si="66"/>
        <v>0</v>
      </c>
      <c r="N155" s="208"/>
      <c r="O155" s="108">
        <v>153</v>
      </c>
      <c r="P155" s="108">
        <v>0</v>
      </c>
      <c r="Q155" s="155">
        <v>25280291057</v>
      </c>
      <c r="R155" s="155">
        <v>223988678.07520866</v>
      </c>
      <c r="S155" s="155">
        <v>29726073.119999997</v>
      </c>
      <c r="T155" s="155">
        <v>985257711</v>
      </c>
      <c r="U155" s="155">
        <v>973189790.19000006</v>
      </c>
      <c r="V155" s="155">
        <v>1587097140</v>
      </c>
      <c r="W155" s="155">
        <v>473473781.3066833</v>
      </c>
      <c r="X155" s="191">
        <v>142194816.25999999</v>
      </c>
      <c r="Y155" s="155">
        <v>24228193</v>
      </c>
      <c r="Z155" s="155">
        <v>307635771.03999996</v>
      </c>
      <c r="AA155" s="155">
        <v>29043489</v>
      </c>
      <c r="AB155" s="155">
        <v>244678551</v>
      </c>
      <c r="AC155" s="155">
        <v>1693068324</v>
      </c>
      <c r="AD155" s="155">
        <v>1211909343</v>
      </c>
      <c r="AE155" s="155">
        <v>2429022729</v>
      </c>
      <c r="AF155" s="155">
        <v>506809214.88</v>
      </c>
      <c r="AG155" s="155">
        <v>56436105.189999998</v>
      </c>
      <c r="AH155" s="155">
        <v>514149798.70999998</v>
      </c>
      <c r="AI155" s="155">
        <v>609956991</v>
      </c>
      <c r="AJ155" s="155">
        <v>73312156.159999996</v>
      </c>
      <c r="AK155" s="155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7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57"/>
        <v>1502.3352941176472</v>
      </c>
      <c r="H156" s="44">
        <f t="shared" ref="H156:K156" si="67">H143</f>
        <v>1512.0462745098041</v>
      </c>
      <c r="I156" s="44">
        <f t="shared" si="67"/>
        <v>1521.0933823529413</v>
      </c>
      <c r="J156" s="44">
        <f t="shared" si="67"/>
        <v>1529.5937716262977</v>
      </c>
      <c r="K156" s="44">
        <f t="shared" si="67"/>
        <v>1444.6163398692811</v>
      </c>
      <c r="L156" s="44">
        <f t="shared" ref="L156:M156" si="68">L143</f>
        <v>1364.3598765432098</v>
      </c>
      <c r="M156" s="44">
        <f t="shared" si="68"/>
        <v>1288.5621056241425</v>
      </c>
      <c r="N156" s="213"/>
      <c r="O156" s="108">
        <v>154</v>
      </c>
      <c r="P156" s="108">
        <v>0</v>
      </c>
      <c r="Q156" s="155">
        <v>18885.28823529412</v>
      </c>
      <c r="R156" s="155">
        <v>1841.4588235294118</v>
      </c>
      <c r="S156" s="155">
        <v>92.088235294117652</v>
      </c>
      <c r="T156" s="155">
        <v>772.4</v>
      </c>
      <c r="U156" s="155">
        <v>501.76470588235293</v>
      </c>
      <c r="V156" s="155">
        <v>1531.8764705882354</v>
      </c>
      <c r="W156" s="155">
        <v>986.45882352941169</v>
      </c>
      <c r="X156" s="191">
        <v>147.58823529411765</v>
      </c>
      <c r="Y156" s="155">
        <v>27.441176470588236</v>
      </c>
      <c r="Z156" s="155">
        <v>334.35294117647061</v>
      </c>
      <c r="AA156" s="155">
        <v>29.652941176470591</v>
      </c>
      <c r="AB156" s="155">
        <v>148.44117647058826</v>
      </c>
      <c r="AC156" s="155">
        <v>1528.3941176470589</v>
      </c>
      <c r="AD156" s="155">
        <v>1176.6235294117646</v>
      </c>
      <c r="AE156" s="155">
        <v>1578.1764705882354</v>
      </c>
      <c r="AF156" s="155">
        <v>326.08235294117645</v>
      </c>
      <c r="AG156" s="155">
        <v>137.32941176470584</v>
      </c>
      <c r="AH156" s="155">
        <v>456.25294117647059</v>
      </c>
      <c r="AI156" s="155">
        <v>269.74705882352936</v>
      </c>
      <c r="AJ156" s="155">
        <v>80.45882352941176</v>
      </c>
      <c r="AK156" s="155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7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57"/>
        <v>0.13855541027774476</v>
      </c>
      <c r="H157" s="30">
        <f t="shared" ref="H157:L157" si="69">H145</f>
        <v>0.125</v>
      </c>
      <c r="I157" s="30">
        <f t="shared" si="69"/>
        <v>0.125</v>
      </c>
      <c r="J157" s="30">
        <f t="shared" si="69"/>
        <v>0.125</v>
      </c>
      <c r="K157" s="30">
        <f t="shared" si="69"/>
        <v>0</v>
      </c>
      <c r="L157" s="30">
        <f t="shared" si="69"/>
        <v>0</v>
      </c>
      <c r="M157" s="30">
        <f t="shared" ref="M157" si="70">M145</f>
        <v>0</v>
      </c>
      <c r="N157" s="214"/>
      <c r="O157" s="108">
        <v>155</v>
      </c>
      <c r="P157" s="108">
        <v>0</v>
      </c>
      <c r="Q157" s="155">
        <v>0.14623170672470862</v>
      </c>
      <c r="R157" s="155">
        <v>1.1564684560283076E-2</v>
      </c>
      <c r="S157" s="155">
        <v>-2.386634844868735E-2</v>
      </c>
      <c r="T157" s="155">
        <v>1.3059804517090949E-2</v>
      </c>
      <c r="U157" s="155">
        <v>6.4900061377525145E-2</v>
      </c>
      <c r="V157" s="155">
        <v>8.2933516106922553E-2</v>
      </c>
      <c r="W157" s="155">
        <v>3.0224038326053262E-2</v>
      </c>
      <c r="X157" s="191">
        <v>0.11301315580916152</v>
      </c>
      <c r="Y157" s="155">
        <v>-9.5131086142322102E-2</v>
      </c>
      <c r="Z157" s="155">
        <v>0.20998123305762145</v>
      </c>
      <c r="AA157" s="155">
        <v>0.190599173553719</v>
      </c>
      <c r="AB157" s="155">
        <v>0.143646917902884</v>
      </c>
      <c r="AC157" s="155">
        <v>0.32673387832931011</v>
      </c>
      <c r="AD157" s="155">
        <v>7.1199753859518947E-2</v>
      </c>
      <c r="AE157" s="155">
        <v>5.1202684183167146E-2</v>
      </c>
      <c r="AF157" s="155">
        <v>0.17911636742447454</v>
      </c>
      <c r="AG157" s="155">
        <v>-1.3735443415945058E-2</v>
      </c>
      <c r="AH157" s="155">
        <v>7.4725196032797453E-2</v>
      </c>
      <c r="AI157" s="155">
        <v>0.10183561926368979</v>
      </c>
      <c r="AJ157" s="155">
        <v>-6.3984003999000255E-2</v>
      </c>
      <c r="AK157" s="155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7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57"/>
        <v>12</v>
      </c>
      <c r="H158" s="3">
        <f t="shared" ref="H158:M158" si="71">H5-2006</f>
        <v>13</v>
      </c>
      <c r="I158" s="3">
        <f t="shared" si="71"/>
        <v>14</v>
      </c>
      <c r="J158" s="3">
        <f t="shared" si="71"/>
        <v>15</v>
      </c>
      <c r="K158" s="3">
        <f t="shared" si="71"/>
        <v>16</v>
      </c>
      <c r="L158" s="3">
        <f t="shared" si="71"/>
        <v>17</v>
      </c>
      <c r="M158" s="3">
        <f t="shared" si="71"/>
        <v>18</v>
      </c>
      <c r="O158" s="108">
        <v>156</v>
      </c>
      <c r="P158" s="108">
        <v>0</v>
      </c>
      <c r="Q158" s="155">
        <v>12</v>
      </c>
      <c r="R158" s="155">
        <v>12</v>
      </c>
      <c r="S158" s="155">
        <v>12</v>
      </c>
      <c r="T158" s="155">
        <v>12</v>
      </c>
      <c r="U158" s="155">
        <v>12</v>
      </c>
      <c r="V158" s="155">
        <v>12</v>
      </c>
      <c r="W158" s="155">
        <v>12</v>
      </c>
      <c r="X158" s="191">
        <v>12</v>
      </c>
      <c r="Y158" s="155">
        <v>12</v>
      </c>
      <c r="Z158" s="155">
        <v>12</v>
      </c>
      <c r="AA158" s="155">
        <v>12</v>
      </c>
      <c r="AB158" s="155">
        <v>12</v>
      </c>
      <c r="AC158" s="155">
        <v>12</v>
      </c>
      <c r="AD158" s="155">
        <v>12</v>
      </c>
      <c r="AE158" s="155">
        <v>12</v>
      </c>
      <c r="AF158" s="155">
        <v>12</v>
      </c>
      <c r="AG158" s="155">
        <v>12</v>
      </c>
      <c r="AH158" s="155">
        <v>12</v>
      </c>
      <c r="AI158" s="155">
        <v>12</v>
      </c>
      <c r="AJ158" s="155">
        <v>12</v>
      </c>
      <c r="AK158" s="155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7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">
      <c r="A159" s="3"/>
      <c r="B159" s="9">
        <v>145</v>
      </c>
      <c r="D159" s="3"/>
      <c r="E159" s="36"/>
      <c r="M159" s="89"/>
      <c r="O159" s="108">
        <v>157</v>
      </c>
      <c r="P159" s="108">
        <v>0</v>
      </c>
      <c r="Q159" s="155"/>
      <c r="R159" s="155"/>
      <c r="S159" s="155"/>
      <c r="T159" s="155"/>
      <c r="U159" s="155"/>
      <c r="V159" s="155"/>
      <c r="W159" s="155"/>
      <c r="X159" s="191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7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">
      <c r="A160" s="3"/>
      <c r="B160" s="9">
        <v>146</v>
      </c>
      <c r="D160" s="27"/>
      <c r="E160" s="36"/>
      <c r="M160" s="89"/>
      <c r="O160" s="108">
        <v>158</v>
      </c>
      <c r="P160" s="108">
        <v>0</v>
      </c>
      <c r="Q160" s="155"/>
      <c r="R160" s="155"/>
      <c r="S160" s="155"/>
      <c r="T160" s="155"/>
      <c r="U160" s="155"/>
      <c r="V160" s="155"/>
      <c r="W160" s="155"/>
      <c r="X160" s="191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7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8">
        <v>159</v>
      </c>
      <c r="P161" s="108">
        <v>0</v>
      </c>
      <c r="Q161" s="155"/>
      <c r="R161" s="155"/>
      <c r="S161" s="155"/>
      <c r="T161" s="155"/>
      <c r="U161" s="155"/>
      <c r="V161" s="155"/>
      <c r="W161" s="155"/>
      <c r="X161" s="191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7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72">HLOOKUP($E$3,$P$3:$CE$269,O162,FALSE)</f>
        <v>12.81359917943923</v>
      </c>
      <c r="H162" s="48">
        <f t="shared" ref="H162:M179" si="73">G162</f>
        <v>12.81359917943923</v>
      </c>
      <c r="I162" s="48">
        <f t="shared" si="73"/>
        <v>12.81359917943923</v>
      </c>
      <c r="J162" s="48">
        <f t="shared" si="73"/>
        <v>12.81359917943923</v>
      </c>
      <c r="K162" s="48">
        <f t="shared" si="73"/>
        <v>12.81359917943923</v>
      </c>
      <c r="L162" s="48">
        <f t="shared" si="73"/>
        <v>12.81359917943923</v>
      </c>
      <c r="M162" s="48">
        <f t="shared" si="73"/>
        <v>12.81359917943923</v>
      </c>
      <c r="N162" s="215"/>
      <c r="O162" s="108">
        <v>160</v>
      </c>
      <c r="P162" s="108">
        <v>0</v>
      </c>
      <c r="Q162" s="155">
        <v>12.817219145404639</v>
      </c>
      <c r="R162" s="155">
        <v>12.809732041092667</v>
      </c>
      <c r="S162" s="155">
        <v>12.815667288766317</v>
      </c>
      <c r="T162" s="155">
        <v>12.814549938113361</v>
      </c>
      <c r="U162" s="155">
        <v>12.81527413480965</v>
      </c>
      <c r="V162" s="155">
        <v>12.816805233884939</v>
      </c>
      <c r="W162" s="155">
        <v>12.81288440307239</v>
      </c>
      <c r="X162" s="191">
        <v>12.81331330994302</v>
      </c>
      <c r="Y162" s="155">
        <v>12.814736982825067</v>
      </c>
      <c r="Z162" s="155">
        <v>12.812338831390388</v>
      </c>
      <c r="AA162" s="155">
        <v>12.810934558134596</v>
      </c>
      <c r="AB162" s="155">
        <v>12.811148202512005</v>
      </c>
      <c r="AC162" s="155">
        <v>12.816571389915095</v>
      </c>
      <c r="AD162" s="155">
        <v>12.821412544937436</v>
      </c>
      <c r="AE162" s="155">
        <v>12.819095782593745</v>
      </c>
      <c r="AF162" s="155">
        <v>12.812096781482326</v>
      </c>
      <c r="AG162" s="155">
        <v>12.820454839694522</v>
      </c>
      <c r="AH162" s="155">
        <v>12.815345078290729</v>
      </c>
      <c r="AI162" s="155">
        <v>12.815711468242117</v>
      </c>
      <c r="AJ162" s="155">
        <v>12.812372588661209</v>
      </c>
      <c r="AK162" s="155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7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72"/>
        <v>0.62557067618694218</v>
      </c>
      <c r="H163" s="48">
        <f t="shared" si="73"/>
        <v>0.62557067618694218</v>
      </c>
      <c r="I163" s="48">
        <f t="shared" si="73"/>
        <v>0.62557067618694218</v>
      </c>
      <c r="J163" s="48">
        <f t="shared" si="73"/>
        <v>0.62557067618694218</v>
      </c>
      <c r="K163" s="48">
        <f t="shared" si="73"/>
        <v>0.62557067618694218</v>
      </c>
      <c r="L163" s="48">
        <f t="shared" si="73"/>
        <v>0.62557067618694218</v>
      </c>
      <c r="M163" s="48">
        <f t="shared" si="73"/>
        <v>0.62557067618694218</v>
      </c>
      <c r="N163" s="215"/>
      <c r="O163" s="108">
        <v>161</v>
      </c>
      <c r="P163" s="108">
        <v>0</v>
      </c>
      <c r="Q163" s="155">
        <v>0.62712970811613922</v>
      </c>
      <c r="R163" s="155">
        <v>0.62643242664315246</v>
      </c>
      <c r="S163" s="155">
        <v>0.62653853064688692</v>
      </c>
      <c r="T163" s="155">
        <v>0.6328047547232748</v>
      </c>
      <c r="U163" s="155">
        <v>0.6266420475927259</v>
      </c>
      <c r="V163" s="155">
        <v>0.62645281025512112</v>
      </c>
      <c r="W163" s="155">
        <v>0.62777892695115167</v>
      </c>
      <c r="X163" s="191">
        <v>0.62722193683244376</v>
      </c>
      <c r="Y163" s="155">
        <v>0.62665786861574369</v>
      </c>
      <c r="Z163" s="155">
        <v>0.6293676487913592</v>
      </c>
      <c r="AA163" s="155">
        <v>0.63118119214696933</v>
      </c>
      <c r="AB163" s="155">
        <v>0.62748695413763633</v>
      </c>
      <c r="AC163" s="155">
        <v>0.62625791288463828</v>
      </c>
      <c r="AD163" s="155">
        <v>0.62821524004612495</v>
      </c>
      <c r="AE163" s="155">
        <v>0.62671730298834671</v>
      </c>
      <c r="AF163" s="155">
        <v>0.62771962840268625</v>
      </c>
      <c r="AG163" s="155">
        <v>0.62649571916465363</v>
      </c>
      <c r="AH163" s="155">
        <v>0.62607624823750918</v>
      </c>
      <c r="AI163" s="155">
        <v>0.62209521131343637</v>
      </c>
      <c r="AJ163" s="155">
        <v>0.62704150513783619</v>
      </c>
      <c r="AK163" s="155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7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72"/>
        <v>0.44953008725980731</v>
      </c>
      <c r="H164" s="48">
        <f t="shared" si="73"/>
        <v>0.44953008725980731</v>
      </c>
      <c r="I164" s="48">
        <f t="shared" si="73"/>
        <v>0.44953008725980731</v>
      </c>
      <c r="J164" s="48">
        <f t="shared" si="73"/>
        <v>0.44953008725980731</v>
      </c>
      <c r="K164" s="48">
        <f t="shared" si="73"/>
        <v>0.44953008725980731</v>
      </c>
      <c r="L164" s="48">
        <f t="shared" si="73"/>
        <v>0.44953008725980731</v>
      </c>
      <c r="M164" s="48">
        <f t="shared" si="73"/>
        <v>0.44953008725980731</v>
      </c>
      <c r="N164" s="215"/>
      <c r="O164" s="108">
        <v>162</v>
      </c>
      <c r="P164" s="108">
        <v>0</v>
      </c>
      <c r="Q164" s="155">
        <v>0.42381762023795266</v>
      </c>
      <c r="R164" s="155">
        <v>0.45713993689039062</v>
      </c>
      <c r="S164" s="155">
        <v>0.4439023607460244</v>
      </c>
      <c r="T164" s="155">
        <v>0.44057142147939932</v>
      </c>
      <c r="U164" s="155">
        <v>0.44477792881448552</v>
      </c>
      <c r="V164" s="155">
        <v>0.43873386187248575</v>
      </c>
      <c r="W164" s="155">
        <v>0.44479564805494209</v>
      </c>
      <c r="X164" s="191">
        <v>0.44755158910340032</v>
      </c>
      <c r="Y164" s="155">
        <v>0.44524665751828291</v>
      </c>
      <c r="Z164" s="155">
        <v>0.44061715082506375</v>
      </c>
      <c r="AA164" s="155">
        <v>0.44745410998208301</v>
      </c>
      <c r="AB164" s="155">
        <v>0.44313835605104801</v>
      </c>
      <c r="AC164" s="155">
        <v>0.4358896076051535</v>
      </c>
      <c r="AD164" s="155">
        <v>0.42638488478866743</v>
      </c>
      <c r="AE164" s="155">
        <v>0.45244742162916041</v>
      </c>
      <c r="AF164" s="155">
        <v>0.45271762057555354</v>
      </c>
      <c r="AG164" s="155">
        <v>0.44521613602173082</v>
      </c>
      <c r="AH164" s="155">
        <v>0.44682826788847246</v>
      </c>
      <c r="AI164" s="155">
        <v>0.45201542149564689</v>
      </c>
      <c r="AJ164" s="155">
        <v>0.4464027375197227</v>
      </c>
      <c r="AK164" s="155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7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72"/>
        <v>0.15805738529391053</v>
      </c>
      <c r="H165" s="48">
        <f t="shared" si="73"/>
        <v>0.15805738529391053</v>
      </c>
      <c r="I165" s="48">
        <f t="shared" si="73"/>
        <v>0.15805738529391053</v>
      </c>
      <c r="J165" s="48">
        <f t="shared" si="73"/>
        <v>0.15805738529391053</v>
      </c>
      <c r="K165" s="48">
        <f t="shared" si="73"/>
        <v>0.15805738529391053</v>
      </c>
      <c r="L165" s="48">
        <f t="shared" si="73"/>
        <v>0.15805738529391053</v>
      </c>
      <c r="M165" s="48">
        <f t="shared" si="73"/>
        <v>0.15805738529391053</v>
      </c>
      <c r="N165" s="215"/>
      <c r="O165" s="108">
        <v>163</v>
      </c>
      <c r="P165" s="108">
        <v>0</v>
      </c>
      <c r="Q165" s="155">
        <v>0.19096276480396263</v>
      </c>
      <c r="R165" s="155">
        <v>0.15665784699970534</v>
      </c>
      <c r="S165" s="155">
        <v>0.1617444919555816</v>
      </c>
      <c r="T165" s="155">
        <v>0.16082604962565611</v>
      </c>
      <c r="U165" s="155">
        <v>0.15980624732477092</v>
      </c>
      <c r="V165" s="155">
        <v>0.16310337583390586</v>
      </c>
      <c r="W165" s="155">
        <v>0.16252049393951762</v>
      </c>
      <c r="X165" s="191">
        <v>0.15481466094418173</v>
      </c>
      <c r="Y165" s="155">
        <v>0.15517605381023231</v>
      </c>
      <c r="Z165" s="155">
        <v>0.16553001458055727</v>
      </c>
      <c r="AA165" s="155">
        <v>0.16256292839174574</v>
      </c>
      <c r="AB165" s="155">
        <v>0.16819202909035297</v>
      </c>
      <c r="AC165" s="155">
        <v>0.16831921619179602</v>
      </c>
      <c r="AD165" s="155">
        <v>0.16915297456674111</v>
      </c>
      <c r="AE165" s="155">
        <v>0.16696938333937167</v>
      </c>
      <c r="AF165" s="155">
        <v>0.15509730054549328</v>
      </c>
      <c r="AG165" s="155">
        <v>0.15784576240515069</v>
      </c>
      <c r="AH165" s="155">
        <v>0.16157425539342624</v>
      </c>
      <c r="AI165" s="155">
        <v>0.15455513331555285</v>
      </c>
      <c r="AJ165" s="155">
        <v>0.16160336889525384</v>
      </c>
      <c r="AK165" s="155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7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72"/>
        <v>0.10392772758871294</v>
      </c>
      <c r="H166" s="48">
        <f t="shared" si="73"/>
        <v>0.10392772758871294</v>
      </c>
      <c r="I166" s="48">
        <f t="shared" si="73"/>
        <v>0.10392772758871294</v>
      </c>
      <c r="J166" s="48">
        <f t="shared" si="73"/>
        <v>0.10392772758871294</v>
      </c>
      <c r="K166" s="48">
        <f t="shared" si="73"/>
        <v>0.10392772758871294</v>
      </c>
      <c r="L166" s="48">
        <f t="shared" si="73"/>
        <v>0.10392772758871294</v>
      </c>
      <c r="M166" s="48">
        <f t="shared" si="73"/>
        <v>0.10392772758871294</v>
      </c>
      <c r="N166" s="215"/>
      <c r="O166" s="108">
        <v>164</v>
      </c>
      <c r="P166" s="108">
        <v>0</v>
      </c>
      <c r="Q166" s="155">
        <v>9.4677511393098171E-2</v>
      </c>
      <c r="R166" s="155">
        <v>0.11095634019827018</v>
      </c>
      <c r="S166" s="155">
        <v>9.9479524361308885E-2</v>
      </c>
      <c r="T166" s="155">
        <v>0.11006314761137045</v>
      </c>
      <c r="U166" s="155">
        <v>0.10505984096412749</v>
      </c>
      <c r="V166" s="155">
        <v>0.10907159670629264</v>
      </c>
      <c r="W166" s="155">
        <v>0.10179342606131343</v>
      </c>
      <c r="X166" s="191">
        <v>0.10977007445625103</v>
      </c>
      <c r="Y166" s="155">
        <v>0.10876831095024361</v>
      </c>
      <c r="Z166" s="155">
        <v>0.10466523755598584</v>
      </c>
      <c r="AA166" s="155">
        <v>0.10661130436832145</v>
      </c>
      <c r="AB166" s="155">
        <v>0.1018364785179439</v>
      </c>
      <c r="AC166" s="155">
        <v>0.10745367871077752</v>
      </c>
      <c r="AD166" s="155">
        <v>0.11285150840872868</v>
      </c>
      <c r="AE166" s="155">
        <v>8.6397660773184212E-2</v>
      </c>
      <c r="AF166" s="155">
        <v>0.1057203064698805</v>
      </c>
      <c r="AG166" s="155">
        <v>0.10302773180002736</v>
      </c>
      <c r="AH166" s="155">
        <v>0.10431420693070237</v>
      </c>
      <c r="AI166" s="155">
        <v>9.2676138236125125E-2</v>
      </c>
      <c r="AJ166" s="155">
        <v>0.10612395466848289</v>
      </c>
      <c r="AK166" s="155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7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72"/>
        <v>0.1306730089827155</v>
      </c>
      <c r="H167" s="48">
        <f t="shared" si="73"/>
        <v>0.1306730089827155</v>
      </c>
      <c r="I167" s="48">
        <f t="shared" si="73"/>
        <v>0.1306730089827155</v>
      </c>
      <c r="J167" s="48">
        <f t="shared" si="73"/>
        <v>0.1306730089827155</v>
      </c>
      <c r="K167" s="48">
        <f t="shared" si="73"/>
        <v>0.1306730089827155</v>
      </c>
      <c r="L167" s="48">
        <f t="shared" si="73"/>
        <v>0.1306730089827155</v>
      </c>
      <c r="M167" s="48">
        <f t="shared" si="73"/>
        <v>0.1306730089827155</v>
      </c>
      <c r="N167" s="215"/>
      <c r="O167" s="108">
        <v>165</v>
      </c>
      <c r="P167" s="108">
        <v>0</v>
      </c>
      <c r="Q167" s="155">
        <v>0.12150468166324147</v>
      </c>
      <c r="R167" s="155">
        <v>0.12359159685608501</v>
      </c>
      <c r="S167" s="155">
        <v>0.12324787238901624</v>
      </c>
      <c r="T167" s="155">
        <v>0.13217376575351314</v>
      </c>
      <c r="U167" s="155">
        <v>0.12013030694372406</v>
      </c>
      <c r="V167" s="155">
        <v>0.12288769765677032</v>
      </c>
      <c r="W167" s="155">
        <v>0.12919440994006814</v>
      </c>
      <c r="X167" s="191">
        <v>0.12487470386764654</v>
      </c>
      <c r="Y167" s="155">
        <v>0.12097350377727345</v>
      </c>
      <c r="Z167" s="155">
        <v>0.12794174119086588</v>
      </c>
      <c r="AA167" s="155">
        <v>0.13706018401500897</v>
      </c>
      <c r="AB167" s="155">
        <v>0.12870964222518633</v>
      </c>
      <c r="AC167" s="155">
        <v>0.12189278087833144</v>
      </c>
      <c r="AD167" s="155">
        <v>0.13726772631351714</v>
      </c>
      <c r="AE167" s="155">
        <v>0.12198175940059586</v>
      </c>
      <c r="AF167" s="155">
        <v>0.12676771898688943</v>
      </c>
      <c r="AG167" s="155">
        <v>0.12173752796686821</v>
      </c>
      <c r="AH167" s="155">
        <v>0.12171966210426044</v>
      </c>
      <c r="AI167" s="155">
        <v>0.11428480170755995</v>
      </c>
      <c r="AJ167" s="155">
        <v>0.12321666434535516</v>
      </c>
      <c r="AK167" s="155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7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72"/>
        <v>-0.3760363967227357</v>
      </c>
      <c r="H168" s="48">
        <f t="shared" si="73"/>
        <v>-0.3760363967227357</v>
      </c>
      <c r="I168" s="48">
        <f t="shared" si="73"/>
        <v>-0.3760363967227357</v>
      </c>
      <c r="J168" s="48">
        <f t="shared" si="73"/>
        <v>-0.3760363967227357</v>
      </c>
      <c r="K168" s="48">
        <f t="shared" si="73"/>
        <v>-0.3760363967227357</v>
      </c>
      <c r="L168" s="48">
        <f t="shared" si="73"/>
        <v>-0.3760363967227357</v>
      </c>
      <c r="M168" s="48">
        <f t="shared" si="73"/>
        <v>-0.3760363967227357</v>
      </c>
      <c r="N168" s="215"/>
      <c r="O168" s="108">
        <v>166</v>
      </c>
      <c r="P168" s="108">
        <v>0</v>
      </c>
      <c r="Q168" s="155">
        <v>-0.37229165620323451</v>
      </c>
      <c r="R168" s="155">
        <v>-0.40029655329034286</v>
      </c>
      <c r="S168" s="155">
        <v>-0.35409746395880048</v>
      </c>
      <c r="T168" s="155">
        <v>-0.38079269995727272</v>
      </c>
      <c r="U168" s="155">
        <v>-0.36934413846152148</v>
      </c>
      <c r="V168" s="155">
        <v>-0.37238802143178218</v>
      </c>
      <c r="W168" s="155">
        <v>-0.3479372427761262</v>
      </c>
      <c r="X168" s="191">
        <v>-0.39556858220062985</v>
      </c>
      <c r="Y168" s="155">
        <v>-0.41443878646004056</v>
      </c>
      <c r="Z168" s="155">
        <v>-0.42901924253101764</v>
      </c>
      <c r="AA168" s="155">
        <v>-0.33467907529638907</v>
      </c>
      <c r="AB168" s="155">
        <v>-0.39218484854447522</v>
      </c>
      <c r="AC168" s="155">
        <v>-0.34925812609869589</v>
      </c>
      <c r="AD168" s="155">
        <v>-0.36636745662078835</v>
      </c>
      <c r="AE168" s="155">
        <v>-0.45925238847230287</v>
      </c>
      <c r="AF168" s="155">
        <v>-0.37266565684339747</v>
      </c>
      <c r="AG168" s="155">
        <v>-0.43179131955659478</v>
      </c>
      <c r="AH168" s="155">
        <v>-0.37734922005510918</v>
      </c>
      <c r="AI168" s="155">
        <v>-0.35842476957809133</v>
      </c>
      <c r="AJ168" s="155">
        <v>-0.35454392671765556</v>
      </c>
      <c r="AK168" s="155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7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72"/>
        <v>0.189825746196991</v>
      </c>
      <c r="H169" s="48">
        <f t="shared" si="73"/>
        <v>0.189825746196991</v>
      </c>
      <c r="I169" s="48">
        <f t="shared" si="73"/>
        <v>0.189825746196991</v>
      </c>
      <c r="J169" s="48">
        <f t="shared" si="73"/>
        <v>0.189825746196991</v>
      </c>
      <c r="K169" s="48">
        <f t="shared" si="73"/>
        <v>0.189825746196991</v>
      </c>
      <c r="L169" s="48">
        <f t="shared" si="73"/>
        <v>0.189825746196991</v>
      </c>
      <c r="M169" s="48">
        <f t="shared" si="73"/>
        <v>0.189825746196991</v>
      </c>
      <c r="N169" s="215"/>
      <c r="O169" s="108">
        <v>167</v>
      </c>
      <c r="P169" s="108">
        <v>0</v>
      </c>
      <c r="Q169" s="155">
        <v>0.25107352360474089</v>
      </c>
      <c r="R169" s="155">
        <v>0.22272730217267106</v>
      </c>
      <c r="S169" s="155">
        <v>0.21300959127088095</v>
      </c>
      <c r="T169" s="155">
        <v>0.17335542337902538</v>
      </c>
      <c r="U169" s="155">
        <v>0.19756385978967794</v>
      </c>
      <c r="V169" s="155">
        <v>0.18996236641101552</v>
      </c>
      <c r="W169" s="155">
        <v>0.20381579665316127</v>
      </c>
      <c r="X169" s="191">
        <v>0.25152891820417489</v>
      </c>
      <c r="Y169" s="155">
        <v>0.17811555362105094</v>
      </c>
      <c r="Z169" s="155">
        <v>0.16844599337173957</v>
      </c>
      <c r="AA169" s="155">
        <v>0.20463766697671296</v>
      </c>
      <c r="AB169" s="155">
        <v>0.16958826570242688</v>
      </c>
      <c r="AC169" s="155">
        <v>0.20491353114258057</v>
      </c>
      <c r="AD169" s="155">
        <v>0.18249730011161983</v>
      </c>
      <c r="AE169" s="155">
        <v>0.15794361855622402</v>
      </c>
      <c r="AF169" s="155">
        <v>0.11632977868088479</v>
      </c>
      <c r="AG169" s="155">
        <v>0.1251282609437471</v>
      </c>
      <c r="AH169" s="155">
        <v>0.18855649782772993</v>
      </c>
      <c r="AI169" s="155">
        <v>0.21778015067159809</v>
      </c>
      <c r="AJ169" s="155">
        <v>0.1956193740023032</v>
      </c>
      <c r="AK169" s="155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7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72"/>
        <v>0.16232933514104553</v>
      </c>
      <c r="H170" s="48">
        <f t="shared" si="73"/>
        <v>0.16232933514104553</v>
      </c>
      <c r="I170" s="48">
        <f t="shared" si="73"/>
        <v>0.16232933514104553</v>
      </c>
      <c r="J170" s="48">
        <f t="shared" si="73"/>
        <v>0.16232933514104553</v>
      </c>
      <c r="K170" s="48">
        <f t="shared" si="73"/>
        <v>0.16232933514104553</v>
      </c>
      <c r="L170" s="48">
        <f t="shared" si="73"/>
        <v>0.16232933514104553</v>
      </c>
      <c r="M170" s="48">
        <f t="shared" si="73"/>
        <v>0.16232933514104553</v>
      </c>
      <c r="N170" s="215"/>
      <c r="O170" s="108">
        <v>168</v>
      </c>
      <c r="P170" s="108">
        <v>0</v>
      </c>
      <c r="Q170" s="155">
        <v>0.14596830485981666</v>
      </c>
      <c r="R170" s="155">
        <v>0.17177849581388829</v>
      </c>
      <c r="S170" s="155">
        <v>0.15483886501318267</v>
      </c>
      <c r="T170" s="155">
        <v>0.17794974498286584</v>
      </c>
      <c r="U170" s="155">
        <v>0.16646675427234686</v>
      </c>
      <c r="V170" s="155">
        <v>0.17188676846649997</v>
      </c>
      <c r="W170" s="155">
        <v>0.16001913836834675</v>
      </c>
      <c r="X170" s="191">
        <v>0.17826995710647331</v>
      </c>
      <c r="Y170" s="155">
        <v>0.17432798980667397</v>
      </c>
      <c r="Z170" s="155">
        <v>0.16437855724120906</v>
      </c>
      <c r="AA170" s="155">
        <v>0.16941256687878514</v>
      </c>
      <c r="AB170" s="155">
        <v>0.15529711493754556</v>
      </c>
      <c r="AC170" s="155">
        <v>0.16731089891616763</v>
      </c>
      <c r="AD170" s="155">
        <v>0.18664684042524549</v>
      </c>
      <c r="AE170" s="155">
        <v>0.1547561951000799</v>
      </c>
      <c r="AF170" s="155">
        <v>0.14311942948519987</v>
      </c>
      <c r="AG170" s="155">
        <v>0.15578145602833682</v>
      </c>
      <c r="AH170" s="155">
        <v>0.16396621973346462</v>
      </c>
      <c r="AI170" s="155">
        <v>0.13416837582546362</v>
      </c>
      <c r="AJ170" s="155">
        <v>0.16890950559847798</v>
      </c>
      <c r="AK170" s="155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7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72"/>
        <v>5.2963073937608462E-2</v>
      </c>
      <c r="H171" s="48">
        <f t="shared" si="73"/>
        <v>5.2963073937608462E-2</v>
      </c>
      <c r="I171" s="48">
        <f t="shared" si="73"/>
        <v>5.2963073937608462E-2</v>
      </c>
      <c r="J171" s="48">
        <f t="shared" si="73"/>
        <v>5.2963073937608462E-2</v>
      </c>
      <c r="K171" s="48">
        <f t="shared" si="73"/>
        <v>5.2963073937608462E-2</v>
      </c>
      <c r="L171" s="48">
        <f t="shared" si="73"/>
        <v>5.2963073937608462E-2</v>
      </c>
      <c r="M171" s="48">
        <f t="shared" si="73"/>
        <v>5.2963073937608462E-2</v>
      </c>
      <c r="N171" s="215"/>
      <c r="O171" s="108">
        <v>169</v>
      </c>
      <c r="P171" s="108">
        <v>0</v>
      </c>
      <c r="Q171" s="155">
        <v>5.503990155228089E-2</v>
      </c>
      <c r="R171" s="155">
        <v>4.916034883349274E-2</v>
      </c>
      <c r="S171" s="155">
        <v>5.3284587002275452E-2</v>
      </c>
      <c r="T171" s="155">
        <v>4.6438770495822568E-2</v>
      </c>
      <c r="U171" s="155">
        <v>5.378123107436461E-2</v>
      </c>
      <c r="V171" s="155">
        <v>5.4123928392651788E-2</v>
      </c>
      <c r="W171" s="155">
        <v>5.3204514285881799E-2</v>
      </c>
      <c r="X171" s="191">
        <v>5.3512745703827136E-2</v>
      </c>
      <c r="Y171" s="155">
        <v>5.2580154946279323E-2</v>
      </c>
      <c r="Z171" s="155">
        <v>5.4667101446115196E-2</v>
      </c>
      <c r="AA171" s="155">
        <v>5.0296776035877011E-2</v>
      </c>
      <c r="AB171" s="155">
        <v>5.4182273542130122E-2</v>
      </c>
      <c r="AC171" s="155">
        <v>5.5403825613348445E-2</v>
      </c>
      <c r="AD171" s="155">
        <v>5.13127303109433E-2</v>
      </c>
      <c r="AE171" s="155">
        <v>5.288435121579127E-2</v>
      </c>
      <c r="AF171" s="155">
        <v>5.147941371628928E-2</v>
      </c>
      <c r="AG171" s="155">
        <v>5.3175575741781445E-2</v>
      </c>
      <c r="AH171" s="155">
        <v>5.4158651158093707E-2</v>
      </c>
      <c r="AI171" s="155">
        <v>5.8419685387726017E-2</v>
      </c>
      <c r="AJ171" s="155">
        <v>5.3813202937880944E-2</v>
      </c>
      <c r="AK171" s="155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7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72"/>
        <v>1.0508978475099684E-2</v>
      </c>
      <c r="H172" s="48">
        <f t="shared" si="73"/>
        <v>1.0508978475099684E-2</v>
      </c>
      <c r="I172" s="48">
        <f t="shared" si="73"/>
        <v>1.0508978475099684E-2</v>
      </c>
      <c r="J172" s="48">
        <f t="shared" si="73"/>
        <v>1.0508978475099684E-2</v>
      </c>
      <c r="K172" s="48">
        <f t="shared" si="73"/>
        <v>1.0508978475099684E-2</v>
      </c>
      <c r="L172" s="48">
        <f t="shared" si="73"/>
        <v>1.0508978475099684E-2</v>
      </c>
      <c r="M172" s="48">
        <f t="shared" si="73"/>
        <v>1.0508978475099684E-2</v>
      </c>
      <c r="N172" s="215"/>
      <c r="O172" s="108">
        <v>170</v>
      </c>
      <c r="P172" s="108">
        <v>0</v>
      </c>
      <c r="Q172" s="155">
        <v>8.1411608494639243E-3</v>
      </c>
      <c r="R172" s="155">
        <v>8.3780809469955475E-3</v>
      </c>
      <c r="S172" s="155">
        <v>9.7871670027535052E-3</v>
      </c>
      <c r="T172" s="155">
        <v>1.635269041024201E-2</v>
      </c>
      <c r="U172" s="155">
        <v>9.1957660950107156E-3</v>
      </c>
      <c r="V172" s="155">
        <v>9.421783718003951E-3</v>
      </c>
      <c r="W172" s="155">
        <v>1.0619573680694994E-2</v>
      </c>
      <c r="X172" s="191">
        <v>9.2589979425976576E-3</v>
      </c>
      <c r="Y172" s="155">
        <v>1.0484673502828501E-2</v>
      </c>
      <c r="Z172" s="155">
        <v>7.9388349901480249E-3</v>
      </c>
      <c r="AA172" s="155">
        <v>1.3605974269170984E-2</v>
      </c>
      <c r="AB172" s="155">
        <v>9.5944400375493899E-3</v>
      </c>
      <c r="AC172" s="155">
        <v>8.3371804494174473E-3</v>
      </c>
      <c r="AD172" s="155">
        <v>1.0491982213276518E-2</v>
      </c>
      <c r="AE172" s="155">
        <v>1.0884982180299985E-2</v>
      </c>
      <c r="AF172" s="155">
        <v>1.1006053941147842E-2</v>
      </c>
      <c r="AG172" s="155">
        <v>9.7635545924857903E-3</v>
      </c>
      <c r="AH172" s="155">
        <v>9.4711672338345654E-3</v>
      </c>
      <c r="AI172" s="155">
        <v>8.0165151496298659E-3</v>
      </c>
      <c r="AJ172" s="155">
        <v>9.6281305977349296E-3</v>
      </c>
      <c r="AK172" s="155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7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72"/>
        <v>-5.7384102735041909E-4</v>
      </c>
      <c r="H173" s="48">
        <f t="shared" si="73"/>
        <v>-5.7384102735041909E-4</v>
      </c>
      <c r="I173" s="48">
        <f t="shared" si="73"/>
        <v>-5.7384102735041909E-4</v>
      </c>
      <c r="J173" s="48">
        <f t="shared" si="73"/>
        <v>-5.7384102735041909E-4</v>
      </c>
      <c r="K173" s="48">
        <f t="shared" si="73"/>
        <v>-5.7384102735041909E-4</v>
      </c>
      <c r="L173" s="48">
        <f t="shared" si="73"/>
        <v>-5.7384102735041909E-4</v>
      </c>
      <c r="M173" s="48">
        <f t="shared" si="73"/>
        <v>-5.7384102735041909E-4</v>
      </c>
      <c r="N173" s="215"/>
      <c r="O173" s="108">
        <v>171</v>
      </c>
      <c r="P173" s="108">
        <v>0</v>
      </c>
      <c r="Q173" s="155">
        <v>4.0338828404695715E-4</v>
      </c>
      <c r="R173" s="155">
        <v>5.9946940642715829E-3</v>
      </c>
      <c r="S173" s="155">
        <v>-6.5025914175914634E-4</v>
      </c>
      <c r="T173" s="155">
        <v>1.6759843612100256E-3</v>
      </c>
      <c r="U173" s="155">
        <v>2.7663053736157184E-4</v>
      </c>
      <c r="V173" s="155">
        <v>-2.6035614297739706E-4</v>
      </c>
      <c r="W173" s="155">
        <v>-2.2490720512663431E-4</v>
      </c>
      <c r="X173" s="191">
        <v>8.5376572339093681E-4</v>
      </c>
      <c r="Y173" s="155">
        <v>-9.4108140005183527E-4</v>
      </c>
      <c r="Z173" s="155">
        <v>6.1302371553551005E-5</v>
      </c>
      <c r="AA173" s="155">
        <v>6.8268178762295739E-4</v>
      </c>
      <c r="AB173" s="155">
        <v>3.4373713503621506E-5</v>
      </c>
      <c r="AC173" s="155">
        <v>-5.7365548392321331E-4</v>
      </c>
      <c r="AD173" s="155">
        <v>2.2701363569527511E-3</v>
      </c>
      <c r="AE173" s="155">
        <v>-3.2346528351723247E-4</v>
      </c>
      <c r="AF173" s="155">
        <v>1.140042255446172E-3</v>
      </c>
      <c r="AG173" s="155">
        <v>-5.9075973229821832E-4</v>
      </c>
      <c r="AH173" s="155">
        <v>-2.1441362403668007E-4</v>
      </c>
      <c r="AI173" s="155">
        <v>-2.3827479727646372E-3</v>
      </c>
      <c r="AJ173" s="155">
        <v>-1.5707053355296097E-5</v>
      </c>
      <c r="AK173" s="155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7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72"/>
        <v>0.14009774284449922</v>
      </c>
      <c r="H174" s="48">
        <f t="shared" si="73"/>
        <v>0.14009774284449922</v>
      </c>
      <c r="I174" s="48">
        <f t="shared" si="73"/>
        <v>0.14009774284449922</v>
      </c>
      <c r="J174" s="48">
        <f t="shared" si="73"/>
        <v>0.14009774284449922</v>
      </c>
      <c r="K174" s="48">
        <f t="shared" si="73"/>
        <v>0.14009774284449922</v>
      </c>
      <c r="L174" s="48">
        <f t="shared" si="73"/>
        <v>0.14009774284449922</v>
      </c>
      <c r="M174" s="48">
        <f t="shared" si="73"/>
        <v>0.14009774284449922</v>
      </c>
      <c r="N174" s="215"/>
      <c r="O174" s="108">
        <v>172</v>
      </c>
      <c r="P174" s="108">
        <v>0</v>
      </c>
      <c r="Q174" s="155">
        <v>0.10194906102051043</v>
      </c>
      <c r="R174" s="155">
        <v>0.13797223539543702</v>
      </c>
      <c r="S174" s="155">
        <v>0.11557135318483555</v>
      </c>
      <c r="T174" s="155">
        <v>0.15689125870107565</v>
      </c>
      <c r="U174" s="155">
        <v>0.13550366426895094</v>
      </c>
      <c r="V174" s="155">
        <v>0.1420445459839475</v>
      </c>
      <c r="W174" s="155">
        <v>0.11784423877075456</v>
      </c>
      <c r="X174" s="191">
        <v>0.12466894617253094</v>
      </c>
      <c r="Y174" s="155">
        <v>0.16991427230225328</v>
      </c>
      <c r="Z174" s="155">
        <v>0.17821776452137159</v>
      </c>
      <c r="AA174" s="155">
        <v>0.11405953951133221</v>
      </c>
      <c r="AB174" s="155">
        <v>0.15457317439348905</v>
      </c>
      <c r="AC174" s="155">
        <v>0.12037419191948384</v>
      </c>
      <c r="AD174" s="155">
        <v>0.14857425884810532</v>
      </c>
      <c r="AE174" s="155">
        <v>0.20277109741824062</v>
      </c>
      <c r="AF174" s="155">
        <v>0.16927832986658353</v>
      </c>
      <c r="AG174" s="155">
        <v>0.19844147105488796</v>
      </c>
      <c r="AH174" s="155">
        <v>0.14169574192628809</v>
      </c>
      <c r="AI174" s="155">
        <v>0.10564678612297607</v>
      </c>
      <c r="AJ174" s="155">
        <v>0.12594028554582348</v>
      </c>
      <c r="AK174" s="155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7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72"/>
        <v>6.9424696868744168E-2</v>
      </c>
      <c r="H175" s="48">
        <f t="shared" si="73"/>
        <v>6.9424696868744168E-2</v>
      </c>
      <c r="I175" s="48">
        <f t="shared" si="73"/>
        <v>6.9424696868744168E-2</v>
      </c>
      <c r="J175" s="48">
        <f t="shared" si="73"/>
        <v>6.9424696868744168E-2</v>
      </c>
      <c r="K175" s="48">
        <f t="shared" si="73"/>
        <v>6.9424696868744168E-2</v>
      </c>
      <c r="L175" s="48">
        <f t="shared" si="73"/>
        <v>6.9424696868744168E-2</v>
      </c>
      <c r="M175" s="48">
        <f t="shared" si="73"/>
        <v>6.9424696868744168E-2</v>
      </c>
      <c r="N175" s="215"/>
      <c r="O175" s="108">
        <v>173</v>
      </c>
      <c r="P175" s="108">
        <v>0</v>
      </c>
      <c r="Q175" s="155">
        <v>9.1189738655948011E-2</v>
      </c>
      <c r="R175" s="155">
        <v>0.10143528458581824</v>
      </c>
      <c r="S175" s="155">
        <v>7.0267007453026831E-2</v>
      </c>
      <c r="T175" s="155">
        <v>5.232124614429616E-2</v>
      </c>
      <c r="U175" s="155">
        <v>6.6108571896744822E-2</v>
      </c>
      <c r="V175" s="155">
        <v>6.003319427512703E-2</v>
      </c>
      <c r="W175" s="155">
        <v>6.051504417461831E-2</v>
      </c>
      <c r="X175" s="191">
        <v>0.10565182817113133</v>
      </c>
      <c r="Y175" s="155">
        <v>7.102823441438598E-2</v>
      </c>
      <c r="Z175" s="155">
        <v>7.7925564110140705E-2</v>
      </c>
      <c r="AA175" s="155">
        <v>5.0262202405579666E-2</v>
      </c>
      <c r="AB175" s="155">
        <v>6.6071035432867714E-2</v>
      </c>
      <c r="AC175" s="155">
        <v>5.8429286772212735E-2</v>
      </c>
      <c r="AD175" s="155">
        <v>4.3348258892874789E-2</v>
      </c>
      <c r="AE175" s="155">
        <v>8.7725060705797123E-2</v>
      </c>
      <c r="AF175" s="155">
        <v>3.6828671976821645E-2</v>
      </c>
      <c r="AG175" s="155">
        <v>7.1961549152193563E-2</v>
      </c>
      <c r="AH175" s="155">
        <v>6.7324079211322413E-2</v>
      </c>
      <c r="AI175" s="155">
        <v>8.8855714342797237E-2</v>
      </c>
      <c r="AJ175" s="155">
        <v>5.8278593670142348E-2</v>
      </c>
      <c r="AK175" s="155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7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72"/>
        <v>-0.19878385030461762</v>
      </c>
      <c r="H176" s="48">
        <f t="shared" si="73"/>
        <v>-0.19878385030461762</v>
      </c>
      <c r="I176" s="48">
        <f t="shared" si="73"/>
        <v>-0.19878385030461762</v>
      </c>
      <c r="J176" s="48">
        <f t="shared" si="73"/>
        <v>-0.19878385030461762</v>
      </c>
      <c r="K176" s="48">
        <f t="shared" si="73"/>
        <v>-0.19878385030461762</v>
      </c>
      <c r="L176" s="48">
        <f t="shared" si="73"/>
        <v>-0.19878385030461762</v>
      </c>
      <c r="M176" s="48">
        <f t="shared" si="73"/>
        <v>-0.19878385030461762</v>
      </c>
      <c r="N176" s="215"/>
      <c r="O176" s="108">
        <v>174</v>
      </c>
      <c r="P176" s="108">
        <v>0</v>
      </c>
      <c r="Q176" s="155">
        <v>-0.20663672686964946</v>
      </c>
      <c r="R176" s="155">
        <v>-0.23963911110966085</v>
      </c>
      <c r="S176" s="155">
        <v>-0.19377556722487993</v>
      </c>
      <c r="T176" s="155">
        <v>-0.19667267056573109</v>
      </c>
      <c r="U176" s="155">
        <v>-0.19982454385291665</v>
      </c>
      <c r="V176" s="155">
        <v>-0.19832146792901736</v>
      </c>
      <c r="W176" s="155">
        <v>-0.18759065264887106</v>
      </c>
      <c r="X176" s="191">
        <v>-0.24875118665730625</v>
      </c>
      <c r="Y176" s="155">
        <v>-0.21250333013948025</v>
      </c>
      <c r="Z176" s="155">
        <v>-0.20941867398814357</v>
      </c>
      <c r="AA176" s="155">
        <v>-0.18345276323003798</v>
      </c>
      <c r="AB176" s="155">
        <v>-0.18794898767840035</v>
      </c>
      <c r="AC176" s="155">
        <v>-0.19208104501518797</v>
      </c>
      <c r="AD176" s="155">
        <v>-0.1965192649703878</v>
      </c>
      <c r="AE176" s="155">
        <v>-0.21876341378886505</v>
      </c>
      <c r="AF176" s="155">
        <v>-0.15025749458548762</v>
      </c>
      <c r="AG176" s="155">
        <v>-0.19453034814682924</v>
      </c>
      <c r="AH176" s="155">
        <v>-0.19831640106704812</v>
      </c>
      <c r="AI176" s="155">
        <v>-0.19063932476945222</v>
      </c>
      <c r="AJ176" s="155">
        <v>-0.19298885908759725</v>
      </c>
      <c r="AK176" s="155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7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72"/>
        <v>0.28451828333695223</v>
      </c>
      <c r="H177" s="48">
        <f t="shared" si="73"/>
        <v>0.28451828333695223</v>
      </c>
      <c r="I177" s="48">
        <f t="shared" si="73"/>
        <v>0.28451828333695223</v>
      </c>
      <c r="J177" s="48">
        <f t="shared" si="73"/>
        <v>0.28451828333695223</v>
      </c>
      <c r="K177" s="48">
        <f t="shared" si="73"/>
        <v>0.28451828333695223</v>
      </c>
      <c r="L177" s="48">
        <f t="shared" si="73"/>
        <v>0.28451828333695223</v>
      </c>
      <c r="M177" s="48">
        <f t="shared" si="73"/>
        <v>0.28451828333695223</v>
      </c>
      <c r="N177" s="215"/>
      <c r="O177" s="108">
        <v>175</v>
      </c>
      <c r="P177" s="108">
        <v>0</v>
      </c>
      <c r="Q177" s="155">
        <v>0.28772900710890736</v>
      </c>
      <c r="R177" s="155">
        <v>0.27092696230975616</v>
      </c>
      <c r="S177" s="155">
        <v>0.2899842608063613</v>
      </c>
      <c r="T177" s="155">
        <v>0.28298512422600247</v>
      </c>
      <c r="U177" s="155">
        <v>0.28707892412431502</v>
      </c>
      <c r="V177" s="155">
        <v>0.2851490113700737</v>
      </c>
      <c r="W177" s="155">
        <v>0.28500958184648895</v>
      </c>
      <c r="X177" s="191">
        <v>0.28370267151158091</v>
      </c>
      <c r="Y177" s="155">
        <v>0.28674139316725961</v>
      </c>
      <c r="Z177" s="155">
        <v>0.28379003825737037</v>
      </c>
      <c r="AA177" s="155">
        <v>0.28175998233412042</v>
      </c>
      <c r="AB177" s="155">
        <v>0.2816386059607896</v>
      </c>
      <c r="AC177" s="155">
        <v>0.28420139449902559</v>
      </c>
      <c r="AD177" s="155">
        <v>0.28483022925532114</v>
      </c>
      <c r="AE177" s="155">
        <v>0.29049857880350527</v>
      </c>
      <c r="AF177" s="155">
        <v>0.28273774566805199</v>
      </c>
      <c r="AG177" s="155">
        <v>0.29120275902466158</v>
      </c>
      <c r="AH177" s="155">
        <v>0.2827376505232107</v>
      </c>
      <c r="AI177" s="155">
        <v>0.29843590380536777</v>
      </c>
      <c r="AJ177" s="155">
        <v>0.28144827104784864</v>
      </c>
      <c r="AK177" s="155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7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72"/>
        <v>1.6733010793387279E-2</v>
      </c>
      <c r="H178" s="48">
        <f t="shared" si="73"/>
        <v>1.6733010793387279E-2</v>
      </c>
      <c r="I178" s="48">
        <f t="shared" si="73"/>
        <v>1.6733010793387279E-2</v>
      </c>
      <c r="J178" s="48">
        <f t="shared" si="73"/>
        <v>1.6733010793387279E-2</v>
      </c>
      <c r="K178" s="48">
        <f t="shared" si="73"/>
        <v>1.6733010793387279E-2</v>
      </c>
      <c r="L178" s="48">
        <f t="shared" si="73"/>
        <v>1.6733010793387279E-2</v>
      </c>
      <c r="M178" s="48">
        <f t="shared" si="73"/>
        <v>1.6733010793387279E-2</v>
      </c>
      <c r="N178" s="215"/>
      <c r="O178" s="108">
        <v>176</v>
      </c>
      <c r="P178" s="108">
        <v>0</v>
      </c>
      <c r="Q178" s="155">
        <v>1.7069606512678453E-2</v>
      </c>
      <c r="R178" s="155">
        <v>1.6552268024858856E-2</v>
      </c>
      <c r="S178" s="155">
        <v>1.6884808980926914E-2</v>
      </c>
      <c r="T178" s="155">
        <v>1.6313376266207182E-2</v>
      </c>
      <c r="U178" s="155">
        <v>1.6151696019241348E-2</v>
      </c>
      <c r="V178" s="155">
        <v>1.6393943148746228E-2</v>
      </c>
      <c r="W178" s="155">
        <v>1.6487334535780412E-2</v>
      </c>
      <c r="X178" s="191">
        <v>1.7042358123801227E-2</v>
      </c>
      <c r="Y178" s="155">
        <v>1.6397049080020095E-2</v>
      </c>
      <c r="Z178" s="155">
        <v>1.7164879005947407E-2</v>
      </c>
      <c r="AA178" s="155">
        <v>1.7148540698927305E-2</v>
      </c>
      <c r="AB178" s="155">
        <v>1.6568226227378101E-2</v>
      </c>
      <c r="AC178" s="155">
        <v>1.5919092215677562E-2</v>
      </c>
      <c r="AD178" s="155">
        <v>1.4944986467434054E-2</v>
      </c>
      <c r="AE178" s="155">
        <v>1.7398767402179435E-2</v>
      </c>
      <c r="AF178" s="155">
        <v>1.6514003246118299E-2</v>
      </c>
      <c r="AG178" s="155">
        <v>1.4787566347912307E-2</v>
      </c>
      <c r="AH178" s="155">
        <v>1.6099577033044595E-2</v>
      </c>
      <c r="AI178" s="155">
        <v>1.749210972384746E-2</v>
      </c>
      <c r="AJ178" s="155">
        <v>1.7776288552165551E-2</v>
      </c>
      <c r="AK178" s="155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7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72"/>
        <v>1.68594357359904E-2</v>
      </c>
      <c r="H179" s="48">
        <f t="shared" si="73"/>
        <v>1.68594357359904E-2</v>
      </c>
      <c r="I179" s="48">
        <f t="shared" si="73"/>
        <v>1.68594357359904E-2</v>
      </c>
      <c r="J179" s="48">
        <f t="shared" si="73"/>
        <v>1.68594357359904E-2</v>
      </c>
      <c r="K179" s="48">
        <f t="shared" si="73"/>
        <v>1.68594357359904E-2</v>
      </c>
      <c r="L179" s="48">
        <f t="shared" si="73"/>
        <v>1.68594357359904E-2</v>
      </c>
      <c r="M179" s="48">
        <f t="shared" si="73"/>
        <v>1.68594357359904E-2</v>
      </c>
      <c r="N179" s="215"/>
      <c r="O179" s="108">
        <v>177</v>
      </c>
      <c r="P179" s="108">
        <v>0</v>
      </c>
      <c r="Q179" s="155">
        <v>1.6786752067508934E-2</v>
      </c>
      <c r="R179" s="155">
        <v>1.6747525564226536E-2</v>
      </c>
      <c r="S179" s="155">
        <v>1.7009932059591473E-2</v>
      </c>
      <c r="T179" s="155">
        <v>1.6955520913816583E-2</v>
      </c>
      <c r="U179" s="155">
        <v>1.7203225696670724E-2</v>
      </c>
      <c r="V179" s="155">
        <v>1.7086999661839512E-2</v>
      </c>
      <c r="W179" s="155">
        <v>1.690720112802924E-2</v>
      </c>
      <c r="X179" s="191">
        <v>1.7168498267042372E-2</v>
      </c>
      <c r="Y179" s="155">
        <v>1.7428216497280095E-2</v>
      </c>
      <c r="Z179" s="155">
        <v>1.695041636105039E-2</v>
      </c>
      <c r="AA179" s="155">
        <v>1.7414061292593028E-2</v>
      </c>
      <c r="AB179" s="155">
        <v>1.720622198906013E-2</v>
      </c>
      <c r="AC179" s="155">
        <v>1.6996314400266339E-2</v>
      </c>
      <c r="AD179" s="155">
        <v>1.7313247671871868E-2</v>
      </c>
      <c r="AE179" s="155">
        <v>1.6956025473438538E-2</v>
      </c>
      <c r="AF179" s="155">
        <v>1.7117255131705159E-2</v>
      </c>
      <c r="AG179" s="155">
        <v>1.6814518779379978E-2</v>
      </c>
      <c r="AH179" s="155">
        <v>1.7069436046277635E-2</v>
      </c>
      <c r="AI179" s="155">
        <v>1.6939413316907893E-2</v>
      </c>
      <c r="AJ179" s="155">
        <v>1.719346265690247E-2</v>
      </c>
      <c r="AK179" s="155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7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">
      <c r="A180" s="3"/>
      <c r="B180" s="9">
        <v>166</v>
      </c>
      <c r="C180" s="3"/>
      <c r="D180" s="3"/>
      <c r="E180" s="36"/>
      <c r="M180" s="89"/>
      <c r="O180" s="108">
        <v>178</v>
      </c>
      <c r="P180" s="108">
        <v>0</v>
      </c>
      <c r="Q180" s="155"/>
      <c r="R180" s="155"/>
      <c r="S180" s="155"/>
      <c r="T180" s="155"/>
      <c r="U180" s="155"/>
      <c r="V180" s="155"/>
      <c r="W180" s="155"/>
      <c r="X180" s="191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7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8">
        <v>179</v>
      </c>
      <c r="P181" s="108">
        <v>0</v>
      </c>
      <c r="Q181" s="155"/>
      <c r="R181" s="155"/>
      <c r="S181" s="155"/>
      <c r="T181" s="155"/>
      <c r="U181" s="155"/>
      <c r="V181" s="155"/>
      <c r="W181" s="155"/>
      <c r="X181" s="191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7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">
      <c r="A182" s="3"/>
      <c r="B182" s="9">
        <v>168</v>
      </c>
      <c r="C182" s="3"/>
      <c r="D182" s="3"/>
      <c r="E182" s="36"/>
      <c r="M182" s="89"/>
      <c r="O182" s="108">
        <v>180</v>
      </c>
      <c r="P182" s="108">
        <v>0</v>
      </c>
      <c r="Q182" s="155"/>
      <c r="R182" s="155"/>
      <c r="S182" s="155"/>
      <c r="T182" s="155"/>
      <c r="U182" s="155"/>
      <c r="V182" s="155"/>
      <c r="W182" s="155"/>
      <c r="X182" s="191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7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74">HLOOKUP($E$3,$P$3:$CE$269,O183,FALSE)</f>
        <v>1</v>
      </c>
      <c r="H183" s="48">
        <f t="shared" ref="H183:M199" si="75">G183</f>
        <v>1</v>
      </c>
      <c r="I183" s="48">
        <f t="shared" si="75"/>
        <v>1</v>
      </c>
      <c r="J183" s="48">
        <f t="shared" si="75"/>
        <v>1</v>
      </c>
      <c r="K183" s="48">
        <f t="shared" si="75"/>
        <v>1</v>
      </c>
      <c r="L183" s="48">
        <f t="shared" si="75"/>
        <v>1</v>
      </c>
      <c r="M183" s="48">
        <f t="shared" si="75"/>
        <v>1</v>
      </c>
      <c r="N183" s="215"/>
      <c r="O183" s="108">
        <v>181</v>
      </c>
      <c r="P183" s="108">
        <v>0</v>
      </c>
      <c r="Q183" s="155">
        <v>1</v>
      </c>
      <c r="R183" s="155">
        <v>1</v>
      </c>
      <c r="S183" s="155">
        <v>1</v>
      </c>
      <c r="T183" s="155">
        <v>1</v>
      </c>
      <c r="U183" s="155">
        <v>1</v>
      </c>
      <c r="V183" s="155">
        <v>1</v>
      </c>
      <c r="W183" s="155">
        <v>1</v>
      </c>
      <c r="X183" s="191">
        <v>1</v>
      </c>
      <c r="Y183" s="155">
        <v>1</v>
      </c>
      <c r="Z183" s="155">
        <v>1</v>
      </c>
      <c r="AA183" s="155">
        <v>1</v>
      </c>
      <c r="AB183" s="155">
        <v>1</v>
      </c>
      <c r="AC183" s="155">
        <v>1</v>
      </c>
      <c r="AD183" s="155">
        <v>1</v>
      </c>
      <c r="AE183" s="155">
        <v>1</v>
      </c>
      <c r="AF183" s="155">
        <v>1</v>
      </c>
      <c r="AG183" s="155">
        <v>1</v>
      </c>
      <c r="AH183" s="155">
        <v>1</v>
      </c>
      <c r="AI183" s="155">
        <v>1</v>
      </c>
      <c r="AJ183" s="155">
        <v>1</v>
      </c>
      <c r="AK183" s="155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7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74"/>
        <v>0.16439999999999999</v>
      </c>
      <c r="H184" s="48">
        <f t="shared" si="75"/>
        <v>0.16439999999999999</v>
      </c>
      <c r="I184" s="48">
        <f t="shared" si="75"/>
        <v>0.16439999999999999</v>
      </c>
      <c r="J184" s="48">
        <f t="shared" si="75"/>
        <v>0.16439999999999999</v>
      </c>
      <c r="K184" s="48">
        <f t="shared" si="75"/>
        <v>0.16439999999999999</v>
      </c>
      <c r="L184" s="48">
        <f t="shared" si="75"/>
        <v>0.16439999999999999</v>
      </c>
      <c r="M184" s="48">
        <f t="shared" si="75"/>
        <v>0.16439999999999999</v>
      </c>
      <c r="N184" s="215"/>
      <c r="O184" s="108">
        <v>182</v>
      </c>
      <c r="P184" s="108">
        <v>0</v>
      </c>
      <c r="Q184" s="155">
        <v>0.16439999999999999</v>
      </c>
      <c r="R184" s="155">
        <v>0.16439999999999999</v>
      </c>
      <c r="S184" s="155">
        <v>0.16439999999999999</v>
      </c>
      <c r="T184" s="155">
        <v>0.16439999999999999</v>
      </c>
      <c r="U184" s="155">
        <v>0.16439999999999999</v>
      </c>
      <c r="V184" s="155">
        <v>0.16439999999999999</v>
      </c>
      <c r="W184" s="155">
        <v>0.16439999999999999</v>
      </c>
      <c r="X184" s="191">
        <v>0.16439999999999999</v>
      </c>
      <c r="Y184" s="155">
        <v>0.16439999999999999</v>
      </c>
      <c r="Z184" s="155">
        <v>0.16439999999999999</v>
      </c>
      <c r="AA184" s="155">
        <v>0.16439999999999999</v>
      </c>
      <c r="AB184" s="155">
        <v>0.16439999999999999</v>
      </c>
      <c r="AC184" s="155">
        <v>0.16439999999999999</v>
      </c>
      <c r="AD184" s="155">
        <v>0.16439999999999999</v>
      </c>
      <c r="AE184" s="155">
        <v>0.16439999999999999</v>
      </c>
      <c r="AF184" s="155">
        <v>0.16439999999999999</v>
      </c>
      <c r="AG184" s="155">
        <v>0.16439999999999999</v>
      </c>
      <c r="AH184" s="155">
        <v>0.16439999999999999</v>
      </c>
      <c r="AI184" s="155">
        <v>0.16439999999999999</v>
      </c>
      <c r="AJ184" s="155">
        <v>0.16439999999999999</v>
      </c>
      <c r="AK184" s="155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7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">
      <c r="A185" s="3"/>
      <c r="B185" s="9">
        <v>171</v>
      </c>
      <c r="C185" s="7"/>
      <c r="D185" s="7"/>
      <c r="E185" s="50" t="s">
        <v>127</v>
      </c>
      <c r="F185" s="102"/>
      <c r="G185" s="102">
        <f t="shared" si="74"/>
        <v>63422.311800000003</v>
      </c>
      <c r="H185" s="48">
        <f t="shared" si="75"/>
        <v>63422.311800000003</v>
      </c>
      <c r="I185" s="48">
        <f t="shared" si="75"/>
        <v>63422.311800000003</v>
      </c>
      <c r="J185" s="48">
        <f t="shared" si="75"/>
        <v>63422.311800000003</v>
      </c>
      <c r="K185" s="48">
        <f t="shared" si="75"/>
        <v>63422.311800000003</v>
      </c>
      <c r="L185" s="48">
        <f t="shared" si="75"/>
        <v>63422.311800000003</v>
      </c>
      <c r="M185" s="48">
        <f t="shared" si="75"/>
        <v>63422.311800000003</v>
      </c>
      <c r="N185" s="215"/>
      <c r="O185" s="108">
        <v>183</v>
      </c>
      <c r="P185" s="108">
        <v>0</v>
      </c>
      <c r="Q185" s="155">
        <v>63422.311800000003</v>
      </c>
      <c r="R185" s="155">
        <v>63422.311800000003</v>
      </c>
      <c r="S185" s="155">
        <v>63422.311800000003</v>
      </c>
      <c r="T185" s="155">
        <v>63422.311800000003</v>
      </c>
      <c r="U185" s="155">
        <v>63422.311800000003</v>
      </c>
      <c r="V185" s="155">
        <v>63422.311800000003</v>
      </c>
      <c r="W185" s="155">
        <v>63422.311800000003</v>
      </c>
      <c r="X185" s="191">
        <v>63422.311800000003</v>
      </c>
      <c r="Y185" s="155">
        <v>63422.311800000003</v>
      </c>
      <c r="Z185" s="155">
        <v>63422.311800000003</v>
      </c>
      <c r="AA185" s="155">
        <v>63422.311800000003</v>
      </c>
      <c r="AB185" s="155">
        <v>63422.311800000003</v>
      </c>
      <c r="AC185" s="155">
        <v>63422.311800000003</v>
      </c>
      <c r="AD185" s="155">
        <v>63422.311800000003</v>
      </c>
      <c r="AE185" s="155">
        <v>63422.311800000003</v>
      </c>
      <c r="AF185" s="155">
        <v>63422.311800000003</v>
      </c>
      <c r="AG185" s="155">
        <v>63422.311800000003</v>
      </c>
      <c r="AH185" s="155">
        <v>63422.311800000003</v>
      </c>
      <c r="AI185" s="155">
        <v>63422.311800000003</v>
      </c>
      <c r="AJ185" s="155">
        <v>63422.311800000003</v>
      </c>
      <c r="AK185" s="155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7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">
      <c r="A186" s="3"/>
      <c r="B186" s="9">
        <v>172</v>
      </c>
      <c r="C186" s="7"/>
      <c r="D186" s="7"/>
      <c r="E186" s="50" t="s">
        <v>128</v>
      </c>
      <c r="F186" s="102"/>
      <c r="G186" s="102">
        <f t="shared" si="74"/>
        <v>345129.01459999999</v>
      </c>
      <c r="H186" s="48">
        <f t="shared" si="75"/>
        <v>345129.01459999999</v>
      </c>
      <c r="I186" s="48">
        <f t="shared" si="75"/>
        <v>345129.01459999999</v>
      </c>
      <c r="J186" s="48">
        <f t="shared" si="75"/>
        <v>345129.01459999999</v>
      </c>
      <c r="K186" s="48">
        <f t="shared" si="75"/>
        <v>345129.01459999999</v>
      </c>
      <c r="L186" s="48">
        <f t="shared" si="75"/>
        <v>345129.01459999999</v>
      </c>
      <c r="M186" s="48">
        <f t="shared" si="75"/>
        <v>345129.01459999999</v>
      </c>
      <c r="N186" s="215"/>
      <c r="O186" s="108">
        <v>184</v>
      </c>
      <c r="P186" s="108">
        <v>0</v>
      </c>
      <c r="Q186" s="155">
        <v>345129.01459999999</v>
      </c>
      <c r="R186" s="155">
        <v>345129.01459999999</v>
      </c>
      <c r="S186" s="155">
        <v>345129.01459999999</v>
      </c>
      <c r="T186" s="155">
        <v>345129.01459999999</v>
      </c>
      <c r="U186" s="155">
        <v>345129.01459999999</v>
      </c>
      <c r="V186" s="155">
        <v>345129.01459999999</v>
      </c>
      <c r="W186" s="155">
        <v>345129.01459999999</v>
      </c>
      <c r="X186" s="191">
        <v>345129.01459999999</v>
      </c>
      <c r="Y186" s="155">
        <v>345129.01459999999</v>
      </c>
      <c r="Z186" s="155">
        <v>345129.01459999999</v>
      </c>
      <c r="AA186" s="155">
        <v>345129.01459999999</v>
      </c>
      <c r="AB186" s="155">
        <v>345129.01459999999</v>
      </c>
      <c r="AC186" s="155">
        <v>345129.01459999999</v>
      </c>
      <c r="AD186" s="155">
        <v>345129.01459999999</v>
      </c>
      <c r="AE186" s="155">
        <v>345129.01459999999</v>
      </c>
      <c r="AF186" s="155">
        <v>345129.01459999999</v>
      </c>
      <c r="AG186" s="155">
        <v>345129.01459999999</v>
      </c>
      <c r="AH186" s="155">
        <v>345129.01459999999</v>
      </c>
      <c r="AI186" s="155">
        <v>345129.01459999999</v>
      </c>
      <c r="AJ186" s="155">
        <v>345129.01459999999</v>
      </c>
      <c r="AK186" s="155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7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74"/>
        <v>1630327994.0632999</v>
      </c>
      <c r="H187" s="51">
        <f t="shared" si="75"/>
        <v>1630327994.0632999</v>
      </c>
      <c r="I187" s="51">
        <f t="shared" si="75"/>
        <v>1630327994.0632999</v>
      </c>
      <c r="J187" s="51">
        <f t="shared" si="75"/>
        <v>1630327994.0632999</v>
      </c>
      <c r="K187" s="51">
        <f t="shared" si="75"/>
        <v>1630327994.0632999</v>
      </c>
      <c r="L187" s="51">
        <f t="shared" si="75"/>
        <v>1630327994.0632999</v>
      </c>
      <c r="M187" s="51">
        <f t="shared" si="75"/>
        <v>1630327994.0632999</v>
      </c>
      <c r="N187" s="207"/>
      <c r="O187" s="108">
        <v>185</v>
      </c>
      <c r="P187" s="108">
        <v>0</v>
      </c>
      <c r="Q187" s="155">
        <v>1630327994.0632999</v>
      </c>
      <c r="R187" s="155">
        <v>1630327994.0632999</v>
      </c>
      <c r="S187" s="155">
        <v>1630327994.0632999</v>
      </c>
      <c r="T187" s="155">
        <v>1630327994.0632999</v>
      </c>
      <c r="U187" s="155">
        <v>1630327994.0632999</v>
      </c>
      <c r="V187" s="155">
        <v>1630327994.0632999</v>
      </c>
      <c r="W187" s="155">
        <v>1630327994.0632999</v>
      </c>
      <c r="X187" s="191">
        <v>1630327994.0632999</v>
      </c>
      <c r="Y187" s="155">
        <v>1630327994.0632999</v>
      </c>
      <c r="Z187" s="155">
        <v>1630327994.0632999</v>
      </c>
      <c r="AA187" s="155">
        <v>1630327994.0632999</v>
      </c>
      <c r="AB187" s="155">
        <v>1630327994.0632999</v>
      </c>
      <c r="AC187" s="155">
        <v>1630327994.0632999</v>
      </c>
      <c r="AD187" s="155">
        <v>1630327994.0632999</v>
      </c>
      <c r="AE187" s="155">
        <v>1630327994.0632999</v>
      </c>
      <c r="AF187" s="155">
        <v>1630327994.0632999</v>
      </c>
      <c r="AG187" s="155">
        <v>1630327994.0632999</v>
      </c>
      <c r="AH187" s="155">
        <v>1630327994.0632999</v>
      </c>
      <c r="AI187" s="155">
        <v>1630327994.0632999</v>
      </c>
      <c r="AJ187" s="155">
        <v>1630327994.0632999</v>
      </c>
      <c r="AK187" s="155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7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74"/>
        <v>1</v>
      </c>
      <c r="H188" s="48">
        <f t="shared" si="75"/>
        <v>1</v>
      </c>
      <c r="I188" s="48">
        <f t="shared" si="75"/>
        <v>1</v>
      </c>
      <c r="J188" s="48">
        <f t="shared" si="75"/>
        <v>1</v>
      </c>
      <c r="K188" s="48">
        <f t="shared" si="75"/>
        <v>1</v>
      </c>
      <c r="L188" s="48">
        <f t="shared" si="75"/>
        <v>1</v>
      </c>
      <c r="M188" s="48">
        <f t="shared" si="75"/>
        <v>1</v>
      </c>
      <c r="N188" s="215"/>
      <c r="O188" s="108">
        <v>186</v>
      </c>
      <c r="P188" s="108">
        <v>0</v>
      </c>
      <c r="Q188" s="155">
        <v>1</v>
      </c>
      <c r="R188" s="155">
        <v>1</v>
      </c>
      <c r="S188" s="155">
        <v>1</v>
      </c>
      <c r="T188" s="155">
        <v>1</v>
      </c>
      <c r="U188" s="155">
        <v>1</v>
      </c>
      <c r="V188" s="155">
        <v>1</v>
      </c>
      <c r="W188" s="155">
        <v>1</v>
      </c>
      <c r="X188" s="191">
        <v>1</v>
      </c>
      <c r="Y188" s="155">
        <v>1</v>
      </c>
      <c r="Z188" s="155">
        <v>1</v>
      </c>
      <c r="AA188" s="155">
        <v>1</v>
      </c>
      <c r="AB188" s="155">
        <v>1</v>
      </c>
      <c r="AC188" s="155">
        <v>1</v>
      </c>
      <c r="AD188" s="155">
        <v>1</v>
      </c>
      <c r="AE188" s="155">
        <v>1</v>
      </c>
      <c r="AF188" s="155">
        <v>1</v>
      </c>
      <c r="AG188" s="155">
        <v>1</v>
      </c>
      <c r="AH188" s="155">
        <v>1</v>
      </c>
      <c r="AI188" s="155">
        <v>1</v>
      </c>
      <c r="AJ188" s="155">
        <v>1</v>
      </c>
      <c r="AK188" s="155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7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74"/>
        <v>1</v>
      </c>
      <c r="H189" s="48">
        <f t="shared" si="75"/>
        <v>1</v>
      </c>
      <c r="I189" s="48">
        <f t="shared" si="75"/>
        <v>1</v>
      </c>
      <c r="J189" s="48">
        <f t="shared" si="75"/>
        <v>1</v>
      </c>
      <c r="K189" s="48">
        <f t="shared" si="75"/>
        <v>1</v>
      </c>
      <c r="L189" s="48">
        <f t="shared" si="75"/>
        <v>1</v>
      </c>
      <c r="M189" s="48">
        <f t="shared" si="75"/>
        <v>1</v>
      </c>
      <c r="N189" s="215"/>
      <c r="O189" s="108">
        <v>187</v>
      </c>
      <c r="P189" s="108">
        <v>0</v>
      </c>
      <c r="Q189" s="155">
        <v>1</v>
      </c>
      <c r="R189" s="155">
        <v>1</v>
      </c>
      <c r="S189" s="155">
        <v>1</v>
      </c>
      <c r="T189" s="155">
        <v>1</v>
      </c>
      <c r="U189" s="155">
        <v>1</v>
      </c>
      <c r="V189" s="155">
        <v>1</v>
      </c>
      <c r="W189" s="155">
        <v>1</v>
      </c>
      <c r="X189" s="191">
        <v>1</v>
      </c>
      <c r="Y189" s="155">
        <v>1</v>
      </c>
      <c r="Z189" s="155">
        <v>1</v>
      </c>
      <c r="AA189" s="155">
        <v>1</v>
      </c>
      <c r="AB189" s="155">
        <v>1</v>
      </c>
      <c r="AC189" s="155">
        <v>1</v>
      </c>
      <c r="AD189" s="155">
        <v>1</v>
      </c>
      <c r="AE189" s="155">
        <v>1</v>
      </c>
      <c r="AF189" s="155">
        <v>1</v>
      </c>
      <c r="AG189" s="155">
        <v>1</v>
      </c>
      <c r="AH189" s="155">
        <v>1</v>
      </c>
      <c r="AI189" s="155">
        <v>1</v>
      </c>
      <c r="AJ189" s="155">
        <v>1</v>
      </c>
      <c r="AK189" s="155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7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74"/>
        <v>1</v>
      </c>
      <c r="H190" s="48">
        <f t="shared" si="75"/>
        <v>1</v>
      </c>
      <c r="I190" s="48">
        <f t="shared" si="75"/>
        <v>1</v>
      </c>
      <c r="J190" s="48">
        <f t="shared" si="75"/>
        <v>1</v>
      </c>
      <c r="K190" s="48">
        <f t="shared" si="75"/>
        <v>1</v>
      </c>
      <c r="L190" s="48">
        <f t="shared" si="75"/>
        <v>1</v>
      </c>
      <c r="M190" s="48">
        <f t="shared" si="75"/>
        <v>1</v>
      </c>
      <c r="N190" s="215"/>
      <c r="O190" s="108">
        <v>188</v>
      </c>
      <c r="P190" s="108">
        <v>0</v>
      </c>
      <c r="Q190" s="155">
        <v>1</v>
      </c>
      <c r="R190" s="155">
        <v>1</v>
      </c>
      <c r="S190" s="155">
        <v>1</v>
      </c>
      <c r="T190" s="155">
        <v>1</v>
      </c>
      <c r="U190" s="155">
        <v>1</v>
      </c>
      <c r="V190" s="155">
        <v>1</v>
      </c>
      <c r="W190" s="155">
        <v>1</v>
      </c>
      <c r="X190" s="191">
        <v>1</v>
      </c>
      <c r="Y190" s="155">
        <v>1</v>
      </c>
      <c r="Z190" s="155">
        <v>1</v>
      </c>
      <c r="AA190" s="155">
        <v>1</v>
      </c>
      <c r="AB190" s="155">
        <v>1</v>
      </c>
      <c r="AC190" s="155">
        <v>1</v>
      </c>
      <c r="AD190" s="155">
        <v>1</v>
      </c>
      <c r="AE190" s="155">
        <v>1</v>
      </c>
      <c r="AF190" s="155">
        <v>1</v>
      </c>
      <c r="AG190" s="155">
        <v>1</v>
      </c>
      <c r="AH190" s="155">
        <v>1</v>
      </c>
      <c r="AI190" s="155">
        <v>1</v>
      </c>
      <c r="AJ190" s="155">
        <v>1</v>
      </c>
      <c r="AK190" s="155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7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74"/>
        <v>1</v>
      </c>
      <c r="H191" s="48">
        <f t="shared" si="75"/>
        <v>1</v>
      </c>
      <c r="I191" s="48">
        <f t="shared" si="75"/>
        <v>1</v>
      </c>
      <c r="J191" s="48">
        <f t="shared" si="75"/>
        <v>1</v>
      </c>
      <c r="K191" s="48">
        <f t="shared" si="75"/>
        <v>1</v>
      </c>
      <c r="L191" s="48">
        <f t="shared" si="75"/>
        <v>1</v>
      </c>
      <c r="M191" s="48">
        <f t="shared" si="75"/>
        <v>1</v>
      </c>
      <c r="N191" s="215"/>
      <c r="O191" s="108">
        <v>189</v>
      </c>
      <c r="P191" s="108">
        <v>0</v>
      </c>
      <c r="Q191" s="155">
        <v>1</v>
      </c>
      <c r="R191" s="155">
        <v>1</v>
      </c>
      <c r="S191" s="155">
        <v>1</v>
      </c>
      <c r="T191" s="155">
        <v>1</v>
      </c>
      <c r="U191" s="155">
        <v>1</v>
      </c>
      <c r="V191" s="155">
        <v>1</v>
      </c>
      <c r="W191" s="155">
        <v>1</v>
      </c>
      <c r="X191" s="191">
        <v>1</v>
      </c>
      <c r="Y191" s="155">
        <v>1</v>
      </c>
      <c r="Z191" s="155">
        <v>1</v>
      </c>
      <c r="AA191" s="155">
        <v>1</v>
      </c>
      <c r="AB191" s="155">
        <v>1</v>
      </c>
      <c r="AC191" s="155">
        <v>1</v>
      </c>
      <c r="AD191" s="155">
        <v>1</v>
      </c>
      <c r="AE191" s="155">
        <v>1</v>
      </c>
      <c r="AF191" s="155">
        <v>1</v>
      </c>
      <c r="AG191" s="155">
        <v>1</v>
      </c>
      <c r="AH191" s="155">
        <v>1</v>
      </c>
      <c r="AI191" s="155">
        <v>1</v>
      </c>
      <c r="AJ191" s="155">
        <v>1</v>
      </c>
      <c r="AK191" s="155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7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74"/>
        <v>1</v>
      </c>
      <c r="H192" s="48">
        <f t="shared" si="75"/>
        <v>1</v>
      </c>
      <c r="I192" s="48">
        <f t="shared" si="75"/>
        <v>1</v>
      </c>
      <c r="J192" s="48">
        <f t="shared" si="75"/>
        <v>1</v>
      </c>
      <c r="K192" s="48">
        <f t="shared" si="75"/>
        <v>1</v>
      </c>
      <c r="L192" s="48">
        <f t="shared" si="75"/>
        <v>1</v>
      </c>
      <c r="M192" s="48">
        <f t="shared" si="75"/>
        <v>1</v>
      </c>
      <c r="N192" s="215"/>
      <c r="O192" s="108">
        <v>190</v>
      </c>
      <c r="P192" s="108">
        <v>0</v>
      </c>
      <c r="Q192" s="155">
        <v>1</v>
      </c>
      <c r="R192" s="155">
        <v>1</v>
      </c>
      <c r="S192" s="155">
        <v>1</v>
      </c>
      <c r="T192" s="155">
        <v>1</v>
      </c>
      <c r="U192" s="155">
        <v>1</v>
      </c>
      <c r="V192" s="155">
        <v>1</v>
      </c>
      <c r="W192" s="155">
        <v>1</v>
      </c>
      <c r="X192" s="191">
        <v>1</v>
      </c>
      <c r="Y192" s="155">
        <v>1</v>
      </c>
      <c r="Z192" s="155">
        <v>1</v>
      </c>
      <c r="AA192" s="155">
        <v>1</v>
      </c>
      <c r="AB192" s="155">
        <v>1</v>
      </c>
      <c r="AC192" s="155">
        <v>1</v>
      </c>
      <c r="AD192" s="155">
        <v>1</v>
      </c>
      <c r="AE192" s="155">
        <v>1</v>
      </c>
      <c r="AF192" s="155">
        <v>1</v>
      </c>
      <c r="AG192" s="155">
        <v>1</v>
      </c>
      <c r="AH192" s="155">
        <v>1</v>
      </c>
      <c r="AI192" s="155">
        <v>1</v>
      </c>
      <c r="AJ192" s="155">
        <v>1</v>
      </c>
      <c r="AK192" s="155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7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74"/>
        <v>1</v>
      </c>
      <c r="H193" s="48">
        <f t="shared" si="75"/>
        <v>1</v>
      </c>
      <c r="I193" s="48">
        <f t="shared" si="75"/>
        <v>1</v>
      </c>
      <c r="J193" s="48">
        <f t="shared" si="75"/>
        <v>1</v>
      </c>
      <c r="K193" s="48">
        <f t="shared" si="75"/>
        <v>1</v>
      </c>
      <c r="L193" s="48">
        <f t="shared" si="75"/>
        <v>1</v>
      </c>
      <c r="M193" s="48">
        <f t="shared" si="75"/>
        <v>1</v>
      </c>
      <c r="N193" s="215"/>
      <c r="O193" s="108">
        <v>191</v>
      </c>
      <c r="P193" s="108">
        <v>0</v>
      </c>
      <c r="Q193" s="155">
        <v>1</v>
      </c>
      <c r="R193" s="155">
        <v>1</v>
      </c>
      <c r="S193" s="155">
        <v>1</v>
      </c>
      <c r="T193" s="155">
        <v>1</v>
      </c>
      <c r="U193" s="155">
        <v>1</v>
      </c>
      <c r="V193" s="155">
        <v>1</v>
      </c>
      <c r="W193" s="155">
        <v>1</v>
      </c>
      <c r="X193" s="191">
        <v>1</v>
      </c>
      <c r="Y193" s="155">
        <v>1</v>
      </c>
      <c r="Z193" s="155">
        <v>1</v>
      </c>
      <c r="AA193" s="155">
        <v>1</v>
      </c>
      <c r="AB193" s="155">
        <v>1</v>
      </c>
      <c r="AC193" s="155">
        <v>1</v>
      </c>
      <c r="AD193" s="155">
        <v>1</v>
      </c>
      <c r="AE193" s="155">
        <v>1</v>
      </c>
      <c r="AF193" s="155">
        <v>1</v>
      </c>
      <c r="AG193" s="155">
        <v>1</v>
      </c>
      <c r="AH193" s="155">
        <v>1</v>
      </c>
      <c r="AI193" s="155">
        <v>1</v>
      </c>
      <c r="AJ193" s="155">
        <v>1</v>
      </c>
      <c r="AK193" s="155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7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74"/>
        <v>1</v>
      </c>
      <c r="H194" s="48">
        <f t="shared" si="75"/>
        <v>1</v>
      </c>
      <c r="I194" s="48">
        <f t="shared" si="75"/>
        <v>1</v>
      </c>
      <c r="J194" s="48">
        <f t="shared" si="75"/>
        <v>1</v>
      </c>
      <c r="K194" s="48">
        <f t="shared" si="75"/>
        <v>1</v>
      </c>
      <c r="L194" s="48">
        <f t="shared" si="75"/>
        <v>1</v>
      </c>
      <c r="M194" s="48">
        <f t="shared" si="75"/>
        <v>1</v>
      </c>
      <c r="N194" s="215"/>
      <c r="O194" s="108">
        <v>192</v>
      </c>
      <c r="P194" s="108">
        <v>0</v>
      </c>
      <c r="Q194" s="155">
        <v>1</v>
      </c>
      <c r="R194" s="155">
        <v>1</v>
      </c>
      <c r="S194" s="155">
        <v>1</v>
      </c>
      <c r="T194" s="155">
        <v>1</v>
      </c>
      <c r="U194" s="155">
        <v>1</v>
      </c>
      <c r="V194" s="155">
        <v>1</v>
      </c>
      <c r="W194" s="155">
        <v>1</v>
      </c>
      <c r="X194" s="191">
        <v>1</v>
      </c>
      <c r="Y194" s="155">
        <v>1</v>
      </c>
      <c r="Z194" s="155">
        <v>1</v>
      </c>
      <c r="AA194" s="155">
        <v>1</v>
      </c>
      <c r="AB194" s="155">
        <v>1</v>
      </c>
      <c r="AC194" s="155">
        <v>1</v>
      </c>
      <c r="AD194" s="155">
        <v>1</v>
      </c>
      <c r="AE194" s="155">
        <v>1</v>
      </c>
      <c r="AF194" s="155">
        <v>1</v>
      </c>
      <c r="AG194" s="155">
        <v>1</v>
      </c>
      <c r="AH194" s="155">
        <v>1</v>
      </c>
      <c r="AI194" s="155">
        <v>1</v>
      </c>
      <c r="AJ194" s="155">
        <v>1</v>
      </c>
      <c r="AK194" s="155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7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74"/>
        <v>1</v>
      </c>
      <c r="H195" s="48">
        <f t="shared" si="75"/>
        <v>1</v>
      </c>
      <c r="I195" s="48">
        <f t="shared" si="75"/>
        <v>1</v>
      </c>
      <c r="J195" s="48">
        <f t="shared" si="75"/>
        <v>1</v>
      </c>
      <c r="K195" s="48">
        <f t="shared" si="75"/>
        <v>1</v>
      </c>
      <c r="L195" s="48">
        <f t="shared" si="75"/>
        <v>1</v>
      </c>
      <c r="M195" s="48">
        <f t="shared" si="75"/>
        <v>1</v>
      </c>
      <c r="N195" s="215"/>
      <c r="O195" s="108">
        <v>193</v>
      </c>
      <c r="P195" s="108">
        <v>0</v>
      </c>
      <c r="Q195" s="155">
        <v>1</v>
      </c>
      <c r="R195" s="155">
        <v>1</v>
      </c>
      <c r="S195" s="155">
        <v>1</v>
      </c>
      <c r="T195" s="155">
        <v>1</v>
      </c>
      <c r="U195" s="155">
        <v>1</v>
      </c>
      <c r="V195" s="155">
        <v>1</v>
      </c>
      <c r="W195" s="155">
        <v>1</v>
      </c>
      <c r="X195" s="191">
        <v>1</v>
      </c>
      <c r="Y195" s="155">
        <v>1</v>
      </c>
      <c r="Z195" s="155">
        <v>1</v>
      </c>
      <c r="AA195" s="155">
        <v>1</v>
      </c>
      <c r="AB195" s="155">
        <v>1</v>
      </c>
      <c r="AC195" s="155">
        <v>1</v>
      </c>
      <c r="AD195" s="155">
        <v>1</v>
      </c>
      <c r="AE195" s="155">
        <v>1</v>
      </c>
      <c r="AF195" s="155">
        <v>1</v>
      </c>
      <c r="AG195" s="155">
        <v>1</v>
      </c>
      <c r="AH195" s="155">
        <v>1</v>
      </c>
      <c r="AI195" s="155">
        <v>1</v>
      </c>
      <c r="AJ195" s="155">
        <v>1</v>
      </c>
      <c r="AK195" s="155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7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74"/>
        <v>1</v>
      </c>
      <c r="H196" s="48">
        <f t="shared" si="75"/>
        <v>1</v>
      </c>
      <c r="I196" s="48">
        <f t="shared" si="75"/>
        <v>1</v>
      </c>
      <c r="J196" s="48">
        <f t="shared" si="75"/>
        <v>1</v>
      </c>
      <c r="K196" s="48">
        <f t="shared" si="75"/>
        <v>1</v>
      </c>
      <c r="L196" s="48">
        <f t="shared" si="75"/>
        <v>1</v>
      </c>
      <c r="M196" s="48">
        <f t="shared" si="75"/>
        <v>1</v>
      </c>
      <c r="N196" s="215"/>
      <c r="O196" s="108">
        <v>194</v>
      </c>
      <c r="P196" s="108">
        <v>0</v>
      </c>
      <c r="Q196" s="155">
        <v>1</v>
      </c>
      <c r="R196" s="155">
        <v>1</v>
      </c>
      <c r="S196" s="155">
        <v>1</v>
      </c>
      <c r="T196" s="155">
        <v>1</v>
      </c>
      <c r="U196" s="155">
        <v>1</v>
      </c>
      <c r="V196" s="155">
        <v>1</v>
      </c>
      <c r="W196" s="155">
        <v>1</v>
      </c>
      <c r="X196" s="191">
        <v>1</v>
      </c>
      <c r="Y196" s="155">
        <v>1</v>
      </c>
      <c r="Z196" s="155">
        <v>1</v>
      </c>
      <c r="AA196" s="155">
        <v>1</v>
      </c>
      <c r="AB196" s="155">
        <v>1</v>
      </c>
      <c r="AC196" s="155">
        <v>1</v>
      </c>
      <c r="AD196" s="155">
        <v>1</v>
      </c>
      <c r="AE196" s="155">
        <v>1</v>
      </c>
      <c r="AF196" s="155">
        <v>1</v>
      </c>
      <c r="AG196" s="155">
        <v>1</v>
      </c>
      <c r="AH196" s="155">
        <v>1</v>
      </c>
      <c r="AI196" s="155">
        <v>1</v>
      </c>
      <c r="AJ196" s="155">
        <v>1</v>
      </c>
      <c r="AK196" s="155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7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74"/>
        <v>1</v>
      </c>
      <c r="H197" s="48">
        <f t="shared" si="75"/>
        <v>1</v>
      </c>
      <c r="I197" s="48">
        <f t="shared" si="75"/>
        <v>1</v>
      </c>
      <c r="J197" s="48">
        <f t="shared" si="75"/>
        <v>1</v>
      </c>
      <c r="K197" s="48">
        <f t="shared" si="75"/>
        <v>1</v>
      </c>
      <c r="L197" s="48">
        <f t="shared" si="75"/>
        <v>1</v>
      </c>
      <c r="M197" s="48">
        <f t="shared" si="75"/>
        <v>1</v>
      </c>
      <c r="N197" s="215"/>
      <c r="O197" s="108">
        <v>195</v>
      </c>
      <c r="P197" s="108">
        <v>0</v>
      </c>
      <c r="Q197" s="155">
        <v>1</v>
      </c>
      <c r="R197" s="155">
        <v>1</v>
      </c>
      <c r="S197" s="155">
        <v>1</v>
      </c>
      <c r="T197" s="155">
        <v>1</v>
      </c>
      <c r="U197" s="155">
        <v>1</v>
      </c>
      <c r="V197" s="155">
        <v>1</v>
      </c>
      <c r="W197" s="155">
        <v>1</v>
      </c>
      <c r="X197" s="191">
        <v>1</v>
      </c>
      <c r="Y197" s="155">
        <v>1</v>
      </c>
      <c r="Z197" s="155">
        <v>1</v>
      </c>
      <c r="AA197" s="155">
        <v>1</v>
      </c>
      <c r="AB197" s="155">
        <v>1</v>
      </c>
      <c r="AC197" s="155">
        <v>1</v>
      </c>
      <c r="AD197" s="155">
        <v>1</v>
      </c>
      <c r="AE197" s="155">
        <v>1</v>
      </c>
      <c r="AF197" s="155">
        <v>1</v>
      </c>
      <c r="AG197" s="155">
        <v>1</v>
      </c>
      <c r="AH197" s="155">
        <v>1</v>
      </c>
      <c r="AI197" s="155">
        <v>1</v>
      </c>
      <c r="AJ197" s="155">
        <v>1</v>
      </c>
      <c r="AK197" s="155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7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74"/>
        <v>2722.7979999999998</v>
      </c>
      <c r="H198" s="51">
        <f t="shared" si="75"/>
        <v>2722.7979999999998</v>
      </c>
      <c r="I198" s="51">
        <f t="shared" si="75"/>
        <v>2722.7979999999998</v>
      </c>
      <c r="J198" s="51">
        <f t="shared" si="75"/>
        <v>2722.7979999999998</v>
      </c>
      <c r="K198" s="51">
        <f t="shared" si="75"/>
        <v>2722.7979999999998</v>
      </c>
      <c r="L198" s="51">
        <f t="shared" si="75"/>
        <v>2722.7979999999998</v>
      </c>
      <c r="M198" s="51">
        <f t="shared" si="75"/>
        <v>2722.7979999999998</v>
      </c>
      <c r="N198" s="207"/>
      <c r="O198" s="108">
        <v>196</v>
      </c>
      <c r="P198" s="108">
        <v>0</v>
      </c>
      <c r="Q198" s="155">
        <v>2722.7979999999998</v>
      </c>
      <c r="R198" s="155">
        <v>2722.7979999999998</v>
      </c>
      <c r="S198" s="155">
        <v>2722.7979999999998</v>
      </c>
      <c r="T198" s="155">
        <v>2722.7979999999998</v>
      </c>
      <c r="U198" s="155">
        <v>2722.7979999999998</v>
      </c>
      <c r="V198" s="155">
        <v>2722.7979999999998</v>
      </c>
      <c r="W198" s="155">
        <v>2722.7979999999998</v>
      </c>
      <c r="X198" s="191">
        <v>2722.7979999999998</v>
      </c>
      <c r="Y198" s="155">
        <v>2722.7979999999998</v>
      </c>
      <c r="Z198" s="155">
        <v>2722.7979999999998</v>
      </c>
      <c r="AA198" s="155">
        <v>2722.7979999999998</v>
      </c>
      <c r="AB198" s="155">
        <v>2722.7979999999998</v>
      </c>
      <c r="AC198" s="155">
        <v>2722.7979999999998</v>
      </c>
      <c r="AD198" s="155">
        <v>2722.7979999999998</v>
      </c>
      <c r="AE198" s="155">
        <v>2722.7979999999998</v>
      </c>
      <c r="AF198" s="155">
        <v>2722.7979999999998</v>
      </c>
      <c r="AG198" s="155">
        <v>2722.7979999999998</v>
      </c>
      <c r="AH198" s="155">
        <v>2722.7979999999998</v>
      </c>
      <c r="AI198" s="155">
        <v>2722.7979999999998</v>
      </c>
      <c r="AJ198" s="155">
        <v>2722.7979999999998</v>
      </c>
      <c r="AK198" s="155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7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74"/>
        <v>0.12859999999999999</v>
      </c>
      <c r="H199" s="48">
        <f t="shared" si="75"/>
        <v>0.12859999999999999</v>
      </c>
      <c r="I199" s="48">
        <f t="shared" si="75"/>
        <v>0.12859999999999999</v>
      </c>
      <c r="J199" s="48">
        <f t="shared" si="75"/>
        <v>0.12859999999999999</v>
      </c>
      <c r="K199" s="48">
        <f t="shared" si="75"/>
        <v>0.12859999999999999</v>
      </c>
      <c r="L199" s="48">
        <f t="shared" si="75"/>
        <v>0.12859999999999999</v>
      </c>
      <c r="M199" s="48">
        <f t="shared" si="75"/>
        <v>0.12859999999999999</v>
      </c>
      <c r="N199" s="215"/>
      <c r="O199" s="108">
        <v>197</v>
      </c>
      <c r="P199" s="108">
        <v>0</v>
      </c>
      <c r="Q199" s="155">
        <v>0.12859999999999999</v>
      </c>
      <c r="R199" s="155">
        <v>0.12859999999999999</v>
      </c>
      <c r="S199" s="155">
        <v>0.12859999999999999</v>
      </c>
      <c r="T199" s="155">
        <v>0.12859999999999999</v>
      </c>
      <c r="U199" s="155">
        <v>0.12859999999999999</v>
      </c>
      <c r="V199" s="155">
        <v>0.12859999999999999</v>
      </c>
      <c r="W199" s="155">
        <v>0.12859999999999999</v>
      </c>
      <c r="X199" s="191">
        <v>0.12859999999999999</v>
      </c>
      <c r="Y199" s="155">
        <v>0.12859999999999999</v>
      </c>
      <c r="Z199" s="155">
        <v>0.12859999999999999</v>
      </c>
      <c r="AA199" s="155">
        <v>0.12859999999999999</v>
      </c>
      <c r="AB199" s="155">
        <v>0.12859999999999999</v>
      </c>
      <c r="AC199" s="155">
        <v>0.12859999999999999</v>
      </c>
      <c r="AD199" s="155">
        <v>0.12859999999999999</v>
      </c>
      <c r="AE199" s="155">
        <v>0.12859999999999999</v>
      </c>
      <c r="AF199" s="155">
        <v>0.12859999999999999</v>
      </c>
      <c r="AG199" s="155">
        <v>0.12859999999999999</v>
      </c>
      <c r="AH199" s="155">
        <v>0.12859999999999999</v>
      </c>
      <c r="AI199" s="155">
        <v>0.12859999999999999</v>
      </c>
      <c r="AJ199" s="155">
        <v>0.12859999999999999</v>
      </c>
      <c r="AK199" s="155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7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5"/>
      <c r="O200" s="108">
        <v>198</v>
      </c>
      <c r="P200" s="108">
        <v>0</v>
      </c>
      <c r="Q200" s="155"/>
      <c r="R200" s="155"/>
      <c r="S200" s="155"/>
      <c r="T200" s="155"/>
      <c r="U200" s="155"/>
      <c r="V200" s="155"/>
      <c r="W200" s="155"/>
      <c r="X200" s="191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7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">
      <c r="A201" s="3"/>
      <c r="B201" s="9">
        <v>187</v>
      </c>
      <c r="C201" s="3"/>
      <c r="D201" s="3"/>
      <c r="E201" s="36"/>
      <c r="M201" s="89"/>
      <c r="O201" s="108">
        <v>199</v>
      </c>
      <c r="P201" s="108">
        <v>0</v>
      </c>
      <c r="Q201" s="155"/>
      <c r="R201" s="155"/>
      <c r="S201" s="155"/>
      <c r="T201" s="155"/>
      <c r="U201" s="155"/>
      <c r="V201" s="155"/>
      <c r="W201" s="155"/>
      <c r="X201" s="191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7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">
      <c r="A202" s="3"/>
      <c r="B202" s="9">
        <v>188</v>
      </c>
      <c r="C202" s="3"/>
      <c r="D202" s="3"/>
      <c r="E202" s="36"/>
      <c r="M202" s="89"/>
      <c r="O202" s="108">
        <v>200</v>
      </c>
      <c r="P202" s="108">
        <v>0</v>
      </c>
      <c r="Q202" s="155"/>
      <c r="R202" s="155"/>
      <c r="S202" s="155"/>
      <c r="T202" s="155"/>
      <c r="U202" s="155"/>
      <c r="V202" s="155"/>
      <c r="W202" s="155"/>
      <c r="X202" s="191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7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8">
        <v>201</v>
      </c>
      <c r="P203" s="108">
        <v>0</v>
      </c>
      <c r="Q203" s="155"/>
      <c r="R203" s="155"/>
      <c r="S203" s="155"/>
      <c r="T203" s="155"/>
      <c r="U203" s="155"/>
      <c r="V203" s="155"/>
      <c r="W203" s="155"/>
      <c r="X203" s="191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7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">
      <c r="A204" s="3"/>
      <c r="B204" s="9">
        <v>190</v>
      </c>
      <c r="C204" s="3"/>
      <c r="D204" s="3"/>
      <c r="E204" s="36"/>
      <c r="M204" s="89"/>
      <c r="O204" s="108">
        <v>202</v>
      </c>
      <c r="P204" s="108">
        <v>0</v>
      </c>
      <c r="Q204" s="155"/>
      <c r="R204" s="155"/>
      <c r="S204" s="155"/>
      <c r="T204" s="155"/>
      <c r="U204" s="155"/>
      <c r="V204" s="155"/>
      <c r="W204" s="155"/>
      <c r="X204" s="191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7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76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6"/>
      <c r="O205" s="108">
        <v>203</v>
      </c>
      <c r="P205" s="108">
        <v>0</v>
      </c>
      <c r="Q205" s="155">
        <v>1</v>
      </c>
      <c r="R205" s="155">
        <v>1</v>
      </c>
      <c r="S205" s="155">
        <v>1</v>
      </c>
      <c r="T205" s="155">
        <v>1</v>
      </c>
      <c r="U205" s="155">
        <v>1</v>
      </c>
      <c r="V205" s="155">
        <v>1</v>
      </c>
      <c r="W205" s="155">
        <v>1</v>
      </c>
      <c r="X205" s="191">
        <v>1</v>
      </c>
      <c r="Y205" s="155">
        <v>1</v>
      </c>
      <c r="Z205" s="155">
        <v>1</v>
      </c>
      <c r="AA205" s="155">
        <v>1</v>
      </c>
      <c r="AB205" s="155">
        <v>1</v>
      </c>
      <c r="AC205" s="155">
        <v>1</v>
      </c>
      <c r="AD205" s="155">
        <v>1</v>
      </c>
      <c r="AE205" s="155">
        <v>1</v>
      </c>
      <c r="AF205" s="155">
        <v>1</v>
      </c>
      <c r="AG205" s="155">
        <v>1</v>
      </c>
      <c r="AH205" s="155">
        <v>1</v>
      </c>
      <c r="AI205" s="155">
        <v>1</v>
      </c>
      <c r="AJ205" s="155">
        <v>1</v>
      </c>
      <c r="AK205" s="155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7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76"/>
        <v>-0.24270810720249281</v>
      </c>
      <c r="H206" s="47">
        <f t="shared" ref="H206:K209" si="77">LN(H152/H184)</f>
        <v>-0.25037299534274798</v>
      </c>
      <c r="I206" s="47">
        <f t="shared" si="77"/>
        <v>-0.26052475572606154</v>
      </c>
      <c r="J206" s="47">
        <f>LN(J152/J184)</f>
        <v>-0.26946757071835631</v>
      </c>
      <c r="K206" s="47">
        <f t="shared" si="77"/>
        <v>-1.0984457068761679</v>
      </c>
      <c r="L206" s="47">
        <f t="shared" ref="L206:M206" si="78">LN(L152/L184)</f>
        <v>-1.0984457068761679</v>
      </c>
      <c r="M206" s="47">
        <f t="shared" si="78"/>
        <v>-1.0984457068761679</v>
      </c>
      <c r="N206" s="216"/>
      <c r="O206" s="108">
        <v>204</v>
      </c>
      <c r="P206" s="108">
        <v>0</v>
      </c>
      <c r="Q206" s="155">
        <v>-0.31183610416745128</v>
      </c>
      <c r="R206" s="155">
        <v>-8.0039684705149744E-2</v>
      </c>
      <c r="S206" s="155">
        <v>-0.13985829620617085</v>
      </c>
      <c r="T206" s="155">
        <v>-0.21930946434561574</v>
      </c>
      <c r="U206" s="155">
        <v>-0.15524366017548177</v>
      </c>
      <c r="V206" s="155">
        <v>-0.27169581891914757</v>
      </c>
      <c r="W206" s="155">
        <v>-0.14135074203949197</v>
      </c>
      <c r="X206" s="191">
        <v>-0.20429583752511904</v>
      </c>
      <c r="Y206" s="155">
        <v>-0.152894851631204</v>
      </c>
      <c r="Z206" s="155">
        <v>-0.10543024881456373</v>
      </c>
      <c r="AA206" s="155">
        <v>-0.30412260037816879</v>
      </c>
      <c r="AB206" s="155">
        <v>-0.33510444355350016</v>
      </c>
      <c r="AC206" s="155">
        <v>-0.24270810720249281</v>
      </c>
      <c r="AD206" s="155">
        <v>-0.17369912687138933</v>
      </c>
      <c r="AE206" s="155">
        <v>-0.33510444355350016</v>
      </c>
      <c r="AF206" s="155">
        <v>-0.1797186907943899</v>
      </c>
      <c r="AG206" s="155">
        <v>-0.152894851631204</v>
      </c>
      <c r="AH206" s="155">
        <v>-0.33510444355350016</v>
      </c>
      <c r="AI206" s="155">
        <v>-0.1563560479840595</v>
      </c>
      <c r="AJ206" s="155">
        <v>-0.13985829620617085</v>
      </c>
      <c r="AK206" s="155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7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76"/>
        <v>-9.8517847989374227E-2</v>
      </c>
      <c r="H207" s="47">
        <f t="shared" si="77"/>
        <v>-9.1858555899397232E-2</v>
      </c>
      <c r="I207" s="47">
        <f t="shared" si="77"/>
        <v>-8.467685637055368E-2</v>
      </c>
      <c r="J207" s="47">
        <f t="shared" si="77"/>
        <v>-7.7495251371849525E-2</v>
      </c>
      <c r="K207" s="47" t="e">
        <f t="shared" si="77"/>
        <v>#NUM!</v>
      </c>
      <c r="L207" s="47" t="e">
        <f t="shared" ref="L207:M207" si="79">LN(L153/L185)</f>
        <v>#NUM!</v>
      </c>
      <c r="M207" s="47" t="e">
        <f t="shared" si="79"/>
        <v>#NUM!</v>
      </c>
      <c r="N207" s="216"/>
      <c r="O207" s="108">
        <v>205</v>
      </c>
      <c r="P207" s="108">
        <v>0</v>
      </c>
      <c r="Q207" s="155">
        <v>2.7490027436787368</v>
      </c>
      <c r="R207" s="155">
        <v>-1.6884336159280655</v>
      </c>
      <c r="S207" s="155">
        <v>-3.6575614824885534</v>
      </c>
      <c r="T207" s="155">
        <v>-0.54728422729040105</v>
      </c>
      <c r="U207" s="155">
        <v>-0.46331409134113644</v>
      </c>
      <c r="V207" s="155">
        <v>6.8809242063329196E-2</v>
      </c>
      <c r="W207" s="155">
        <v>-0.77407290847942123</v>
      </c>
      <c r="X207" s="191">
        <v>-2.2007676429228682</v>
      </c>
      <c r="Y207" s="155">
        <v>-3.9608496211564854</v>
      </c>
      <c r="Z207" s="155">
        <v>-1.2928858499955764</v>
      </c>
      <c r="AA207" s="155">
        <v>-3.3147350442204968</v>
      </c>
      <c r="AB207" s="155">
        <v>-1.631151974082975</v>
      </c>
      <c r="AC207" s="155">
        <v>3.0767698003231397E-2</v>
      </c>
      <c r="AD207" s="155">
        <v>-6.9113797488166498E-2</v>
      </c>
      <c r="AE207" s="155">
        <v>0.33857342749506164</v>
      </c>
      <c r="AF207" s="155">
        <v>-1.1927203307300358</v>
      </c>
      <c r="AG207" s="155">
        <v>-2.9549845742604561</v>
      </c>
      <c r="AH207" s="155">
        <v>-0.74808514784529445</v>
      </c>
      <c r="AI207" s="155">
        <v>-1.0878744470047821</v>
      </c>
      <c r="AJ207" s="155">
        <v>-2.8293941036999257</v>
      </c>
      <c r="AK207" s="155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7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76"/>
        <v>-0.15650236525389549</v>
      </c>
      <c r="H208" s="47">
        <f t="shared" si="77"/>
        <v>-0.15650236525389549</v>
      </c>
      <c r="I208" s="47">
        <f t="shared" si="77"/>
        <v>-0.15650236525389549</v>
      </c>
      <c r="J208" s="47">
        <f t="shared" si="77"/>
        <v>-0.15650236525389549</v>
      </c>
      <c r="K208" s="47">
        <f t="shared" si="77"/>
        <v>-0.15650236525389549</v>
      </c>
      <c r="L208" s="47">
        <f t="shared" ref="L208:M208" si="80">LN(L154/L186)</f>
        <v>-0.15650236525389549</v>
      </c>
      <c r="M208" s="47">
        <f t="shared" si="80"/>
        <v>-0.15650236525389549</v>
      </c>
      <c r="N208" s="216"/>
      <c r="O208" s="108">
        <v>206</v>
      </c>
      <c r="P208" s="108">
        <v>0</v>
      </c>
      <c r="Q208" s="155">
        <v>2.8237614228197381</v>
      </c>
      <c r="R208" s="155">
        <v>-1.9860347431623011</v>
      </c>
      <c r="S208" s="155">
        <v>-3.6780697330692242</v>
      </c>
      <c r="T208" s="155">
        <v>-0.45318585197698569</v>
      </c>
      <c r="U208" s="155">
        <v>-0.55771906477201194</v>
      </c>
      <c r="V208" s="155">
        <v>9.5436827819632281E-2</v>
      </c>
      <c r="W208" s="155">
        <v>-1.0821889109311928</v>
      </c>
      <c r="X208" s="191">
        <v>-2.1564147945557934</v>
      </c>
      <c r="Y208" s="155">
        <v>-3.6602293644396093</v>
      </c>
      <c r="Z208" s="155">
        <v>-1.5879794047418916</v>
      </c>
      <c r="AA208" s="155">
        <v>-3.8627789121003433</v>
      </c>
      <c r="AB208" s="155">
        <v>-1.6601596964395595</v>
      </c>
      <c r="AC208" s="155">
        <v>0.10264040169574182</v>
      </c>
      <c r="AD208" s="155">
        <v>-9.3016900672931627E-2</v>
      </c>
      <c r="AE208" s="155">
        <v>0.6433089907071281</v>
      </c>
      <c r="AF208" s="155">
        <v>-1.1554829143376621</v>
      </c>
      <c r="AG208" s="155">
        <v>-3.0972886194201137</v>
      </c>
      <c r="AH208" s="155">
        <v>-0.87814091403536998</v>
      </c>
      <c r="AI208" s="155">
        <v>-1.1283433445232467</v>
      </c>
      <c r="AJ208" s="155">
        <v>-2.9069280489595708</v>
      </c>
      <c r="AK208" s="155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7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76"/>
        <v>-0.11545893792207573</v>
      </c>
      <c r="H209" s="47">
        <f t="shared" si="77"/>
        <v>-0.12986697748588866</v>
      </c>
      <c r="I209" s="47">
        <f t="shared" si="77"/>
        <v>-0.12871969911250983</v>
      </c>
      <c r="J209" s="47">
        <f t="shared" si="77"/>
        <v>-0.12830997854577242</v>
      </c>
      <c r="K209" s="47" t="e">
        <f t="shared" si="77"/>
        <v>#NUM!</v>
      </c>
      <c r="L209" s="47" t="e">
        <f t="shared" ref="L209:M209" si="81">LN(L155/L187)</f>
        <v>#NUM!</v>
      </c>
      <c r="M209" s="47" t="e">
        <f t="shared" si="81"/>
        <v>#NUM!</v>
      </c>
      <c r="N209" s="216"/>
      <c r="O209" s="108">
        <v>207</v>
      </c>
      <c r="P209" s="108">
        <v>0</v>
      </c>
      <c r="Q209" s="155">
        <v>2.7412438646153894</v>
      </c>
      <c r="R209" s="155">
        <v>-1.9849409906392934</v>
      </c>
      <c r="S209" s="155">
        <v>-4.0045119533866425</v>
      </c>
      <c r="T209" s="155">
        <v>-0.50363325442534623</v>
      </c>
      <c r="U209" s="155">
        <v>-0.51595737702342637</v>
      </c>
      <c r="V209" s="155">
        <v>-2.6874568426791059E-2</v>
      </c>
      <c r="W209" s="155">
        <v>-1.2364399579251588</v>
      </c>
      <c r="X209" s="191">
        <v>-2.4393384340729325</v>
      </c>
      <c r="Y209" s="155">
        <v>-4.2090195418330865</v>
      </c>
      <c r="Z209" s="155">
        <v>-1.6676199752723506</v>
      </c>
      <c r="AA209" s="155">
        <v>-4.0277421695419156</v>
      </c>
      <c r="AB209" s="155">
        <v>-1.8965911845735921</v>
      </c>
      <c r="AC209" s="155">
        <v>3.7761241172142725E-2</v>
      </c>
      <c r="AD209" s="155">
        <v>-0.29658413258313582</v>
      </c>
      <c r="AE209" s="155">
        <v>0.3987077893972733</v>
      </c>
      <c r="AF209" s="155">
        <v>-1.1684018661498428</v>
      </c>
      <c r="AG209" s="155">
        <v>-3.3634273802794379</v>
      </c>
      <c r="AH209" s="155">
        <v>-1.1540218367352346</v>
      </c>
      <c r="AI209" s="155">
        <v>-0.98314804878554685</v>
      </c>
      <c r="AJ209" s="155">
        <v>-3.1018100605668026</v>
      </c>
      <c r="AK209" s="155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7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76"/>
        <v>2.9453612650908369E-2</v>
      </c>
      <c r="H210" s="47">
        <f t="shared" ref="H210:K213" si="82">H206*H206/2</f>
        <v>3.1343318398449851E-2</v>
      </c>
      <c r="I210" s="47">
        <f t="shared" si="82"/>
        <v>3.393657417306202E-2</v>
      </c>
      <c r="J210" s="47">
        <f t="shared" si="82"/>
        <v>3.6306385834426178E-2</v>
      </c>
      <c r="K210" s="47">
        <f t="shared" si="82"/>
        <v>0.60329148547734213</v>
      </c>
      <c r="L210" s="47">
        <f t="shared" ref="L210:M210" si="83">L206*L206/2</f>
        <v>0.60329148547734213</v>
      </c>
      <c r="M210" s="47">
        <f t="shared" si="83"/>
        <v>0.60329148547734213</v>
      </c>
      <c r="N210" s="216"/>
      <c r="O210" s="108">
        <v>208</v>
      </c>
      <c r="P210" s="108">
        <v>0</v>
      </c>
      <c r="Q210" s="155">
        <v>4.8620877931166762E-2</v>
      </c>
      <c r="R210" s="155">
        <v>3.2031755638498908E-3</v>
      </c>
      <c r="S210" s="155">
        <v>9.7801715088465125E-3</v>
      </c>
      <c r="T210" s="155">
        <v>2.4048320575780449E-2</v>
      </c>
      <c r="U210" s="155">
        <v>1.2050297012340233E-2</v>
      </c>
      <c r="V210" s="155">
        <v>3.6909309009073112E-2</v>
      </c>
      <c r="W210" s="155">
        <v>9.990016137557501E-3</v>
      </c>
      <c r="X210" s="191">
        <v>2.086839461504492E-2</v>
      </c>
      <c r="Y210" s="155">
        <v>1.1688417827663942E-2</v>
      </c>
      <c r="Z210" s="155">
        <v>5.5577686825504079E-3</v>
      </c>
      <c r="AA210" s="155">
        <v>4.6245278030389678E-2</v>
      </c>
      <c r="AB210" s="155">
        <v>5.6147494044650491E-2</v>
      </c>
      <c r="AC210" s="155">
        <v>2.9453612650908369E-2</v>
      </c>
      <c r="AD210" s="155">
        <v>1.5085693337941504E-2</v>
      </c>
      <c r="AE210" s="155">
        <v>5.6147494044650491E-2</v>
      </c>
      <c r="AF210" s="155">
        <v>1.6149403910424763E-2</v>
      </c>
      <c r="AG210" s="155">
        <v>1.1688417827663942E-2</v>
      </c>
      <c r="AH210" s="155">
        <v>5.6147494044650491E-2</v>
      </c>
      <c r="AI210" s="155">
        <v>1.2223606870596758E-2</v>
      </c>
      <c r="AJ210" s="155">
        <v>9.7801715088465125E-3</v>
      </c>
      <c r="AK210" s="155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7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76"/>
        <v>4.852883186228724E-3</v>
      </c>
      <c r="H211" s="47">
        <f t="shared" si="82"/>
        <v>4.2189971459613432E-3</v>
      </c>
      <c r="I211" s="47">
        <f t="shared" si="82"/>
        <v>3.5850850023996885E-3</v>
      </c>
      <c r="J211" s="47">
        <f t="shared" si="82"/>
        <v>3.0027569925930729E-3</v>
      </c>
      <c r="K211" s="47" t="e">
        <f t="shared" si="82"/>
        <v>#NUM!</v>
      </c>
      <c r="L211" s="47" t="e">
        <f t="shared" ref="L211:M211" si="84">L207*L207/2</f>
        <v>#NUM!</v>
      </c>
      <c r="M211" s="47" t="e">
        <f t="shared" si="84"/>
        <v>#NUM!</v>
      </c>
      <c r="N211" s="216"/>
      <c r="O211" s="108">
        <v>209</v>
      </c>
      <c r="P211" s="108">
        <v>0</v>
      </c>
      <c r="Q211" s="155">
        <v>3.7785080423766111</v>
      </c>
      <c r="R211" s="155">
        <v>1.4254040376979611</v>
      </c>
      <c r="S211" s="155">
        <v>6.6888779990919325</v>
      </c>
      <c r="T211" s="155">
        <v>0.14976001272042569</v>
      </c>
      <c r="U211" s="155">
        <v>0.10732997361763146</v>
      </c>
      <c r="V211" s="155">
        <v>2.3673558966649162E-3</v>
      </c>
      <c r="W211" s="155">
        <v>0.29959443382089523</v>
      </c>
      <c r="X211" s="191">
        <v>2.4216891090681387</v>
      </c>
      <c r="Y211" s="155">
        <v>7.8441648607077372</v>
      </c>
      <c r="Z211" s="155">
        <v>0.83577691055939207</v>
      </c>
      <c r="AA211" s="155">
        <v>5.4937342066917294</v>
      </c>
      <c r="AB211" s="155">
        <v>1.3303283812773932</v>
      </c>
      <c r="AC211" s="155">
        <v>4.7332562020902468E-4</v>
      </c>
      <c r="AD211" s="155">
        <v>2.3883585016176447E-3</v>
      </c>
      <c r="AE211" s="155">
        <v>5.7315982902876879E-2</v>
      </c>
      <c r="AF211" s="155">
        <v>0.71129089366838305</v>
      </c>
      <c r="AG211" s="155">
        <v>4.3659669170586248</v>
      </c>
      <c r="AH211" s="155">
        <v>0.279815694213358</v>
      </c>
      <c r="AI211" s="155">
        <v>0.59173540622298026</v>
      </c>
      <c r="AJ211" s="155">
        <v>4.0027354970259532</v>
      </c>
      <c r="AK211" s="155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7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76"/>
        <v>1.2246495165031858E-2</v>
      </c>
      <c r="H212" s="47">
        <f t="shared" si="82"/>
        <v>1.2246495165031858E-2</v>
      </c>
      <c r="I212" s="47">
        <f t="shared" si="82"/>
        <v>1.2246495165031858E-2</v>
      </c>
      <c r="J212" s="47">
        <f t="shared" si="82"/>
        <v>1.2246495165031858E-2</v>
      </c>
      <c r="K212" s="47">
        <f t="shared" si="82"/>
        <v>1.2246495165031858E-2</v>
      </c>
      <c r="L212" s="47">
        <f t="shared" ref="L212:M212" si="85">L208*L208/2</f>
        <v>1.2246495165031858E-2</v>
      </c>
      <c r="M212" s="47">
        <f t="shared" si="85"/>
        <v>1.2246495165031858E-2</v>
      </c>
      <c r="N212" s="216"/>
      <c r="O212" s="108">
        <v>210</v>
      </c>
      <c r="P212" s="108">
        <v>0</v>
      </c>
      <c r="Q212" s="155">
        <v>3.9868142865024758</v>
      </c>
      <c r="R212" s="155">
        <v>1.9721670005238736</v>
      </c>
      <c r="S212" s="155">
        <v>6.7640984806599569</v>
      </c>
      <c r="T212" s="155">
        <v>0.10268870821605319</v>
      </c>
      <c r="U212" s="155">
        <v>0.15552527760508383</v>
      </c>
      <c r="V212" s="155">
        <v>4.5540940521370688E-3</v>
      </c>
      <c r="W212" s="155">
        <v>0.58556641947122068</v>
      </c>
      <c r="X212" s="191">
        <v>2.3250623830895525</v>
      </c>
      <c r="Y212" s="155">
        <v>6.6986395001529928</v>
      </c>
      <c r="Z212" s="155">
        <v>1.2608392949422063</v>
      </c>
      <c r="AA212" s="155">
        <v>7.4605304618835557</v>
      </c>
      <c r="AB212" s="155">
        <v>1.3780651088411453</v>
      </c>
      <c r="AC212" s="155">
        <v>5.2675260301316201E-3</v>
      </c>
      <c r="AD212" s="155">
        <v>4.3260719053990144E-3</v>
      </c>
      <c r="AE212" s="155">
        <v>0.20692322876231192</v>
      </c>
      <c r="AF212" s="155">
        <v>0.66757038266312851</v>
      </c>
      <c r="AG212" s="155">
        <v>4.7965983959946765</v>
      </c>
      <c r="AH212" s="155">
        <v>0.38556573245143755</v>
      </c>
      <c r="AI212" s="155">
        <v>0.63657935156495304</v>
      </c>
      <c r="AJ212" s="155">
        <v>4.2251153409139484</v>
      </c>
      <c r="AK212" s="155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7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76"/>
        <v>6.6653831730468689E-3</v>
      </c>
      <c r="H213" s="47">
        <f t="shared" si="82"/>
        <v>8.4327159206601561E-3</v>
      </c>
      <c r="I213" s="47">
        <f t="shared" si="82"/>
        <v>8.2843804698075323E-3</v>
      </c>
      <c r="J213" s="47">
        <f t="shared" si="82"/>
        <v>8.2317252972082897E-3</v>
      </c>
      <c r="K213" s="47" t="e">
        <f t="shared" si="82"/>
        <v>#NUM!</v>
      </c>
      <c r="L213" s="47" t="e">
        <f t="shared" ref="L213:M213" si="86">L209*L209/2</f>
        <v>#NUM!</v>
      </c>
      <c r="M213" s="47" t="e">
        <f t="shared" si="86"/>
        <v>#NUM!</v>
      </c>
      <c r="N213" s="216"/>
      <c r="O213" s="108">
        <v>211</v>
      </c>
      <c r="P213" s="108">
        <v>0</v>
      </c>
      <c r="Q213" s="155">
        <v>3.7572089626457577</v>
      </c>
      <c r="R213" s="155">
        <v>1.9699953681600497</v>
      </c>
      <c r="S213" s="155">
        <v>8.0180579924082522</v>
      </c>
      <c r="T213" s="155">
        <v>0.12682322748153277</v>
      </c>
      <c r="U213" s="155">
        <v>0.13310600745244708</v>
      </c>
      <c r="V213" s="155">
        <v>3.6112121406313744E-4</v>
      </c>
      <c r="W213" s="155">
        <v>0.76439188477698428</v>
      </c>
      <c r="X213" s="191">
        <v>2.9751859979726931</v>
      </c>
      <c r="Y213" s="155">
        <v>8.8579227517664023</v>
      </c>
      <c r="Z213" s="155">
        <v>1.3904781909636776</v>
      </c>
      <c r="AA213" s="155">
        <v>8.1113534921531087</v>
      </c>
      <c r="AB213" s="155">
        <v>1.7985290607011306</v>
      </c>
      <c r="AC213" s="155">
        <v>7.129556674303634E-4</v>
      </c>
      <c r="AD213" s="155">
        <v>4.3981073850045543E-2</v>
      </c>
      <c r="AE213" s="155">
        <v>7.9483950663030226E-2</v>
      </c>
      <c r="AF213" s="155">
        <v>0.68258146041121759</v>
      </c>
      <c r="AG213" s="155">
        <v>5.6563218712067016</v>
      </c>
      <c r="AH213" s="155">
        <v>0.66588319983088229</v>
      </c>
      <c r="AI213" s="155">
        <v>0.483290042915414</v>
      </c>
      <c r="AJ213" s="155">
        <v>4.8106128259167162</v>
      </c>
      <c r="AK213" s="155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7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76"/>
        <v>2.3911080411163931E-2</v>
      </c>
      <c r="H214" s="47">
        <f t="shared" ref="H214:K214" si="87">H206*H207</f>
        <v>2.2998901788391337E-2</v>
      </c>
      <c r="I214" s="47">
        <f t="shared" si="87"/>
        <v>2.2060417321589296E-2</v>
      </c>
      <c r="J214" s="47">
        <f t="shared" si="87"/>
        <v>2.0882457129380659E-2</v>
      </c>
      <c r="K214" s="47" t="e">
        <f t="shared" si="87"/>
        <v>#NUM!</v>
      </c>
      <c r="L214" s="47" t="e">
        <f t="shared" ref="L214:M214" si="88">L206*L207</f>
        <v>#NUM!</v>
      </c>
      <c r="M214" s="47" t="e">
        <f t="shared" si="88"/>
        <v>#NUM!</v>
      </c>
      <c r="N214" s="216"/>
      <c r="O214" s="108">
        <v>212</v>
      </c>
      <c r="P214" s="108">
        <v>0</v>
      </c>
      <c r="Q214" s="155">
        <v>-0.85723830593441197</v>
      </c>
      <c r="R214" s="155">
        <v>0.13514169426445827</v>
      </c>
      <c r="S214" s="155">
        <v>0.51154031721016546</v>
      </c>
      <c r="T214" s="155">
        <v>0.12002461073186207</v>
      </c>
      <c r="U214" s="155">
        <v>7.1926575350675509E-2</v>
      </c>
      <c r="V214" s="155">
        <v>-1.869518337160208E-2</v>
      </c>
      <c r="W214" s="155">
        <v>0.10941578000623395</v>
      </c>
      <c r="X214" s="191">
        <v>0.44960766880910946</v>
      </c>
      <c r="Y214" s="155">
        <v>0.60559351516023141</v>
      </c>
      <c r="Z214" s="155">
        <v>0.13630927685386235</v>
      </c>
      <c r="AA214" s="155">
        <v>1.0080858412129818</v>
      </c>
      <c r="AB214" s="155">
        <v>0.54660627462626865</v>
      </c>
      <c r="AC214" s="155">
        <v>-7.4675697453422101E-3</v>
      </c>
      <c r="AD214" s="155">
        <v>1.2005006278460541E-2</v>
      </c>
      <c r="AE214" s="155">
        <v>-0.11345746002273396</v>
      </c>
      <c r="AF214" s="155">
        <v>0.21435413632265377</v>
      </c>
      <c r="AG214" s="155">
        <v>0.45180192805404895</v>
      </c>
      <c r="AH214" s="155">
        <v>0.25068665719933531</v>
      </c>
      <c r="AI214" s="155">
        <v>0.17009574923651191</v>
      </c>
      <c r="AJ214" s="155">
        <v>0.39571423863925748</v>
      </c>
      <c r="AK214" s="155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7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76"/>
        <v>3.7984392843486155E-2</v>
      </c>
      <c r="H215" s="47">
        <f t="shared" ref="H215:K215" si="89">H206*H208</f>
        <v>3.9183965966842621E-2</v>
      </c>
      <c r="I215" s="47">
        <f t="shared" si="89"/>
        <v>4.0772740478321981E-2</v>
      </c>
      <c r="J215" s="47">
        <f t="shared" si="89"/>
        <v>4.2172312176644113E-2</v>
      </c>
      <c r="K215" s="47">
        <f t="shared" si="89"/>
        <v>0.17190935122910747</v>
      </c>
      <c r="L215" s="47">
        <f t="shared" ref="L215:M215" si="90">L206*L208</f>
        <v>0.17190935122910747</v>
      </c>
      <c r="M215" s="47">
        <f t="shared" si="90"/>
        <v>0.17190935122910747</v>
      </c>
      <c r="N215" s="216"/>
      <c r="O215" s="108">
        <v>213</v>
      </c>
      <c r="P215" s="108">
        <v>0</v>
      </c>
      <c r="Q215" s="155">
        <v>-0.88055076119044629</v>
      </c>
      <c r="R215" s="155">
        <v>0.15896159465618362</v>
      </c>
      <c r="S215" s="155">
        <v>0.51440856619454733</v>
      </c>
      <c r="T215" s="155">
        <v>9.938794644608423E-2</v>
      </c>
      <c r="U215" s="155">
        <v>8.6582348964853728E-2</v>
      </c>
      <c r="V215" s="155">
        <v>-2.5929787089500677E-2</v>
      </c>
      <c r="W215" s="155">
        <v>0.15296820558703378</v>
      </c>
      <c r="X215" s="191">
        <v>0.4405465665053333</v>
      </c>
      <c r="Y215" s="155">
        <v>0.55963022561217024</v>
      </c>
      <c r="Z215" s="155">
        <v>0.16742106375434043</v>
      </c>
      <c r="AA215" s="155">
        <v>1.1747583674339104</v>
      </c>
      <c r="AB215" s="155">
        <v>0.55632689128532631</v>
      </c>
      <c r="AC215" s="155">
        <v>-2.4911657618077031E-2</v>
      </c>
      <c r="AD215" s="155">
        <v>1.6156954431170972E-2</v>
      </c>
      <c r="AE215" s="155">
        <v>-0.21557570136387597</v>
      </c>
      <c r="AF215" s="155">
        <v>0.20766187660005081</v>
      </c>
      <c r="AG215" s="155">
        <v>0.47355948392525499</v>
      </c>
      <c r="AH215" s="155">
        <v>0.29426892235938468</v>
      </c>
      <c r="AI215" s="155">
        <v>0.17642330611877094</v>
      </c>
      <c r="AJ215" s="155">
        <v>0.40655800412141396</v>
      </c>
      <c r="AK215" s="155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7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76"/>
        <v>2.8022820282677118E-2</v>
      </c>
      <c r="H216" s="47">
        <f t="shared" ref="H216:K216" si="91">H206*H209</f>
        <v>3.2515184149251156E-2</v>
      </c>
      <c r="I216" s="47">
        <f t="shared" si="91"/>
        <v>3.3534668168418762E-2</v>
      </c>
      <c r="J216" s="47">
        <f t="shared" si="91"/>
        <v>3.4575378217653711E-2</v>
      </c>
      <c r="K216" s="47" t="e">
        <f t="shared" si="91"/>
        <v>#NUM!</v>
      </c>
      <c r="L216" s="47" t="e">
        <f t="shared" ref="L216:M216" si="92">L206*L209</f>
        <v>#NUM!</v>
      </c>
      <c r="M216" s="47" t="e">
        <f t="shared" si="92"/>
        <v>#NUM!</v>
      </c>
      <c r="N216" s="216"/>
      <c r="O216" s="108">
        <v>214</v>
      </c>
      <c r="P216" s="108">
        <v>0</v>
      </c>
      <c r="Q216" s="155">
        <v>-0.85481880731459126</v>
      </c>
      <c r="R216" s="155">
        <v>0.15887405104909663</v>
      </c>
      <c r="S216" s="155">
        <v>0.56006421893790093</v>
      </c>
      <c r="T216" s="155">
        <v>0.11045153925466189</v>
      </c>
      <c r="U216" s="155">
        <v>8.009911170365773E-2</v>
      </c>
      <c r="V216" s="155">
        <v>7.3017078768156645E-3</v>
      </c>
      <c r="W216" s="155">
        <v>0.17477170553999943</v>
      </c>
      <c r="X216" s="191">
        <v>0.4983466883961421</v>
      </c>
      <c r="Y216" s="155">
        <v>0.64353741836140799</v>
      </c>
      <c r="Z216" s="155">
        <v>0.17581758892110053</v>
      </c>
      <c r="AA216" s="155">
        <v>1.2249274222538946</v>
      </c>
      <c r="AB216" s="155">
        <v>0.63555613355500729</v>
      </c>
      <c r="AC216" s="155">
        <v>-9.1649593705076023E-3</v>
      </c>
      <c r="AD216" s="155">
        <v>5.1516404873599063E-2</v>
      </c>
      <c r="AE216" s="155">
        <v>-0.13360875190641941</v>
      </c>
      <c r="AF216" s="155">
        <v>0.20998365370617172</v>
      </c>
      <c r="AG216" s="155">
        <v>0.51425073028015378</v>
      </c>
      <c r="AH216" s="155">
        <v>0.38671784544774901</v>
      </c>
      <c r="AI216" s="155">
        <v>0.15372114349134744</v>
      </c>
      <c r="AJ216" s="155">
        <v>0.43381387022603263</v>
      </c>
      <c r="AK216" s="155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7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76"/>
        <v>1.5418276230060798E-2</v>
      </c>
      <c r="H217" s="47">
        <f t="shared" ref="H217:K217" si="93">H207*H208</f>
        <v>1.4376081267062843E-2</v>
      </c>
      <c r="I217" s="47">
        <f t="shared" si="93"/>
        <v>1.3252128304256039E-2</v>
      </c>
      <c r="J217" s="47">
        <f t="shared" si="93"/>
        <v>1.2128190135639641E-2</v>
      </c>
      <c r="K217" s="47" t="e">
        <f t="shared" si="93"/>
        <v>#NUM!</v>
      </c>
      <c r="L217" s="47" t="e">
        <f t="shared" ref="L217:M217" si="94">L207*L208</f>
        <v>#NUM!</v>
      </c>
      <c r="M217" s="47" t="e">
        <f t="shared" si="94"/>
        <v>#NUM!</v>
      </c>
      <c r="N217" s="216"/>
      <c r="O217" s="108">
        <v>215</v>
      </c>
      <c r="P217" s="108">
        <v>0</v>
      </c>
      <c r="Q217" s="155">
        <v>7.7625278988256339</v>
      </c>
      <c r="R217" s="155">
        <v>3.353287822756291</v>
      </c>
      <c r="S217" s="155">
        <v>13.45276618558095</v>
      </c>
      <c r="T217" s="155">
        <v>0.24802146881816667</v>
      </c>
      <c r="U217" s="155">
        <v>0.25839910171847313</v>
      </c>
      <c r="V217" s="155">
        <v>6.5669357871973475E-3</v>
      </c>
      <c r="W217" s="155">
        <v>0.83769311780868583</v>
      </c>
      <c r="X217" s="191">
        <v>4.745767904578555</v>
      </c>
      <c r="Y217" s="155">
        <v>14.497618091486469</v>
      </c>
      <c r="Z217" s="155">
        <v>2.05307610247519</v>
      </c>
      <c r="AA217" s="155">
        <v>12.804088628014934</v>
      </c>
      <c r="AB217" s="155">
        <v>2.7079727661403798</v>
      </c>
      <c r="AC217" s="155">
        <v>3.1580088823049439E-3</v>
      </c>
      <c r="AD217" s="155">
        <v>6.4287512360858947E-3</v>
      </c>
      <c r="AE217" s="155">
        <v>0.21780732992210111</v>
      </c>
      <c r="AF217" s="155">
        <v>1.3781679637417221</v>
      </c>
      <c r="AG217" s="155">
        <v>9.1524400924189013</v>
      </c>
      <c r="AH217" s="155">
        <v>0.65692417550515181</v>
      </c>
      <c r="AI217" s="155">
        <v>1.2274958919547534</v>
      </c>
      <c r="AJ217" s="155">
        <v>8.2248450816061389</v>
      </c>
      <c r="AK217" s="155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7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76"/>
        <v>1.1374766095221653E-2</v>
      </c>
      <c r="H218" s="47">
        <f t="shared" ref="H218:K218" si="95">H207*H209</f>
        <v>1.1929393010873266E-2</v>
      </c>
      <c r="I218" s="47">
        <f t="shared" si="95"/>
        <v>1.0899579473810881E-2</v>
      </c>
      <c r="J218" s="47">
        <f t="shared" si="95"/>
        <v>9.9434140409212536E-3</v>
      </c>
      <c r="K218" s="47" t="e">
        <f t="shared" si="95"/>
        <v>#NUM!</v>
      </c>
      <c r="L218" s="47" t="e">
        <f t="shared" ref="L218:M218" si="96">L207*L209</f>
        <v>#NUM!</v>
      </c>
      <c r="M218" s="47" t="e">
        <f t="shared" si="96"/>
        <v>#NUM!</v>
      </c>
      <c r="N218" s="216"/>
      <c r="O218" s="108">
        <v>216</v>
      </c>
      <c r="P218" s="108">
        <v>0</v>
      </c>
      <c r="Q218" s="155">
        <v>7.5356869049202091</v>
      </c>
      <c r="R218" s="155">
        <v>3.3514410942289388</v>
      </c>
      <c r="S218" s="155">
        <v>14.646748676871981</v>
      </c>
      <c r="T218" s="155">
        <v>0.27563053648592556</v>
      </c>
      <c r="U218" s="155">
        <v>0.23905032330636494</v>
      </c>
      <c r="V218" s="155">
        <v>-1.8492186842265701E-3</v>
      </c>
      <c r="W218" s="155">
        <v>0.95709467439130091</v>
      </c>
      <c r="X218" s="191">
        <v>5.3684170958458477</v>
      </c>
      <c r="Y218" s="155">
        <v>16.671293457709826</v>
      </c>
      <c r="Z218" s="155">
        <v>2.1560422691995953</v>
      </c>
      <c r="AA218" s="155">
        <v>13.350898118465281</v>
      </c>
      <c r="AB218" s="155">
        <v>3.0936284547455828</v>
      </c>
      <c r="AC218" s="155">
        <v>1.161826464611675E-3</v>
      </c>
      <c r="AD218" s="155">
        <v>2.0498055677554371E-2</v>
      </c>
      <c r="AE218" s="155">
        <v>0.13499186282521403</v>
      </c>
      <c r="AF218" s="155">
        <v>1.3935766602198314</v>
      </c>
      <c r="AG218" s="155">
        <v>9.9388760253709965</v>
      </c>
      <c r="AH218" s="155">
        <v>0.86330659635077622</v>
      </c>
      <c r="AI218" s="155">
        <v>1.0695416398964073</v>
      </c>
      <c r="AJ218" s="155">
        <v>8.776243096164821</v>
      </c>
      <c r="AK218" s="155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7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76"/>
        <v>1.8069596874507543E-2</v>
      </c>
      <c r="H219" s="47">
        <f t="shared" ref="H219:K219" si="97">H208*H209</f>
        <v>2.0324489144915969E-2</v>
      </c>
      <c r="I219" s="47">
        <f t="shared" si="97"/>
        <v>2.0144937365877542E-2</v>
      </c>
      <c r="J219" s="47">
        <f t="shared" si="97"/>
        <v>2.0080815128089971E-2</v>
      </c>
      <c r="K219" s="47" t="e">
        <f t="shared" si="97"/>
        <v>#NUM!</v>
      </c>
      <c r="L219" s="47" t="e">
        <f t="shared" ref="L219:M219" si="98">L208*L209</f>
        <v>#NUM!</v>
      </c>
      <c r="M219" s="47" t="e">
        <f t="shared" si="98"/>
        <v>#NUM!</v>
      </c>
      <c r="N219" s="216"/>
      <c r="O219" s="108">
        <v>217</v>
      </c>
      <c r="P219" s="108">
        <v>0</v>
      </c>
      <c r="Q219" s="155">
        <v>7.7406186754422297</v>
      </c>
      <c r="R219" s="155">
        <v>3.9421617705366327</v>
      </c>
      <c r="S219" s="155">
        <v>14.728874211465326</v>
      </c>
      <c r="T219" s="155">
        <v>0.22823946549069252</v>
      </c>
      <c r="U219" s="155">
        <v>0.28775926577572569</v>
      </c>
      <c r="V219" s="155">
        <v>-2.5648235596745844E-3</v>
      </c>
      <c r="W219" s="155">
        <v>1.3380616114988375</v>
      </c>
      <c r="X219" s="191">
        <v>5.2602254881634334</v>
      </c>
      <c r="Y219" s="155">
        <v>15.405976922517613</v>
      </c>
      <c r="Z219" s="155">
        <v>2.6481461756686753</v>
      </c>
      <c r="AA219" s="155">
        <v>15.558277515883796</v>
      </c>
      <c r="AB219" s="155">
        <v>3.1486442452516394</v>
      </c>
      <c r="AC219" s="155">
        <v>3.8758289624385139E-3</v>
      </c>
      <c r="AD219" s="155">
        <v>2.758733680165313E-2</v>
      </c>
      <c r="AE219" s="155">
        <v>0.25649230558423008</v>
      </c>
      <c r="AF219" s="155">
        <v>1.3500683934163833</v>
      </c>
      <c r="AG219" s="155">
        <v>10.417505347185509</v>
      </c>
      <c r="AH219" s="155">
        <v>1.0133937905274555</v>
      </c>
      <c r="AI219" s="155">
        <v>1.1093285575281879</v>
      </c>
      <c r="AJ219" s="155">
        <v>9.0167386676066243</v>
      </c>
      <c r="AK219" s="155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7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76"/>
        <v>-0.59463926785456922</v>
      </c>
      <c r="H220" s="47">
        <f t="shared" ref="H220:K220" si="99">LN(H156/H198)</f>
        <v>-0.58819614592986447</v>
      </c>
      <c r="I220" s="47">
        <f t="shared" si="99"/>
        <v>-0.58223062129405101</v>
      </c>
      <c r="J220" s="47">
        <f t="shared" si="99"/>
        <v>-0.57665783664373771</v>
      </c>
      <c r="K220" s="47">
        <f t="shared" si="99"/>
        <v>-0.63381625048368628</v>
      </c>
      <c r="L220" s="47">
        <f t="shared" ref="L220:M220" si="100">LN(L156/L198)</f>
        <v>-0.69097466432363497</v>
      </c>
      <c r="M220" s="47">
        <f t="shared" si="100"/>
        <v>-0.74813307816358365</v>
      </c>
      <c r="N220" s="216"/>
      <c r="O220" s="108">
        <v>218</v>
      </c>
      <c r="P220" s="108">
        <v>0</v>
      </c>
      <c r="Q220" s="155">
        <v>1.9367231906524163</v>
      </c>
      <c r="R220" s="155">
        <v>-0.39110193168855406</v>
      </c>
      <c r="S220" s="155">
        <v>-3.3866681103253065</v>
      </c>
      <c r="T220" s="155">
        <v>-1.2599127564811914</v>
      </c>
      <c r="U220" s="155">
        <v>-1.6912840106060423</v>
      </c>
      <c r="V220" s="155">
        <v>-0.57516659276131454</v>
      </c>
      <c r="W220" s="155">
        <v>-1.0152937224040661</v>
      </c>
      <c r="X220" s="191">
        <v>-2.9149891047253447</v>
      </c>
      <c r="Y220" s="155">
        <v>-4.5973706308043685</v>
      </c>
      <c r="Z220" s="155">
        <v>-2.0972181618747756</v>
      </c>
      <c r="AA220" s="155">
        <v>-4.519853990003182</v>
      </c>
      <c r="AB220" s="155">
        <v>-2.9092265453114496</v>
      </c>
      <c r="AC220" s="155">
        <v>-0.57744244017012136</v>
      </c>
      <c r="AD220" s="155">
        <v>-0.83901110700490678</v>
      </c>
      <c r="AE220" s="155">
        <v>-0.54538998007747608</v>
      </c>
      <c r="AF220" s="155">
        <v>-2.1222653411870125</v>
      </c>
      <c r="AG220" s="155">
        <v>-2.9870328018732044</v>
      </c>
      <c r="AH220" s="155">
        <v>-1.7863679557454457</v>
      </c>
      <c r="AI220" s="155">
        <v>-2.3119306062986231</v>
      </c>
      <c r="AJ220" s="155">
        <v>-3.5216697624277713</v>
      </c>
      <c r="AK220" s="155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7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76"/>
        <v>1.0774137657678442</v>
      </c>
      <c r="H221" s="30">
        <f t="shared" ref="H221:K221" si="101">H157/H199</f>
        <v>0.97200622083981347</v>
      </c>
      <c r="I221" s="30">
        <f t="shared" si="101"/>
        <v>0.97200622083981347</v>
      </c>
      <c r="J221" s="30">
        <f t="shared" si="101"/>
        <v>0.97200622083981347</v>
      </c>
      <c r="K221" s="30">
        <f t="shared" si="101"/>
        <v>0</v>
      </c>
      <c r="L221" s="30">
        <f t="shared" ref="L221:M221" si="102">L157/L199</f>
        <v>0</v>
      </c>
      <c r="M221" s="30">
        <f t="shared" si="102"/>
        <v>0</v>
      </c>
      <c r="N221" s="214"/>
      <c r="O221" s="108">
        <v>219</v>
      </c>
      <c r="P221" s="108">
        <v>0</v>
      </c>
      <c r="Q221" s="155">
        <v>1.1371050289635196</v>
      </c>
      <c r="R221" s="155">
        <v>8.9927562677162329E-2</v>
      </c>
      <c r="S221" s="155">
        <v>-0.18558591328683788</v>
      </c>
      <c r="T221" s="155">
        <v>0.10155368986851439</v>
      </c>
      <c r="U221" s="155">
        <v>0.50466610713472126</v>
      </c>
      <c r="V221" s="155">
        <v>0.64489514857638075</v>
      </c>
      <c r="W221" s="155">
        <v>0.23502362617459771</v>
      </c>
      <c r="X221" s="191">
        <v>0.87879592386595273</v>
      </c>
      <c r="Y221" s="155">
        <v>-0.73974406020468197</v>
      </c>
      <c r="Z221" s="155">
        <v>1.6328245183329819</v>
      </c>
      <c r="AA221" s="155">
        <v>1.482108659049137</v>
      </c>
      <c r="AB221" s="155">
        <v>1.1170055824485536</v>
      </c>
      <c r="AC221" s="155">
        <v>2.540698898361665</v>
      </c>
      <c r="AD221" s="155">
        <v>0.55365282938972749</v>
      </c>
      <c r="AE221" s="155">
        <v>0.3981546203978783</v>
      </c>
      <c r="AF221" s="155">
        <v>1.3928177871265517</v>
      </c>
      <c r="AG221" s="155">
        <v>-0.10680749157033483</v>
      </c>
      <c r="AH221" s="155">
        <v>0.5810668431788294</v>
      </c>
      <c r="AI221" s="155">
        <v>0.79187884341904979</v>
      </c>
      <c r="AJ221" s="155">
        <v>-0.49754279937014201</v>
      </c>
      <c r="AK221" s="155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7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76"/>
        <v>12</v>
      </c>
      <c r="H222" s="47">
        <f t="shared" ref="H222:K222" si="103">H158</f>
        <v>13</v>
      </c>
      <c r="I222" s="47">
        <f t="shared" si="103"/>
        <v>14</v>
      </c>
      <c r="J222" s="47">
        <f t="shared" si="103"/>
        <v>15</v>
      </c>
      <c r="K222" s="47">
        <f t="shared" si="103"/>
        <v>16</v>
      </c>
      <c r="L222" s="47">
        <f t="shared" ref="L222:M222" si="104">L158</f>
        <v>17</v>
      </c>
      <c r="M222" s="47">
        <f t="shared" si="104"/>
        <v>18</v>
      </c>
      <c r="N222" s="216"/>
      <c r="O222" s="108">
        <v>220</v>
      </c>
      <c r="P222" s="108">
        <v>0</v>
      </c>
      <c r="Q222" s="155">
        <v>12</v>
      </c>
      <c r="R222" s="155">
        <v>12</v>
      </c>
      <c r="S222" s="155">
        <v>12</v>
      </c>
      <c r="T222" s="155">
        <v>12</v>
      </c>
      <c r="U222" s="155">
        <v>12</v>
      </c>
      <c r="V222" s="155">
        <v>12</v>
      </c>
      <c r="W222" s="155">
        <v>12</v>
      </c>
      <c r="X222" s="191">
        <v>12</v>
      </c>
      <c r="Y222" s="155">
        <v>12</v>
      </c>
      <c r="Z222" s="155">
        <v>12</v>
      </c>
      <c r="AA222" s="155">
        <v>12</v>
      </c>
      <c r="AB222" s="155">
        <v>12</v>
      </c>
      <c r="AC222" s="155">
        <v>12</v>
      </c>
      <c r="AD222" s="155">
        <v>12</v>
      </c>
      <c r="AE222" s="155">
        <v>12</v>
      </c>
      <c r="AF222" s="155">
        <v>12</v>
      </c>
      <c r="AG222" s="155">
        <v>12</v>
      </c>
      <c r="AH222" s="155">
        <v>12</v>
      </c>
      <c r="AI222" s="155">
        <v>12</v>
      </c>
      <c r="AJ222" s="155">
        <v>12</v>
      </c>
      <c r="AK222" s="155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7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">
      <c r="A223" s="3"/>
      <c r="B223" s="9">
        <v>209</v>
      </c>
      <c r="C223" s="3"/>
      <c r="D223" s="3"/>
      <c r="E223" s="36"/>
      <c r="M223" s="89"/>
      <c r="O223" s="108">
        <v>221</v>
      </c>
      <c r="P223" s="108">
        <v>0</v>
      </c>
      <c r="Q223" s="155"/>
      <c r="R223" s="155"/>
      <c r="S223" s="155"/>
      <c r="T223" s="155"/>
      <c r="U223" s="155"/>
      <c r="V223" s="155"/>
      <c r="W223" s="155"/>
      <c r="X223" s="191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7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8">
        <v>222</v>
      </c>
      <c r="P224" s="108">
        <v>0</v>
      </c>
      <c r="Q224" s="155"/>
      <c r="R224" s="155"/>
      <c r="S224" s="155"/>
      <c r="T224" s="155"/>
      <c r="U224" s="155"/>
      <c r="V224" s="155"/>
      <c r="W224" s="155"/>
      <c r="X224" s="191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7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">
      <c r="A225" s="3"/>
      <c r="B225" s="9">
        <v>211</v>
      </c>
      <c r="C225" s="3"/>
      <c r="D225" s="3"/>
      <c r="E225" s="36"/>
      <c r="M225" s="89"/>
      <c r="O225" s="108">
        <v>223</v>
      </c>
      <c r="P225" s="108">
        <v>0</v>
      </c>
      <c r="Q225" s="155"/>
      <c r="R225" s="155"/>
      <c r="S225" s="155"/>
      <c r="T225" s="155"/>
      <c r="U225" s="155"/>
      <c r="V225" s="155"/>
      <c r="W225" s="155"/>
      <c r="X225" s="191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7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105">HLOOKUP($E$3,$P$3:$CE$269,O226,FALSE)</f>
        <v>12.81359917943923</v>
      </c>
      <c r="H226" s="49">
        <f t="shared" ref="H226:K241" si="106">H162*H205</f>
        <v>12.81359917943923</v>
      </c>
      <c r="I226" s="49">
        <f t="shared" si="106"/>
        <v>12.81359917943923</v>
      </c>
      <c r="J226" s="49">
        <f t="shared" si="106"/>
        <v>12.81359917943923</v>
      </c>
      <c r="K226" s="49">
        <f t="shared" si="106"/>
        <v>12.81359917943923</v>
      </c>
      <c r="L226" s="49">
        <f t="shared" ref="L226:M226" si="107">L162*L205</f>
        <v>12.81359917943923</v>
      </c>
      <c r="M226" s="49">
        <f t="shared" si="107"/>
        <v>12.81359917943923</v>
      </c>
      <c r="N226" s="217"/>
      <c r="O226" s="108">
        <v>224</v>
      </c>
      <c r="P226" s="108">
        <v>0</v>
      </c>
      <c r="Q226" s="155">
        <v>12.817219145404639</v>
      </c>
      <c r="R226" s="155">
        <v>12.809732041092667</v>
      </c>
      <c r="S226" s="155">
        <v>12.815667288766317</v>
      </c>
      <c r="T226" s="155">
        <v>12.814549938113361</v>
      </c>
      <c r="U226" s="155">
        <v>12.81527413480965</v>
      </c>
      <c r="V226" s="155">
        <v>12.816805233884939</v>
      </c>
      <c r="W226" s="155">
        <v>12.81288440307239</v>
      </c>
      <c r="X226" s="191">
        <v>12.81331330994302</v>
      </c>
      <c r="Y226" s="155">
        <v>12.814736982825067</v>
      </c>
      <c r="Z226" s="155">
        <v>12.812338831390388</v>
      </c>
      <c r="AA226" s="155">
        <v>12.810934558134596</v>
      </c>
      <c r="AB226" s="155">
        <v>12.811148202512005</v>
      </c>
      <c r="AC226" s="155">
        <v>12.816571389915095</v>
      </c>
      <c r="AD226" s="155">
        <v>12.821412544937436</v>
      </c>
      <c r="AE226" s="155">
        <v>12.819095782593745</v>
      </c>
      <c r="AF226" s="155">
        <v>12.812096781482326</v>
      </c>
      <c r="AG226" s="155">
        <v>12.820454839694522</v>
      </c>
      <c r="AH226" s="155">
        <v>12.815345078290729</v>
      </c>
      <c r="AI226" s="155">
        <v>12.815711468242117</v>
      </c>
      <c r="AJ226" s="155">
        <v>12.812372588661209</v>
      </c>
      <c r="AK226" s="155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7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105"/>
        <v>-0.15183107473871627</v>
      </c>
      <c r="H227" s="49">
        <f t="shared" si="106"/>
        <v>-0.15662600399551299</v>
      </c>
      <c r="I227" s="49">
        <f t="shared" si="106"/>
        <v>-0.16297664760299024</v>
      </c>
      <c r="J227" s="49">
        <f t="shared" si="106"/>
        <v>-0.16857101042473482</v>
      </c>
      <c r="K227" s="49">
        <f t="shared" si="106"/>
        <v>-0.68715542360516801</v>
      </c>
      <c r="L227" s="49">
        <f t="shared" ref="L227:M227" si="108">L163*L206</f>
        <v>-0.68715542360516801</v>
      </c>
      <c r="M227" s="49">
        <f t="shared" si="108"/>
        <v>-0.68715542360516801</v>
      </c>
      <c r="N227" s="217"/>
      <c r="O227" s="108">
        <v>225</v>
      </c>
      <c r="P227" s="108">
        <v>0</v>
      </c>
      <c r="Q227" s="155">
        <v>-0.1955616849866077</v>
      </c>
      <c r="R227" s="155">
        <v>-5.0139453917599767E-2</v>
      </c>
      <c r="S227" s="155">
        <v>-8.7626611403791368E-2</v>
      </c>
      <c r="T227" s="155">
        <v>-0.13878007179372015</v>
      </c>
      <c r="U227" s="155">
        <v>-9.7282205088153217E-2</v>
      </c>
      <c r="V227" s="155">
        <v>-0.1702046092964665</v>
      </c>
      <c r="W227" s="155">
        <v>-8.8737017161301307E-2</v>
      </c>
      <c r="X227" s="191">
        <v>-0.12813883089931141</v>
      </c>
      <c r="Y227" s="155">
        <v>-9.581276184553067E-2</v>
      </c>
      <c r="Z227" s="155">
        <v>-6.6354387807909962E-2</v>
      </c>
      <c r="AA227" s="155">
        <v>-0.19195646546552891</v>
      </c>
      <c r="AB227" s="155">
        <v>-0.21027366660337329</v>
      </c>
      <c r="AC227" s="155">
        <v>-0.15199787265681419</v>
      </c>
      <c r="AD227" s="155">
        <v>-0.10912043868331216</v>
      </c>
      <c r="AE227" s="155">
        <v>-0.21001575308326029</v>
      </c>
      <c r="AF227" s="155">
        <v>-0.1128129498024717</v>
      </c>
      <c r="AG227" s="155">
        <v>-9.5787970029264174E-2</v>
      </c>
      <c r="AH227" s="155">
        <v>-0.20980093278769354</v>
      </c>
      <c r="AI227" s="155">
        <v>-9.7268348710777289E-2</v>
      </c>
      <c r="AJ227" s="155">
        <v>-8.7696956559130693E-2</v>
      </c>
      <c r="AK227" s="155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7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105"/>
        <v>-4.4286736803311827E-2</v>
      </c>
      <c r="H228" s="49">
        <f t="shared" si="106"/>
        <v>-4.1293184649015928E-2</v>
      </c>
      <c r="I228" s="49">
        <f t="shared" si="106"/>
        <v>-3.8064794633141164E-2</v>
      </c>
      <c r="J228" s="49">
        <f t="shared" si="106"/>
        <v>-3.4836447111408216E-2</v>
      </c>
      <c r="K228" s="49" t="e">
        <f t="shared" si="106"/>
        <v>#NUM!</v>
      </c>
      <c r="L228" s="49" t="e">
        <f t="shared" ref="L228:M228" si="109">L164*L207</f>
        <v>#NUM!</v>
      </c>
      <c r="M228" s="49" t="e">
        <f t="shared" si="109"/>
        <v>#NUM!</v>
      </c>
      <c r="N228" s="217"/>
      <c r="O228" s="108">
        <v>226</v>
      </c>
      <c r="P228" s="108">
        <v>0</v>
      </c>
      <c r="Q228" s="155">
        <v>1.1650758008535247</v>
      </c>
      <c r="R228" s="155">
        <v>-0.7718504366289699</v>
      </c>
      <c r="S228" s="155">
        <v>-1.6236001766503976</v>
      </c>
      <c r="T228" s="155">
        <v>-0.24111778997058667</v>
      </c>
      <c r="U228" s="155">
        <v>-0.20607188193727602</v>
      </c>
      <c r="V228" s="155">
        <v>3.0188944502963107E-2</v>
      </c>
      <c r="W228" s="155">
        <v>-0.34430426096887806</v>
      </c>
      <c r="X228" s="191">
        <v>-0.98495705583747428</v>
      </c>
      <c r="Y228" s="155">
        <v>-1.7635550547524823</v>
      </c>
      <c r="Z228" s="155">
        <v>-0.56966767956709163</v>
      </c>
      <c r="AA228" s="155">
        <v>-1.483191819038103</v>
      </c>
      <c r="AB228" s="155">
        <v>-0.72282600426455124</v>
      </c>
      <c r="AC228" s="155">
        <v>1.3411319809542398E-2</v>
      </c>
      <c r="AD228" s="155">
        <v>-2.9469078579299163E-2</v>
      </c>
      <c r="AE228" s="155">
        <v>0.15318667430228813</v>
      </c>
      <c r="AF228" s="155">
        <v>-0.53996551014018912</v>
      </c>
      <c r="AG228" s="155">
        <v>-1.3156068141560595</v>
      </c>
      <c r="AH228" s="155">
        <v>-0.33426559084480478</v>
      </c>
      <c r="AI228" s="155">
        <v>-0.49173602669721034</v>
      </c>
      <c r="AJ228" s="155">
        <v>-1.263049273413809</v>
      </c>
      <c r="AK228" s="155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7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105"/>
        <v>-2.4736354644343275E-2</v>
      </c>
      <c r="H229" s="49">
        <f t="shared" si="106"/>
        <v>-2.4736354644343275E-2</v>
      </c>
      <c r="I229" s="49">
        <f t="shared" si="106"/>
        <v>-2.4736354644343275E-2</v>
      </c>
      <c r="J229" s="49">
        <f t="shared" si="106"/>
        <v>-2.4736354644343275E-2</v>
      </c>
      <c r="K229" s="49">
        <f t="shared" si="106"/>
        <v>-2.4736354644343275E-2</v>
      </c>
      <c r="L229" s="49">
        <f t="shared" ref="L229:M229" si="110">L165*L208</f>
        <v>-2.4736354644343275E-2</v>
      </c>
      <c r="M229" s="49">
        <f t="shared" si="110"/>
        <v>-2.4736354644343275E-2</v>
      </c>
      <c r="N229" s="217"/>
      <c r="O229" s="108">
        <v>227</v>
      </c>
      <c r="P229" s="108">
        <v>0</v>
      </c>
      <c r="Q229" s="155">
        <v>0.53923328844842855</v>
      </c>
      <c r="R229" s="155">
        <v>-0.31112792693041885</v>
      </c>
      <c r="S229" s="155">
        <v>-0.59490752035248329</v>
      </c>
      <c r="T229" s="155">
        <v>-7.2884090319695949E-2</v>
      </c>
      <c r="U229" s="155">
        <v>-8.9126990802696066E-2</v>
      </c>
      <c r="V229" s="155">
        <v>1.5566068796261245E-2</v>
      </c>
      <c r="W229" s="155">
        <v>-0.17587787634040611</v>
      </c>
      <c r="X229" s="191">
        <v>-0.33384462527417247</v>
      </c>
      <c r="Y229" s="155">
        <v>-0.56797994881407321</v>
      </c>
      <c r="Z229" s="155">
        <v>-0.26285825402054996</v>
      </c>
      <c r="AA229" s="155">
        <v>-0.62794465168091362</v>
      </c>
      <c r="AB229" s="155">
        <v>-0.27922562795819394</v>
      </c>
      <c r="AC229" s="155">
        <v>1.7276351963038353E-2</v>
      </c>
      <c r="AD229" s="155">
        <v>-1.5734085433805486E-2</v>
      </c>
      <c r="AE229" s="155">
        <v>0.10741290547504276</v>
      </c>
      <c r="AF229" s="155">
        <v>-0.17921228084021085</v>
      </c>
      <c r="AG229" s="155">
        <v>-0.48889388352116447</v>
      </c>
      <c r="AH229" s="155">
        <v>-0.14188496431576761</v>
      </c>
      <c r="AI229" s="155">
        <v>-0.17439125603850716</v>
      </c>
      <c r="AJ229" s="155">
        <v>-0.46976936584797402</v>
      </c>
      <c r="AK229" s="155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7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105"/>
        <v>-1.1999385048047604E-2</v>
      </c>
      <c r="H230" s="49">
        <f t="shared" si="106"/>
        <v>-1.3496779858922952E-2</v>
      </c>
      <c r="I230" s="49">
        <f t="shared" si="106"/>
        <v>-1.3377545824666015E-2</v>
      </c>
      <c r="J230" s="49">
        <f t="shared" si="106"/>
        <v>-1.3334964497218637E-2</v>
      </c>
      <c r="K230" s="49" t="e">
        <f t="shared" si="106"/>
        <v>#NUM!</v>
      </c>
      <c r="L230" s="49" t="e">
        <f t="shared" ref="L230:M230" si="111">L166*L209</f>
        <v>#NUM!</v>
      </c>
      <c r="M230" s="49" t="e">
        <f t="shared" si="111"/>
        <v>#NUM!</v>
      </c>
      <c r="N230" s="217"/>
      <c r="O230" s="108">
        <v>228</v>
      </c>
      <c r="P230" s="108">
        <v>0</v>
      </c>
      <c r="Q230" s="155">
        <v>0.25953414722338397</v>
      </c>
      <c r="R230" s="155">
        <v>-0.22024178783086487</v>
      </c>
      <c r="S230" s="155">
        <v>-0.39836694442207915</v>
      </c>
      <c r="T230" s="155">
        <v>-5.5431461223811776E-2</v>
      </c>
      <c r="U230" s="155">
        <v>-5.4206399974349541E-2</v>
      </c>
      <c r="V230" s="155">
        <v>-2.9312520891026199E-3</v>
      </c>
      <c r="W230" s="155">
        <v>-0.12586145943630814</v>
      </c>
      <c r="X230" s="191">
        <v>-0.26776636153218059</v>
      </c>
      <c r="Y230" s="155">
        <v>-0.45780794632175303</v>
      </c>
      <c r="Z230" s="155">
        <v>-0.17454184086498781</v>
      </c>
      <c r="AA230" s="155">
        <v>-0.42940284635415654</v>
      </c>
      <c r="AB230" s="155">
        <v>-0.19314216742515039</v>
      </c>
      <c r="AC230" s="155">
        <v>4.0575842766316077E-3</v>
      </c>
      <c r="AD230" s="155">
        <v>-3.3469966732101251E-2</v>
      </c>
      <c r="AE230" s="155">
        <v>3.4447420335971791E-2</v>
      </c>
      <c r="AF230" s="155">
        <v>-0.12352380336934167</v>
      </c>
      <c r="AG230" s="155">
        <v>-0.34652629406429858</v>
      </c>
      <c r="AH230" s="155">
        <v>-0.12038087267974849</v>
      </c>
      <c r="AI230" s="155">
        <v>-9.1114364475826021E-2</v>
      </c>
      <c r="AJ230" s="155">
        <v>-0.32917635025783554</v>
      </c>
      <c r="AK230" s="155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7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105"/>
        <v>3.8487921905055724E-3</v>
      </c>
      <c r="H231" s="49">
        <f t="shared" si="106"/>
        <v>4.0957257266287491E-3</v>
      </c>
      <c r="I231" s="49">
        <f t="shared" si="106"/>
        <v>4.434594261759124E-3</v>
      </c>
      <c r="J231" s="49">
        <f t="shared" si="106"/>
        <v>4.7442646822719063E-3</v>
      </c>
      <c r="K231" s="49">
        <f t="shared" si="106"/>
        <v>7.8833913700976505E-2</v>
      </c>
      <c r="L231" s="49">
        <f t="shared" ref="L231:M231" si="112">L167*L210</f>
        <v>7.8833913700976505E-2</v>
      </c>
      <c r="M231" s="49">
        <f t="shared" si="112"/>
        <v>7.8833913700976505E-2</v>
      </c>
      <c r="N231" s="217"/>
      <c r="O231" s="108">
        <v>229</v>
      </c>
      <c r="P231" s="108">
        <v>0</v>
      </c>
      <c r="Q231" s="155">
        <v>5.9076642952137397E-3</v>
      </c>
      <c r="R231" s="155">
        <v>3.958855829465985E-4</v>
      </c>
      <c r="S231" s="155">
        <v>1.2053853300650075E-3</v>
      </c>
      <c r="T231" s="155">
        <v>3.1785570905485954E-3</v>
      </c>
      <c r="U231" s="155">
        <v>1.4476058788554732E-3</v>
      </c>
      <c r="V231" s="155">
        <v>4.5357000062272853E-3</v>
      </c>
      <c r="W231" s="155">
        <v>1.2906542401835001E-3</v>
      </c>
      <c r="X231" s="191">
        <v>2.6059345977469243E-3</v>
      </c>
      <c r="Y231" s="155">
        <v>1.4139888582252542E-3</v>
      </c>
      <c r="Z231" s="155">
        <v>7.1107060238156385E-4</v>
      </c>
      <c r="AA231" s="155">
        <v>6.3383863166704604E-3</v>
      </c>
      <c r="AB231" s="155">
        <v>7.2267238703277448E-3</v>
      </c>
      <c r="AC231" s="155">
        <v>3.5901827529324247E-3</v>
      </c>
      <c r="AD231" s="155">
        <v>2.0707788243622032E-3</v>
      </c>
      <c r="AE231" s="155">
        <v>6.848970109500945E-3</v>
      </c>
      <c r="AF231" s="155">
        <v>2.0472230967224997E-3</v>
      </c>
      <c r="AG231" s="155">
        <v>1.4229190921836801E-3</v>
      </c>
      <c r="AH231" s="155">
        <v>6.8342540031158328E-3</v>
      </c>
      <c r="AI231" s="155">
        <v>1.3969724873573177E-3</v>
      </c>
      <c r="AJ231" s="155">
        <v>1.2050801100455465E-3</v>
      </c>
      <c r="AK231" s="155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7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105"/>
        <v>-1.824860707065798E-3</v>
      </c>
      <c r="H232" s="49">
        <f t="shared" si="106"/>
        <v>-1.5864964845508094E-3</v>
      </c>
      <c r="I232" s="49">
        <f t="shared" si="106"/>
        <v>-1.3481224462470992E-3</v>
      </c>
      <c r="J232" s="49">
        <f t="shared" si="106"/>
        <v>-1.1291459197286975E-3</v>
      </c>
      <c r="K232" s="49" t="e">
        <f t="shared" si="106"/>
        <v>#NUM!</v>
      </c>
      <c r="L232" s="49" t="e">
        <f t="shared" ref="L232:M232" si="113">L168*L211</f>
        <v>#NUM!</v>
      </c>
      <c r="M232" s="49" t="e">
        <f t="shared" si="113"/>
        <v>#NUM!</v>
      </c>
      <c r="N232" s="217"/>
      <c r="O232" s="108">
        <v>230</v>
      </c>
      <c r="P232" s="108">
        <v>0</v>
      </c>
      <c r="Q232" s="155">
        <v>-1.40670701707363</v>
      </c>
      <c r="R232" s="155">
        <v>-0.57058432333663178</v>
      </c>
      <c r="S232" s="155">
        <v>-2.3685147362082692</v>
      </c>
      <c r="T232" s="155">
        <v>-5.7027519589446407E-2</v>
      </c>
      <c r="U232" s="155">
        <v>-3.9641696636901917E-2</v>
      </c>
      <c r="V232" s="155">
        <v>-8.8157497838391077E-4</v>
      </c>
      <c r="W232" s="155">
        <v>-0.1042400612547169</v>
      </c>
      <c r="X232" s="191">
        <v>-0.95794412740479007</v>
      </c>
      <c r="Y232" s="155">
        <v>-3.2509261656642079</v>
      </c>
      <c r="Z232" s="155">
        <v>-0.35856437709310446</v>
      </c>
      <c r="AA232" s="155">
        <v>-1.8386378842197295</v>
      </c>
      <c r="AB232" s="155">
        <v>-0.52173463472569137</v>
      </c>
      <c r="AC232" s="155">
        <v>-1.6531281914870699E-4</v>
      </c>
      <c r="AD232" s="155">
        <v>-8.7501682973629351E-4</v>
      </c>
      <c r="AE232" s="155">
        <v>-2.6322502045783881E-2</v>
      </c>
      <c r="AF232" s="155">
        <v>-0.26507368809565518</v>
      </c>
      <c r="AG232" s="155">
        <v>-1.8851866162571815</v>
      </c>
      <c r="AH232" s="155">
        <v>-0.10558823397058957</v>
      </c>
      <c r="AI232" s="155">
        <v>-0.21209262662666997</v>
      </c>
      <c r="AJ232" s="155">
        <v>-1.4191455607277281</v>
      </c>
      <c r="AK232" s="155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7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105"/>
        <v>2.3247000830000147E-3</v>
      </c>
      <c r="H233" s="49">
        <f t="shared" si="106"/>
        <v>2.3247000830000147E-3</v>
      </c>
      <c r="I233" s="49">
        <f t="shared" si="106"/>
        <v>2.3247000830000147E-3</v>
      </c>
      <c r="J233" s="49">
        <f t="shared" si="106"/>
        <v>2.3247000830000147E-3</v>
      </c>
      <c r="K233" s="49">
        <f t="shared" si="106"/>
        <v>2.3247000830000147E-3</v>
      </c>
      <c r="L233" s="49">
        <f t="shared" ref="L233:M233" si="114">L169*L212</f>
        <v>2.3247000830000147E-3</v>
      </c>
      <c r="M233" s="49">
        <f t="shared" si="114"/>
        <v>2.3247000830000147E-3</v>
      </c>
      <c r="N233" s="217"/>
      <c r="O233" s="108">
        <v>231</v>
      </c>
      <c r="P233" s="108">
        <v>0</v>
      </c>
      <c r="Q233" s="155">
        <v>1.0009835108698977</v>
      </c>
      <c r="R233" s="155">
        <v>0.4392554354606511</v>
      </c>
      <c r="S233" s="155">
        <v>1.4408178526813642</v>
      </c>
      <c r="T233" s="155">
        <v>1.7801644489039103E-2</v>
      </c>
      <c r="U233" s="155">
        <v>3.0726174138521523E-2</v>
      </c>
      <c r="V233" s="155">
        <v>8.6510648300228826E-4</v>
      </c>
      <c r="W233" s="155">
        <v>0.11934768627786604</v>
      </c>
      <c r="X233" s="191">
        <v>0.58482042597573602</v>
      </c>
      <c r="Y233" s="155">
        <v>1.1931318830775903</v>
      </c>
      <c r="Z233" s="155">
        <v>0.21238332751866368</v>
      </c>
      <c r="AA233" s="155">
        <v>1.5267055481285496</v>
      </c>
      <c r="AB233" s="155">
        <v>0.23370367183339597</v>
      </c>
      <c r="AC233" s="155">
        <v>1.0793873592197295E-3</v>
      </c>
      <c r="AD233" s="155">
        <v>7.8949644282405097E-4</v>
      </c>
      <c r="AE233" s="155">
        <v>3.268220351405688E-2</v>
      </c>
      <c r="AF233" s="155">
        <v>7.7658314869115314E-2</v>
      </c>
      <c r="AG233" s="155">
        <v>0.60019001573638064</v>
      </c>
      <c r="AH233" s="155">
        <v>7.270092419342658E-2</v>
      </c>
      <c r="AI233" s="155">
        <v>0.13863434709824368</v>
      </c>
      <c r="AJ233" s="155">
        <v>0.82651441807711445</v>
      </c>
      <c r="AK233" s="155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7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105"/>
        <v>1.0819872189410107E-3</v>
      </c>
      <c r="H234" s="49">
        <f t="shared" si="106"/>
        <v>1.3688771688340727E-3</v>
      </c>
      <c r="I234" s="49">
        <f t="shared" si="106"/>
        <v>1.3447979737193192E-3</v>
      </c>
      <c r="J234" s="49">
        <f t="shared" si="106"/>
        <v>1.3362504945595472E-3</v>
      </c>
      <c r="K234" s="49" t="e">
        <f t="shared" si="106"/>
        <v>#NUM!</v>
      </c>
      <c r="L234" s="49" t="e">
        <f t="shared" ref="L234:M234" si="115">L170*L213</f>
        <v>#NUM!</v>
      </c>
      <c r="M234" s="49" t="e">
        <f t="shared" si="115"/>
        <v>#NUM!</v>
      </c>
      <c r="N234" s="217"/>
      <c r="O234" s="108">
        <v>232</v>
      </c>
      <c r="P234" s="108">
        <v>0</v>
      </c>
      <c r="Q234" s="155">
        <v>0.54843342328151146</v>
      </c>
      <c r="R234" s="155">
        <v>0.33840284110286045</v>
      </c>
      <c r="S234" s="155">
        <v>1.2415069991543719</v>
      </c>
      <c r="T234" s="155">
        <v>2.2568160988242738E-2</v>
      </c>
      <c r="U234" s="155">
        <v>2.2157725034759677E-2</v>
      </c>
      <c r="V234" s="155">
        <v>6.2071958510011876E-5</v>
      </c>
      <c r="W234" s="155">
        <v>0.12231733077776961</v>
      </c>
      <c r="X234" s="191">
        <v>0.530386280242372</v>
      </c>
      <c r="Y234" s="155">
        <v>1.5441838671782389</v>
      </c>
      <c r="Z234" s="155">
        <v>0.2285647989059757</v>
      </c>
      <c r="AA234" s="155">
        <v>1.374165215966856</v>
      </c>
      <c r="AB234" s="155">
        <v>0.2793063742582193</v>
      </c>
      <c r="AC234" s="155">
        <v>1.1928525360515036E-4</v>
      </c>
      <c r="AD234" s="155">
        <v>8.208928472620388E-3</v>
      </c>
      <c r="AE234" s="155">
        <v>1.2300633776133031E-2</v>
      </c>
      <c r="AF234" s="155">
        <v>9.7690669191228E-2</v>
      </c>
      <c r="AG234" s="155">
        <v>0.8811500568615066</v>
      </c>
      <c r="AH234" s="155">
        <v>0.10918235106029298</v>
      </c>
      <c r="AI234" s="155">
        <v>6.4842240110579707E-2</v>
      </c>
      <c r="AJ234" s="155">
        <v>0.81255823405128957</v>
      </c>
      <c r="AK234" s="155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7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105"/>
        <v>1.2664043197445766E-3</v>
      </c>
      <c r="H235" s="49">
        <f t="shared" si="106"/>
        <v>1.2180925359023659E-3</v>
      </c>
      <c r="I235" s="49">
        <f t="shared" si="106"/>
        <v>1.1683875136978322E-3</v>
      </c>
      <c r="J235" s="49">
        <f t="shared" si="106"/>
        <v>1.1059991209423268E-3</v>
      </c>
      <c r="K235" s="49" t="e">
        <f t="shared" si="106"/>
        <v>#NUM!</v>
      </c>
      <c r="L235" s="49" t="e">
        <f t="shared" ref="L235:M235" si="116">L171*L214</f>
        <v>#NUM!</v>
      </c>
      <c r="M235" s="49" t="e">
        <f t="shared" si="116"/>
        <v>#NUM!</v>
      </c>
      <c r="N235" s="217"/>
      <c r="O235" s="108">
        <v>233</v>
      </c>
      <c r="P235" s="108">
        <v>0</v>
      </c>
      <c r="Q235" s="155">
        <v>-4.718231196547408E-2</v>
      </c>
      <c r="R235" s="155">
        <v>6.6436128319899935E-3</v>
      </c>
      <c r="S235" s="155">
        <v>2.7257214537556643E-2</v>
      </c>
      <c r="T235" s="155">
        <v>5.5737953516273855E-3</v>
      </c>
      <c r="U235" s="155">
        <v>3.8682997693223775E-3</v>
      </c>
      <c r="V235" s="155">
        <v>-1.0118567660920854E-3</v>
      </c>
      <c r="W235" s="155">
        <v>5.8214134304425741E-3</v>
      </c>
      <c r="X235" s="191">
        <v>2.4059740847472408E-2</v>
      </c>
      <c r="Y235" s="155">
        <v>3.1842200861586921E-2</v>
      </c>
      <c r="Z235" s="155">
        <v>7.451633065816695E-3</v>
      </c>
      <c r="AA235" s="155">
        <v>5.0703467780428023E-2</v>
      </c>
      <c r="AB235" s="155">
        <v>2.9616370691645189E-2</v>
      </c>
      <c r="AC235" s="155">
        <v>-4.1373193192645666E-4</v>
      </c>
      <c r="AD235" s="155">
        <v>6.1600964954782681E-4</v>
      </c>
      <c r="AE235" s="155">
        <v>-6.0001241638938602E-3</v>
      </c>
      <c r="AF235" s="155">
        <v>1.1034825265551764E-2</v>
      </c>
      <c r="AG235" s="155">
        <v>2.4024827645520972E-2</v>
      </c>
      <c r="AH235" s="155">
        <v>1.3576851217247421E-2</v>
      </c>
      <c r="AI235" s="155">
        <v>9.9369401561865637E-3</v>
      </c>
      <c r="AJ235" s="155">
        <v>2.129465062930341E-2</v>
      </c>
      <c r="AK235" s="155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7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105"/>
        <v>3.991771667819265E-4</v>
      </c>
      <c r="H236" s="49">
        <f t="shared" si="106"/>
        <v>4.117834549145877E-4</v>
      </c>
      <c r="I236" s="49">
        <f t="shared" si="106"/>
        <v>4.284798520575113E-4</v>
      </c>
      <c r="J236" s="49">
        <f t="shared" si="106"/>
        <v>4.4318792090953726E-4</v>
      </c>
      <c r="K236" s="49">
        <f t="shared" si="106"/>
        <v>1.8065916717350419E-3</v>
      </c>
      <c r="L236" s="49">
        <f t="shared" ref="L236:M236" si="117">L172*L215</f>
        <v>1.8065916717350419E-3</v>
      </c>
      <c r="M236" s="49">
        <f t="shared" si="117"/>
        <v>1.8065916717350419E-3</v>
      </c>
      <c r="N236" s="217"/>
      <c r="O236" s="108">
        <v>234</v>
      </c>
      <c r="P236" s="108">
        <v>0</v>
      </c>
      <c r="Q236" s="155">
        <v>-7.1687053829693186E-3</v>
      </c>
      <c r="R236" s="155">
        <v>1.3317931074930012E-3</v>
      </c>
      <c r="S236" s="155">
        <v>5.034602544993016E-3</v>
      </c>
      <c r="T236" s="155">
        <v>1.6252603187425281E-3</v>
      </c>
      <c r="U236" s="155">
        <v>7.9619102903738808E-4</v>
      </c>
      <c r="V236" s="155">
        <v>-2.4430484581116653E-4</v>
      </c>
      <c r="W236" s="155">
        <v>1.6244571300352048E-3</v>
      </c>
      <c r="X236" s="191">
        <v>4.0790197528913436E-3</v>
      </c>
      <c r="Y236" s="155">
        <v>5.8675401978578569E-3</v>
      </c>
      <c r="Z236" s="155">
        <v>1.329128199020761E-3</v>
      </c>
      <c r="AA236" s="155">
        <v>1.5983732119799098E-2</v>
      </c>
      <c r="AB236" s="155">
        <v>5.3376449997133216E-3</v>
      </c>
      <c r="AC236" s="155">
        <v>-2.0769298485601303E-4</v>
      </c>
      <c r="AD236" s="155">
        <v>1.6951847851256506E-4</v>
      </c>
      <c r="AE236" s="155">
        <v>-2.3465376678514609E-3</v>
      </c>
      <c r="AF236" s="155">
        <v>2.285537815380146E-3</v>
      </c>
      <c r="AG236" s="155">
        <v>4.6236238740936242E-3</v>
      </c>
      <c r="AH236" s="155">
        <v>2.7870701753860117E-3</v>
      </c>
      <c r="AI236" s="155">
        <v>1.4143001062489147E-3</v>
      </c>
      <c r="AJ236" s="155">
        <v>3.9143935592354292E-3</v>
      </c>
      <c r="AK236" s="155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7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105"/>
        <v>-1.6080643980267599E-5</v>
      </c>
      <c r="H237" s="49">
        <f t="shared" si="106"/>
        <v>-1.8658546676694344E-5</v>
      </c>
      <c r="I237" s="49">
        <f t="shared" si="106"/>
        <v>-1.924356843362082E-5</v>
      </c>
      <c r="J237" s="49">
        <f t="shared" si="106"/>
        <v>-1.9840770557447707E-5</v>
      </c>
      <c r="K237" s="49" t="e">
        <f t="shared" si="106"/>
        <v>#NUM!</v>
      </c>
      <c r="L237" s="49" t="e">
        <f t="shared" ref="L237:M237" si="118">L173*L216</f>
        <v>#NUM!</v>
      </c>
      <c r="M237" s="49" t="e">
        <f t="shared" si="118"/>
        <v>#NUM!</v>
      </c>
      <c r="N237" s="217"/>
      <c r="O237" s="108">
        <v>235</v>
      </c>
      <c r="P237" s="108">
        <v>0</v>
      </c>
      <c r="Q237" s="155">
        <v>-3.4482389185369947E-4</v>
      </c>
      <c r="R237" s="155">
        <v>9.5240133079079999E-4</v>
      </c>
      <c r="S237" s="155">
        <v>-3.6418687833656609E-4</v>
      </c>
      <c r="T237" s="155">
        <v>1.8511505246238856E-4</v>
      </c>
      <c r="U237" s="155">
        <v>2.2157860312767404E-5</v>
      </c>
      <c r="V237" s="155">
        <v>-1.9010444999554056E-6</v>
      </c>
      <c r="W237" s="155">
        <v>-3.9307415828216385E-5</v>
      </c>
      <c r="X237" s="191">
        <v>4.2547132091801001E-4</v>
      </c>
      <c r="Y237" s="155">
        <v>-6.056210946572975E-4</v>
      </c>
      <c r="Z237" s="155">
        <v>1.0778035161690797E-5</v>
      </c>
      <c r="AA237" s="155">
        <v>8.3623564233266997E-4</v>
      </c>
      <c r="AB237" s="155">
        <v>2.1846424450289227E-5</v>
      </c>
      <c r="AC237" s="155">
        <v>5.2575292028251269E-6</v>
      </c>
      <c r="AD237" s="155">
        <v>1.1694926368305512E-4</v>
      </c>
      <c r="AE237" s="155">
        <v>4.3217792815793528E-5</v>
      </c>
      <c r="AF237" s="155">
        <v>2.3939023817801195E-4</v>
      </c>
      <c r="AG237" s="155">
        <v>-3.0379862375446689E-4</v>
      </c>
      <c r="AH237" s="155">
        <v>-8.2917574722108601E-5</v>
      </c>
      <c r="AI237" s="155">
        <v>-3.6627874302507001E-4</v>
      </c>
      <c r="AJ237" s="155">
        <v>-6.8139376059077915E-6</v>
      </c>
      <c r="AK237" s="155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7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105"/>
        <v>2.1600656983845126E-3</v>
      </c>
      <c r="H238" s="49">
        <f t="shared" si="106"/>
        <v>2.0140565364645925E-3</v>
      </c>
      <c r="I238" s="49">
        <f t="shared" si="106"/>
        <v>1.856593263311972E-3</v>
      </c>
      <c r="J238" s="49">
        <f t="shared" si="106"/>
        <v>1.6991320627920345E-3</v>
      </c>
      <c r="K238" s="49" t="e">
        <f t="shared" si="106"/>
        <v>#NUM!</v>
      </c>
      <c r="L238" s="49" t="e">
        <f t="shared" ref="L238:M238" si="119">L174*L217</f>
        <v>#NUM!</v>
      </c>
      <c r="M238" s="49" t="e">
        <f t="shared" si="119"/>
        <v>#NUM!</v>
      </c>
      <c r="N238" s="217"/>
      <c r="O238" s="108">
        <v>236</v>
      </c>
      <c r="P238" s="108">
        <v>0</v>
      </c>
      <c r="Q238" s="155">
        <v>0.79138243043078915</v>
      </c>
      <c r="R238" s="155">
        <v>0.46266061682998344</v>
      </c>
      <c r="S238" s="155">
        <v>1.554754392146789</v>
      </c>
      <c r="T238" s="155">
        <v>3.8912400427771755E-2</v>
      </c>
      <c r="U238" s="155">
        <v>3.5014025126658486E-2</v>
      </c>
      <c r="V238" s="155">
        <v>9.3279741239818414E-4</v>
      </c>
      <c r="W238" s="155">
        <v>9.8717307791664599E-2</v>
      </c>
      <c r="X238" s="191">
        <v>0.59164988344322877</v>
      </c>
      <c r="Y238" s="155">
        <v>2.4633522281309053</v>
      </c>
      <c r="Z238" s="155">
        <v>0.36589463337537875</v>
      </c>
      <c r="AA238" s="155">
        <v>1.4604284527736688</v>
      </c>
      <c r="AB238" s="155">
        <v>0.4185799466334359</v>
      </c>
      <c r="AC238" s="155">
        <v>3.8014276728200999E-4</v>
      </c>
      <c r="AD238" s="155">
        <v>9.5514695022030276E-4</v>
      </c>
      <c r="AE238" s="155">
        <v>4.4165031314041238E-2</v>
      </c>
      <c r="AF238" s="155">
        <v>0.23329397117782896</v>
      </c>
      <c r="AG238" s="155">
        <v>1.8162236756813415</v>
      </c>
      <c r="AH238" s="155">
        <v>9.3083358437517569E-2</v>
      </c>
      <c r="AI238" s="155">
        <v>0.12968099596417557</v>
      </c>
      <c r="AJ238" s="155">
        <v>1.035839338147639</v>
      </c>
      <c r="AK238" s="155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7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105"/>
        <v>7.8968968811363204E-4</v>
      </c>
      <c r="H239" s="49">
        <f t="shared" si="106"/>
        <v>8.2819449360799181E-4</v>
      </c>
      <c r="I239" s="49">
        <f t="shared" si="106"/>
        <v>7.5670000096610644E-4</v>
      </c>
      <c r="J239" s="49">
        <f t="shared" si="106"/>
        <v>6.9031850563137259E-4</v>
      </c>
      <c r="K239" s="49" t="e">
        <f t="shared" si="106"/>
        <v>#NUM!</v>
      </c>
      <c r="L239" s="49" t="e">
        <f t="shared" ref="L239:M239" si="120">L175*L218</f>
        <v>#NUM!</v>
      </c>
      <c r="M239" s="49" t="e">
        <f t="shared" si="120"/>
        <v>#NUM!</v>
      </c>
      <c r="N239" s="217"/>
      <c r="O239" s="108">
        <v>237</v>
      </c>
      <c r="P239" s="108">
        <v>0</v>
      </c>
      <c r="Q239" s="155">
        <v>0.68717731945272365</v>
      </c>
      <c r="R239" s="155">
        <v>0.33995438116571847</v>
      </c>
      <c r="S239" s="155">
        <v>1.0291831984403743</v>
      </c>
      <c r="T239" s="155">
        <v>1.4421333144364515E-2</v>
      </c>
      <c r="U239" s="155">
        <v>1.5803275485238921E-2</v>
      </c>
      <c r="V239" s="155">
        <v>-1.1101450452736847E-4</v>
      </c>
      <c r="W239" s="155">
        <v>5.7918626500081505E-2</v>
      </c>
      <c r="X239" s="191">
        <v>0.56718308056126943</v>
      </c>
      <c r="Y239" s="155">
        <v>1.1841325397052329</v>
      </c>
      <c r="Z239" s="155">
        <v>0.16801081007268631</v>
      </c>
      <c r="AA239" s="155">
        <v>0.67104554352657464</v>
      </c>
      <c r="AB239" s="155">
        <v>0.2043992352496232</v>
      </c>
      <c r="AC239" s="155">
        <v>6.7884691680341626E-5</v>
      </c>
      <c r="AD239" s="155">
        <v>8.8855502431118888E-4</v>
      </c>
      <c r="AE239" s="155">
        <v>1.1842169361130538E-2</v>
      </c>
      <c r="AF239" s="155">
        <v>5.1323577693790805E-2</v>
      </c>
      <c r="AG239" s="155">
        <v>0.71521691561729317</v>
      </c>
      <c r="AH239" s="155">
        <v>5.8121321676376805E-2</v>
      </c>
      <c r="AI239" s="155">
        <v>9.5034886432362076E-2</v>
      </c>
      <c r="AJ239" s="155">
        <v>0.51146710535178164</v>
      </c>
      <c r="AK239" s="155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7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105"/>
        <v>-3.5919440401668938E-3</v>
      </c>
      <c r="H240" s="49">
        <f t="shared" si="106"/>
        <v>-4.0401802077008019E-3</v>
      </c>
      <c r="I240" s="49">
        <f t="shared" si="106"/>
        <v>-4.0044882137344993E-3</v>
      </c>
      <c r="J240" s="49">
        <f t="shared" si="106"/>
        <v>-3.9917417484169378E-3</v>
      </c>
      <c r="K240" s="49" t="e">
        <f t="shared" si="106"/>
        <v>#NUM!</v>
      </c>
      <c r="L240" s="49" t="e">
        <f t="shared" ref="L240:M240" si="121">L176*L219</f>
        <v>#NUM!</v>
      </c>
      <c r="M240" s="49" t="e">
        <f t="shared" si="121"/>
        <v>#NUM!</v>
      </c>
      <c r="N240" s="217"/>
      <c r="O240" s="108">
        <v>238</v>
      </c>
      <c r="P240" s="108">
        <v>0</v>
      </c>
      <c r="Q240" s="155">
        <v>-1.5994961070394638</v>
      </c>
      <c r="R240" s="155">
        <v>-0.9446961425418855</v>
      </c>
      <c r="S240" s="155">
        <v>-2.8540959549105995</v>
      </c>
      <c r="T240" s="155">
        <v>-4.4888465206549523E-2</v>
      </c>
      <c r="U240" s="155">
        <v>-5.7501364023084596E-2</v>
      </c>
      <c r="V240" s="155">
        <v>5.0865957333359128E-4</v>
      </c>
      <c r="W240" s="155">
        <v>-0.25100785098546707</v>
      </c>
      <c r="X240" s="191">
        <v>-1.3084873322656621</v>
      </c>
      <c r="Y240" s="155">
        <v>-3.2738214000869745</v>
      </c>
      <c r="Z240" s="155">
        <v>-0.55457126063530748</v>
      </c>
      <c r="AA240" s="155">
        <v>-2.8542090013886536</v>
      </c>
      <c r="AB240" s="155">
        <v>-0.59178449845446657</v>
      </c>
      <c r="AC240" s="155">
        <v>-7.4447327740532142E-4</v>
      </c>
      <c r="AD240" s="155">
        <v>-5.4214431507514024E-3</v>
      </c>
      <c r="AE240" s="155">
        <v>-5.6111132380182949E-2</v>
      </c>
      <c r="AF240" s="155">
        <v>-0.20285789431380019</v>
      </c>
      <c r="AG240" s="155">
        <v>-2.0265209420094523</v>
      </c>
      <c r="AH240" s="155">
        <v>-0.20097260940109901</v>
      </c>
      <c r="AI240" s="155">
        <v>-0.21148164715464418</v>
      </c>
      <c r="AJ240" s="155">
        <v>-1.7401301081524241</v>
      </c>
      <c r="AK240" s="155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7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105"/>
        <v>-0.16918574369472417</v>
      </c>
      <c r="H241" s="49">
        <f t="shared" si="106"/>
        <v>-0.16735255770537646</v>
      </c>
      <c r="I241" s="49">
        <f t="shared" si="106"/>
        <v>-0.16565525687679053</v>
      </c>
      <c r="J241" s="49">
        <f t="shared" si="106"/>
        <v>-0.16406969775467689</v>
      </c>
      <c r="K241" s="49">
        <f t="shared" si="106"/>
        <v>-0.18033231153868215</v>
      </c>
      <c r="L241" s="49">
        <f t="shared" ref="L241:M241" si="122">L177*L220</f>
        <v>-0.19659492532268744</v>
      </c>
      <c r="M241" s="49">
        <f t="shared" si="122"/>
        <v>-0.21285753910669272</v>
      </c>
      <c r="N241" s="217"/>
      <c r="O241" s="108">
        <v>239</v>
      </c>
      <c r="P241" s="108">
        <v>0</v>
      </c>
      <c r="Q241" s="155">
        <v>0.55725144069121479</v>
      </c>
      <c r="R241" s="155">
        <v>-0.10596005830585771</v>
      </c>
      <c r="S241" s="155">
        <v>-0.98208044856916044</v>
      </c>
      <c r="T241" s="155">
        <v>-0.35653656790675514</v>
      </c>
      <c r="U241" s="155">
        <v>-0.48553199415343923</v>
      </c>
      <c r="V241" s="155">
        <v>-0.16400818529898264</v>
      </c>
      <c r="W241" s="155">
        <v>-0.28936843927374811</v>
      </c>
      <c r="X241" s="191">
        <v>-0.82699019643773175</v>
      </c>
      <c r="Y241" s="155">
        <v>-1.3182564595830877</v>
      </c>
      <c r="Z241" s="155">
        <v>-0.59516962239249449</v>
      </c>
      <c r="AA241" s="155">
        <v>-1.2735139803761002</v>
      </c>
      <c r="AB241" s="155">
        <v>-0.81935050864564063</v>
      </c>
      <c r="AC241" s="155">
        <v>-0.16410994673926865</v>
      </c>
      <c r="AD241" s="155">
        <v>-0.23897572595596839</v>
      </c>
      <c r="AE241" s="155">
        <v>-0.15843501410617886</v>
      </c>
      <c r="AF241" s="155">
        <v>-0.60004451827665506</v>
      </c>
      <c r="AG241" s="155">
        <v>-0.86983219320264249</v>
      </c>
      <c r="AH241" s="155">
        <v>-0.50507347877741815</v>
      </c>
      <c r="AI241" s="155">
        <v>-0.68996310002602146</v>
      </c>
      <c r="AJ241" s="155">
        <v>-0.99116786583678407</v>
      </c>
      <c r="AK241" s="155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7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105"/>
        <v>1.802837617153737E-2</v>
      </c>
      <c r="H242" s="49">
        <f t="shared" ref="H242:K243" si="123">H178*H221</f>
        <v>1.6264590584552176E-2</v>
      </c>
      <c r="I242" s="49">
        <f t="shared" si="123"/>
        <v>1.6264590584552176E-2</v>
      </c>
      <c r="J242" s="49">
        <f t="shared" si="123"/>
        <v>1.6264590584552176E-2</v>
      </c>
      <c r="K242" s="49">
        <f t="shared" si="123"/>
        <v>0</v>
      </c>
      <c r="L242" s="49">
        <f t="shared" ref="L242:M242" si="124">L178*L221</f>
        <v>0</v>
      </c>
      <c r="M242" s="49">
        <f t="shared" si="124"/>
        <v>0</v>
      </c>
      <c r="N242" s="217"/>
      <c r="O242" s="108">
        <v>240</v>
      </c>
      <c r="P242" s="108">
        <v>0</v>
      </c>
      <c r="Q242" s="155">
        <v>1.9409935407995117E-2</v>
      </c>
      <c r="R242" s="155">
        <v>1.4885051202546847E-3</v>
      </c>
      <c r="S242" s="155">
        <v>-3.1335826953991235E-3</v>
      </c>
      <c r="T242" s="155">
        <v>1.6566835540467873E-3</v>
      </c>
      <c r="U242" s="155">
        <v>8.1512135536539049E-3</v>
      </c>
      <c r="V242" s="155">
        <v>1.0572374402663438E-2</v>
      </c>
      <c r="W242" s="155">
        <v>3.8749131485527901E-3</v>
      </c>
      <c r="X242" s="191">
        <v>1.4976754852260323E-2</v>
      </c>
      <c r="Y242" s="155">
        <v>-1.2129619661829511E-2</v>
      </c>
      <c r="Z242" s="155">
        <v>2.8027235295129987E-2</v>
      </c>
      <c r="AA242" s="155">
        <v>2.54160006599367E-2</v>
      </c>
      <c r="AB242" s="155">
        <v>1.8506801187251877E-2</v>
      </c>
      <c r="AC242" s="155">
        <v>4.044562005528974E-2</v>
      </c>
      <c r="AD242" s="155">
        <v>8.2743340428860519E-3</v>
      </c>
      <c r="AE242" s="155">
        <v>6.9273996304057318E-3</v>
      </c>
      <c r="AF242" s="155">
        <v>2.300099745785918E-2</v>
      </c>
      <c r="AG242" s="155">
        <v>-1.5794228680504107E-3</v>
      </c>
      <c r="AH242" s="155">
        <v>9.3549304031056071E-3</v>
      </c>
      <c r="AI242" s="155">
        <v>1.3851631617079441E-2</v>
      </c>
      <c r="AJ242" s="155">
        <v>-8.8444643686558574E-3</v>
      </c>
      <c r="AK242" s="155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7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105"/>
        <v>0.20231322883188479</v>
      </c>
      <c r="H243" s="49">
        <f t="shared" si="123"/>
        <v>0.21917266456787521</v>
      </c>
      <c r="I243" s="49">
        <f t="shared" si="123"/>
        <v>0.23603210030386559</v>
      </c>
      <c r="J243" s="49">
        <f t="shared" si="123"/>
        <v>0.25289153603985598</v>
      </c>
      <c r="K243" s="49">
        <f t="shared" si="123"/>
        <v>0.26975097177584639</v>
      </c>
      <c r="L243" s="49">
        <f t="shared" ref="L243:M243" si="125">L179*L222</f>
        <v>0.28661040751183681</v>
      </c>
      <c r="M243" s="49">
        <f t="shared" si="125"/>
        <v>0.30346984324782722</v>
      </c>
      <c r="N243" s="217"/>
      <c r="O243" s="108">
        <v>241</v>
      </c>
      <c r="P243" s="108">
        <v>0</v>
      </c>
      <c r="Q243" s="155">
        <v>0.20144102481010723</v>
      </c>
      <c r="R243" s="155">
        <v>0.20097030677071842</v>
      </c>
      <c r="S243" s="155">
        <v>0.20411918471509766</v>
      </c>
      <c r="T243" s="155">
        <v>0.20346625096579901</v>
      </c>
      <c r="U243" s="155">
        <v>0.20643870836004868</v>
      </c>
      <c r="V243" s="155">
        <v>0.20504399594207415</v>
      </c>
      <c r="W243" s="155">
        <v>0.2028864135363509</v>
      </c>
      <c r="X243" s="191">
        <v>0.20602197920450846</v>
      </c>
      <c r="Y243" s="155">
        <v>0.20913859796736115</v>
      </c>
      <c r="Z243" s="155">
        <v>0.20340499633260467</v>
      </c>
      <c r="AA243" s="155">
        <v>0.20896873551111633</v>
      </c>
      <c r="AB243" s="155">
        <v>0.20647466386872154</v>
      </c>
      <c r="AC243" s="155">
        <v>0.20395577280319607</v>
      </c>
      <c r="AD243" s="155">
        <v>0.20775897206246241</v>
      </c>
      <c r="AE243" s="155">
        <v>0.20347230568126246</v>
      </c>
      <c r="AF243" s="155">
        <v>0.2054070615804619</v>
      </c>
      <c r="AG243" s="155">
        <v>0.20177422535255973</v>
      </c>
      <c r="AH243" s="155">
        <v>0.20483323255533162</v>
      </c>
      <c r="AI243" s="155">
        <v>0.20327295980289473</v>
      </c>
      <c r="AJ243" s="155">
        <v>0.20632155188282963</v>
      </c>
      <c r="AK243" s="155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7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5"/>
      <c r="R244" s="155"/>
      <c r="S244" s="155"/>
      <c r="T244" s="155"/>
      <c r="U244" s="155"/>
      <c r="V244" s="155"/>
      <c r="W244" s="155"/>
      <c r="X244" s="191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7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12.638339420487767</v>
      </c>
      <c r="H245" s="43">
        <v>12.652853363309193</v>
      </c>
      <c r="I245" s="43">
        <f t="shared" ref="I245:K245" si="126">SUM(I226:I243)</f>
        <v>12.668027669465813</v>
      </c>
      <c r="J245" s="43">
        <f t="shared" si="126"/>
        <v>12.684409956062659</v>
      </c>
      <c r="K245" s="43" t="e">
        <f t="shared" si="126"/>
        <v>#NUM!</v>
      </c>
      <c r="L245" s="43" t="e">
        <f t="shared" ref="L245:M245" si="127">SUM(L226:L243)</f>
        <v>#NUM!</v>
      </c>
      <c r="M245" s="43" t="e">
        <f t="shared" si="127"/>
        <v>#NUM!</v>
      </c>
      <c r="N245" s="212"/>
      <c r="O245" s="108">
        <v>243</v>
      </c>
      <c r="P245" s="108">
        <v>0</v>
      </c>
      <c r="Q245" s="155">
        <v>15.336588480829429</v>
      </c>
      <c r="R245" s="155">
        <v>11.627187690903845</v>
      </c>
      <c r="S245" s="155">
        <v>9.406855956226412</v>
      </c>
      <c r="T245" s="155">
        <v>12.157273173485441</v>
      </c>
      <c r="U245" s="155">
        <v>12.11033697843016</v>
      </c>
      <c r="V245" s="155">
        <v>12.745686254138505</v>
      </c>
      <c r="W245" s="155">
        <v>12.047246933068681</v>
      </c>
      <c r="X245" s="191">
        <v>10.531393351090099</v>
      </c>
      <c r="Y245" s="155">
        <v>8.7069048509774696</v>
      </c>
      <c r="Z245" s="155">
        <v>11.446399820411763</v>
      </c>
      <c r="AA245" s="155">
        <v>9.4526692280373457</v>
      </c>
      <c r="AB245" s="155">
        <v>10.875984373451724</v>
      </c>
      <c r="AC245" s="155">
        <v>12.783321148767294</v>
      </c>
      <c r="AD245" s="155">
        <v>12.618195478783893</v>
      </c>
      <c r="AE245" s="155">
        <v>12.973193650439249</v>
      </c>
      <c r="AF245" s="155">
        <v>11.492587705030125</v>
      </c>
      <c r="AG245" s="155">
        <v>10.034843164823535</v>
      </c>
      <c r="AH245" s="155">
        <v>11.767769771660685</v>
      </c>
      <c r="AI245" s="155">
        <v>11.505363093544563</v>
      </c>
      <c r="AJ245" s="155">
        <v>9.9225006013684993</v>
      </c>
      <c r="AK245" s="155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7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308149.21856259793</v>
      </c>
      <c r="H246" s="7">
        <f>EXP(H245)</f>
        <v>312654.29281206435</v>
      </c>
      <c r="I246" s="7">
        <f t="shared" ref="I246:K246" si="128">EXP(I245)</f>
        <v>317434.78335680685</v>
      </c>
      <c r="J246" s="7">
        <f t="shared" si="128"/>
        <v>322677.92098324845</v>
      </c>
      <c r="K246" s="7" t="e">
        <f t="shared" si="128"/>
        <v>#NUM!</v>
      </c>
      <c r="L246" s="7" t="e">
        <f t="shared" ref="L246:M246" si="129">EXP(L245)</f>
        <v>#NUM!</v>
      </c>
      <c r="M246" s="7" t="e">
        <f t="shared" si="129"/>
        <v>#NUM!</v>
      </c>
      <c r="N246" s="206"/>
      <c r="O246" s="108">
        <v>244</v>
      </c>
      <c r="P246" s="108">
        <v>0</v>
      </c>
      <c r="Q246" s="155">
        <v>4577156.3584540142</v>
      </c>
      <c r="R246" s="155">
        <v>112104.60536926478</v>
      </c>
      <c r="S246" s="155">
        <v>12171.542891674004</v>
      </c>
      <c r="T246" s="155">
        <v>190474.41755581286</v>
      </c>
      <c r="U246" s="155">
        <v>181740.83694748979</v>
      </c>
      <c r="V246" s="155">
        <v>343068.78799744573</v>
      </c>
      <c r="W246" s="155">
        <v>170629.00771220317</v>
      </c>
      <c r="X246" s="191">
        <v>37473.651978016365</v>
      </c>
      <c r="Y246" s="155">
        <v>6044.5048618074197</v>
      </c>
      <c r="Z246" s="155">
        <v>93563.89215016448</v>
      </c>
      <c r="AA246" s="155">
        <v>12742.131566427977</v>
      </c>
      <c r="AB246" s="155">
        <v>52890.783274526802</v>
      </c>
      <c r="AC246" s="155">
        <v>356226.18128085841</v>
      </c>
      <c r="AD246" s="155">
        <v>302003.9811191599</v>
      </c>
      <c r="AE246" s="155">
        <v>430711.44789844676</v>
      </c>
      <c r="AF246" s="155">
        <v>97986.765736667905</v>
      </c>
      <c r="AG246" s="155">
        <v>22807.464799020738</v>
      </c>
      <c r="AH246" s="155">
        <v>129026.07202721431</v>
      </c>
      <c r="AI246" s="155">
        <v>99246.615135987027</v>
      </c>
      <c r="AJ246" s="155">
        <v>20383.898956693323</v>
      </c>
      <c r="AK246" s="155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7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138.65637338359778</v>
      </c>
      <c r="H247" s="20">
        <f>H137</f>
        <v>142.14962945969702</v>
      </c>
      <c r="I247" s="20">
        <f t="shared" ref="I247:K247" si="130">I137</f>
        <v>145.74094638099078</v>
      </c>
      <c r="J247" s="20">
        <f t="shared" si="130"/>
        <v>149.4229955629186</v>
      </c>
      <c r="K247" s="20">
        <f t="shared" si="130"/>
        <v>149.4229955629186</v>
      </c>
      <c r="L247" s="20">
        <f t="shared" ref="L247:M247" si="131">L137</f>
        <v>149.4229955629186</v>
      </c>
      <c r="M247" s="20">
        <f t="shared" si="131"/>
        <v>149.4229955629186</v>
      </c>
      <c r="N247" s="205"/>
      <c r="O247" s="108">
        <v>245</v>
      </c>
      <c r="P247" s="108">
        <v>0</v>
      </c>
      <c r="Q247" s="155">
        <v>148.5804757052604</v>
      </c>
      <c r="R247" s="155">
        <v>117.84029975935469</v>
      </c>
      <c r="S247" s="155">
        <v>125.10444237512081</v>
      </c>
      <c r="T247" s="155">
        <v>135.44966503841732</v>
      </c>
      <c r="U247" s="155">
        <v>127.04410268398206</v>
      </c>
      <c r="V247" s="155">
        <v>142.73452696871527</v>
      </c>
      <c r="W247" s="155">
        <v>125.29129337669033</v>
      </c>
      <c r="X247" s="191">
        <v>133.43126398830893</v>
      </c>
      <c r="Y247" s="155">
        <v>126.74605058078812</v>
      </c>
      <c r="Z247" s="155">
        <v>120.87063966651004</v>
      </c>
      <c r="AA247" s="155">
        <v>147.4388084309023</v>
      </c>
      <c r="AB247" s="155">
        <v>152.07823232390956</v>
      </c>
      <c r="AC247" s="155">
        <v>138.65637338359778</v>
      </c>
      <c r="AD247" s="155">
        <v>129.41053048716657</v>
      </c>
      <c r="AE247" s="155">
        <v>152.07823232390956</v>
      </c>
      <c r="AF247" s="155">
        <v>130.19187476431208</v>
      </c>
      <c r="AG247" s="155">
        <v>126.74605058078812</v>
      </c>
      <c r="AH247" s="155">
        <v>152.07823232390956</v>
      </c>
      <c r="AI247" s="155">
        <v>127.18550362672097</v>
      </c>
      <c r="AJ247" s="155">
        <v>125.10444237512081</v>
      </c>
      <c r="AK247" s="155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7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42726853.106879458</v>
      </c>
      <c r="H248" s="7">
        <f>H246*H247</f>
        <v>44443691.872218564</v>
      </c>
      <c r="I248" s="7">
        <f t="shared" ref="I248:K248" si="132">I246*I247</f>
        <v>46263245.740665808</v>
      </c>
      <c r="J248" s="7">
        <f t="shared" si="132"/>
        <v>48215501.555331729</v>
      </c>
      <c r="K248" s="7" t="e">
        <f t="shared" si="132"/>
        <v>#NUM!</v>
      </c>
      <c r="L248" s="7" t="e">
        <f t="shared" ref="L248:M248" si="133">L246*L247</f>
        <v>#NUM!</v>
      </c>
      <c r="M248" s="7" t="e">
        <f t="shared" si="133"/>
        <v>#NUM!</v>
      </c>
      <c r="N248" s="206"/>
      <c r="O248" s="108">
        <v>246</v>
      </c>
      <c r="P248" s="108">
        <v>0</v>
      </c>
      <c r="Q248" s="155">
        <v>680076069.11645484</v>
      </c>
      <c r="R248" s="155">
        <v>13210440.301118325</v>
      </c>
      <c r="S248" s="155">
        <v>1522714.0863077417</v>
      </c>
      <c r="T248" s="155">
        <v>25799696.056322489</v>
      </c>
      <c r="U248" s="155">
        <v>23089101.551029734</v>
      </c>
      <c r="V248" s="155">
        <v>48967761.17254588</v>
      </c>
      <c r="W248" s="155">
        <v>21378329.063843206</v>
      </c>
      <c r="X248" s="191">
        <v>5000156.7496847166</v>
      </c>
      <c r="Y248" s="155">
        <v>766117.1189504629</v>
      </c>
      <c r="Z248" s="155">
        <v>11309127.493878739</v>
      </c>
      <c r="AA248" s="155">
        <v>1878684.6950239276</v>
      </c>
      <c r="AB248" s="155">
        <v>8043536.8266170369</v>
      </c>
      <c r="AC248" s="155">
        <v>49393030.400691897</v>
      </c>
      <c r="AD248" s="155">
        <v>39082495.40586672</v>
      </c>
      <c r="AE248" s="155">
        <v>65501835.638067454</v>
      </c>
      <c r="AF248" s="155">
        <v>12757080.733348254</v>
      </c>
      <c r="AG248" s="155">
        <v>2890756.0870362269</v>
      </c>
      <c r="AH248" s="155">
        <v>19622056.957596187</v>
      </c>
      <c r="AI248" s="155">
        <v>12622730.729317859</v>
      </c>
      <c r="AJ248" s="155">
        <v>2550116.3124079253</v>
      </c>
      <c r="AK248" s="155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7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A249" s="3"/>
      <c r="B249" s="9">
        <v>235</v>
      </c>
      <c r="C249" s="3"/>
      <c r="D249" s="3"/>
      <c r="M249" s="89"/>
      <c r="O249" s="108">
        <v>247</v>
      </c>
      <c r="P249" s="108">
        <v>0</v>
      </c>
      <c r="Q249" s="155"/>
      <c r="R249" s="155"/>
      <c r="S249" s="155"/>
      <c r="T249" s="155"/>
      <c r="U249" s="155"/>
      <c r="V249" s="155"/>
      <c r="W249" s="155"/>
      <c r="X249" s="191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7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A250" s="3"/>
      <c r="B250" s="9">
        <v>236</v>
      </c>
      <c r="C250" s="3"/>
      <c r="D250" s="3"/>
      <c r="E250" s="36"/>
      <c r="M250" s="89"/>
      <c r="O250" s="108">
        <v>248</v>
      </c>
      <c r="P250" s="108">
        <v>0</v>
      </c>
      <c r="Q250" s="155"/>
      <c r="R250" s="155"/>
      <c r="S250" s="155"/>
      <c r="T250" s="155"/>
      <c r="U250" s="155"/>
      <c r="V250" s="155"/>
      <c r="W250" s="155"/>
      <c r="X250" s="191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7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A251" s="3"/>
      <c r="B251" s="3"/>
      <c r="C251" s="3"/>
      <c r="D251" s="3"/>
      <c r="E251" s="36"/>
      <c r="M251" s="89"/>
      <c r="O251" s="108">
        <v>249</v>
      </c>
      <c r="P251" s="108">
        <v>0</v>
      </c>
      <c r="Q251" s="155"/>
      <c r="R251" s="155"/>
      <c r="S251" s="155"/>
      <c r="T251" s="155"/>
      <c r="U251" s="155"/>
      <c r="V251" s="155"/>
      <c r="W251" s="155"/>
      <c r="X251" s="191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7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A252" s="3"/>
      <c r="B252" s="3"/>
      <c r="C252" s="3"/>
      <c r="D252" s="3"/>
      <c r="E252" s="36"/>
      <c r="O252" s="108">
        <v>250</v>
      </c>
      <c r="P252" s="108">
        <v>0</v>
      </c>
      <c r="Q252" s="155"/>
      <c r="R252" s="155"/>
      <c r="S252" s="155"/>
      <c r="T252" s="155"/>
      <c r="U252" s="155"/>
      <c r="V252" s="155"/>
      <c r="W252" s="155"/>
      <c r="X252" s="191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7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25">
      <c r="A253" s="241" t="s">
        <v>151</v>
      </c>
      <c r="B253" s="241"/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7"/>
      <c r="N253" s="206"/>
      <c r="O253" s="108">
        <v>251</v>
      </c>
      <c r="P253" s="108">
        <v>0</v>
      </c>
      <c r="Q253" s="155"/>
      <c r="R253" s="155"/>
      <c r="S253" s="155"/>
      <c r="T253" s="155"/>
      <c r="U253" s="155"/>
      <c r="V253" s="155"/>
      <c r="W253" s="155"/>
      <c r="X253" s="191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7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6"/>
      <c r="O254" s="108">
        <v>252</v>
      </c>
      <c r="P254" s="108">
        <v>0</v>
      </c>
      <c r="Q254" s="155"/>
      <c r="R254" s="155"/>
      <c r="S254" s="155"/>
      <c r="T254" s="155"/>
      <c r="U254" s="155"/>
      <c r="V254" s="155"/>
      <c r="W254" s="155"/>
      <c r="X254" s="191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7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6"/>
      <c r="O255" s="108">
        <v>253</v>
      </c>
      <c r="P255" s="108">
        <v>0</v>
      </c>
      <c r="Q255" s="155"/>
      <c r="R255" s="155"/>
      <c r="S255" s="155"/>
      <c r="T255" s="155"/>
      <c r="U255" s="155"/>
      <c r="V255" s="155"/>
      <c r="W255" s="155"/>
      <c r="X255" s="191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7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34">G121</f>
        <v>47080286.117015854</v>
      </c>
      <c r="H256" s="59">
        <f>H121</f>
        <v>48188974.237389714</v>
      </c>
      <c r="I256" s="59">
        <f t="shared" ref="I256:K256" si="135">I121</f>
        <v>49710875.966487676</v>
      </c>
      <c r="J256" s="59">
        <f t="shared" si="135"/>
        <v>51264570.955965541</v>
      </c>
      <c r="K256" s="59">
        <f t="shared" si="135"/>
        <v>14965414.434549388</v>
      </c>
      <c r="L256" s="59">
        <f t="shared" ref="L256:M256" si="136">L121</f>
        <v>14278501.912003571</v>
      </c>
      <c r="M256" s="59">
        <f t="shared" si="136"/>
        <v>13623118.674242606</v>
      </c>
      <c r="N256" s="218"/>
      <c r="O256" s="108">
        <v>254</v>
      </c>
      <c r="P256" s="108">
        <v>0</v>
      </c>
      <c r="Q256" s="155">
        <v>675489361.22490299</v>
      </c>
      <c r="R256" s="155">
        <v>25574111.68164584</v>
      </c>
      <c r="S256" s="155">
        <v>1675460.1896857019</v>
      </c>
      <c r="T256" s="155">
        <v>26767728.831873819</v>
      </c>
      <c r="U256" s="155">
        <v>21022776.179534219</v>
      </c>
      <c r="V256" s="155">
        <v>42620319.773439072</v>
      </c>
      <c r="W256" s="155">
        <v>25353417.629236817</v>
      </c>
      <c r="X256" s="191">
        <v>4986175.2064291537</v>
      </c>
      <c r="Y256" s="155">
        <v>975438.20420847007</v>
      </c>
      <c r="Z256" s="155">
        <v>9323478.4364677593</v>
      </c>
      <c r="AA256" s="155">
        <v>1199837.1789430627</v>
      </c>
      <c r="AB256" s="155">
        <v>4988845.2740728278</v>
      </c>
      <c r="AC256" s="155">
        <v>43320500.93061386</v>
      </c>
      <c r="AD256" s="155">
        <v>33295990.110588793</v>
      </c>
      <c r="AE256" s="155">
        <v>63763754.832226202</v>
      </c>
      <c r="AF256" s="155">
        <v>13053904.028289329</v>
      </c>
      <c r="AG256" s="155">
        <v>2256378.7822468029</v>
      </c>
      <c r="AH256" s="155">
        <v>17347521.053120323</v>
      </c>
      <c r="AI256" s="155">
        <v>14068956.005412698</v>
      </c>
      <c r="AJ256" s="155">
        <v>2530123.444096637</v>
      </c>
      <c r="AK256" s="155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7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37">G248</f>
        <v>42726853.106879458</v>
      </c>
      <c r="H257" s="59">
        <f t="shared" ref="H257:K257" si="138">H248</f>
        <v>44443691.872218564</v>
      </c>
      <c r="I257" s="59">
        <f t="shared" si="138"/>
        <v>46263245.740665808</v>
      </c>
      <c r="J257" s="59">
        <f t="shared" si="138"/>
        <v>48215501.555331729</v>
      </c>
      <c r="K257" s="59" t="e">
        <f t="shared" si="138"/>
        <v>#NUM!</v>
      </c>
      <c r="L257" s="59" t="e">
        <f t="shared" ref="L257:M257" si="139">L248</f>
        <v>#NUM!</v>
      </c>
      <c r="M257" s="59" t="e">
        <f t="shared" si="139"/>
        <v>#NUM!</v>
      </c>
      <c r="N257" s="218"/>
      <c r="O257" s="108">
        <v>255</v>
      </c>
      <c r="P257" s="108">
        <v>0</v>
      </c>
      <c r="Q257" s="155">
        <v>680076069.11645484</v>
      </c>
      <c r="R257" s="155">
        <v>13210440.301118325</v>
      </c>
      <c r="S257" s="155">
        <v>1522714.0863077417</v>
      </c>
      <c r="T257" s="155">
        <v>25799696.056322489</v>
      </c>
      <c r="U257" s="155">
        <v>23089101.551029734</v>
      </c>
      <c r="V257" s="155">
        <v>48967761.17254588</v>
      </c>
      <c r="W257" s="155">
        <v>21378329.063843206</v>
      </c>
      <c r="X257" s="191">
        <v>5000156.7496847166</v>
      </c>
      <c r="Y257" s="155">
        <v>766117.1189504629</v>
      </c>
      <c r="Z257" s="155">
        <v>11309127.493878739</v>
      </c>
      <c r="AA257" s="155">
        <v>1878684.6950239276</v>
      </c>
      <c r="AB257" s="155">
        <v>8043536.8266170369</v>
      </c>
      <c r="AC257" s="155">
        <v>49393030.400691897</v>
      </c>
      <c r="AD257" s="155">
        <v>39082495.40586672</v>
      </c>
      <c r="AE257" s="155">
        <v>65501835.638067454</v>
      </c>
      <c r="AF257" s="155">
        <v>12757080.733348254</v>
      </c>
      <c r="AG257" s="155">
        <v>2890756.0870362269</v>
      </c>
      <c r="AH257" s="155">
        <v>19622056.957596187</v>
      </c>
      <c r="AI257" s="155">
        <v>12622730.729317859</v>
      </c>
      <c r="AJ257" s="155">
        <v>2550116.3124079253</v>
      </c>
      <c r="AK257" s="155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7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140">G256-G257</f>
        <v>4353433.0101363957</v>
      </c>
      <c r="H258" s="24">
        <f t="shared" ref="H258:K258" si="141">H256-H257</f>
        <v>3745282.3651711494</v>
      </c>
      <c r="I258" s="24">
        <f t="shared" si="141"/>
        <v>3447630.2258218676</v>
      </c>
      <c r="J258" s="24">
        <f t="shared" si="141"/>
        <v>3049069.400633812</v>
      </c>
      <c r="K258" s="24" t="e">
        <f t="shared" si="141"/>
        <v>#NUM!</v>
      </c>
      <c r="L258" s="24" t="e">
        <f t="shared" ref="L258" si="142">L256-L257</f>
        <v>#NUM!</v>
      </c>
      <c r="M258" s="24" t="e">
        <f>M256-M257</f>
        <v>#NUM!</v>
      </c>
      <c r="N258" s="207"/>
      <c r="O258" s="108">
        <v>256</v>
      </c>
      <c r="P258" s="108">
        <v>0</v>
      </c>
      <c r="Q258" s="155">
        <v>-4586707.8915518522</v>
      </c>
      <c r="R258" s="155">
        <v>12363671.380527515</v>
      </c>
      <c r="S258" s="155">
        <v>152746.10337796016</v>
      </c>
      <c r="T258" s="155">
        <v>968032.7755513303</v>
      </c>
      <c r="U258" s="155">
        <v>-2066325.3714955151</v>
      </c>
      <c r="V258" s="155">
        <v>-6347441.399106808</v>
      </c>
      <c r="W258" s="155">
        <v>3975088.5653936118</v>
      </c>
      <c r="X258" s="191">
        <v>-13981.543255562894</v>
      </c>
      <c r="Y258" s="155">
        <v>209321.08525800717</v>
      </c>
      <c r="Z258" s="155">
        <v>-1985649.0574109796</v>
      </c>
      <c r="AA258" s="155">
        <v>-678847.51608086494</v>
      </c>
      <c r="AB258" s="155">
        <v>-3054691.5525442092</v>
      </c>
      <c r="AC258" s="155">
        <v>-6072529.4700780362</v>
      </c>
      <c r="AD258" s="155">
        <v>-5786505.2952779271</v>
      </c>
      <c r="AE258" s="155">
        <v>-1738080.8058412522</v>
      </c>
      <c r="AF258" s="155">
        <v>296823.29494107515</v>
      </c>
      <c r="AG258" s="155">
        <v>-634377.30478942394</v>
      </c>
      <c r="AH258" s="155">
        <v>-2274535.904475864</v>
      </c>
      <c r="AI258" s="155">
        <v>1446225.276094839</v>
      </c>
      <c r="AJ258" s="155">
        <v>-19992.868311288301</v>
      </c>
      <c r="AK258" s="155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7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0.10188985833444048</v>
      </c>
      <c r="H259" s="60">
        <f t="shared" ref="H259:K259" si="143">H258/H257</f>
        <v>8.4270280154477864E-2</v>
      </c>
      <c r="I259" s="60">
        <f t="shared" si="143"/>
        <v>7.452201354716817E-2</v>
      </c>
      <c r="J259" s="60">
        <f t="shared" si="143"/>
        <v>6.3238363229193503E-2</v>
      </c>
      <c r="K259" s="60" t="e">
        <f t="shared" si="143"/>
        <v>#NUM!</v>
      </c>
      <c r="L259" s="60" t="e">
        <f t="shared" ref="L259:M259" si="144">L258/L257</f>
        <v>#NUM!</v>
      </c>
      <c r="M259" s="60" t="e">
        <f t="shared" si="144"/>
        <v>#NUM!</v>
      </c>
      <c r="N259" s="198"/>
      <c r="O259" s="108">
        <v>257</v>
      </c>
      <c r="P259" s="108">
        <v>0</v>
      </c>
      <c r="Q259" s="155">
        <v>-6.744404192182263E-3</v>
      </c>
      <c r="R259" s="155">
        <v>0.93590153686859878</v>
      </c>
      <c r="S259" s="155">
        <v>0.10031174253358162</v>
      </c>
      <c r="T259" s="155">
        <v>3.7521092242251572E-2</v>
      </c>
      <c r="U259" s="155">
        <v>-8.9493537326633676E-2</v>
      </c>
      <c r="V259" s="155">
        <v>-0.12962490518487388</v>
      </c>
      <c r="W259" s="155">
        <v>0.18594009632476888</v>
      </c>
      <c r="X259" s="191">
        <v>-2.7962209897608704E-3</v>
      </c>
      <c r="Y259" s="155">
        <v>0.27322334938131287</v>
      </c>
      <c r="Z259" s="155">
        <v>-0.17557933257766761</v>
      </c>
      <c r="AA259" s="155">
        <v>-0.36134191004958333</v>
      </c>
      <c r="AB259" s="155">
        <v>-0.37976969813028827</v>
      </c>
      <c r="AC259" s="155">
        <v>-0.12294304319487497</v>
      </c>
      <c r="AD259" s="155">
        <v>-0.14805874689386667</v>
      </c>
      <c r="AE259" s="155">
        <v>-2.6534841182849819E-2</v>
      </c>
      <c r="AF259" s="155">
        <v>2.3267336873172721E-2</v>
      </c>
      <c r="AG259" s="155">
        <v>-0.21945030493382955</v>
      </c>
      <c r="AH259" s="155">
        <v>-0.11591730211522674</v>
      </c>
      <c r="AI259" s="155">
        <v>0.11457309096642625</v>
      </c>
      <c r="AJ259" s="155">
        <v>-7.8399829113716818E-3</v>
      </c>
      <c r="AK259" s="155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7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25">
      <c r="A260" s="3"/>
      <c r="B260" s="37">
        <v>241</v>
      </c>
      <c r="M260" s="89"/>
      <c r="O260" s="108">
        <v>258</v>
      </c>
      <c r="P260" s="108">
        <v>0</v>
      </c>
      <c r="Q260" s="155"/>
      <c r="R260" s="155"/>
      <c r="S260" s="155"/>
      <c r="T260" s="155"/>
      <c r="U260" s="155"/>
      <c r="V260" s="155"/>
      <c r="W260" s="155"/>
      <c r="X260" s="191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7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5" customFormat="1" ht="13.5" thickBot="1" x14ac:dyDescent="0.25">
      <c r="A261" s="29"/>
      <c r="B261" s="37">
        <v>242</v>
      </c>
      <c r="C261" s="193" t="s">
        <v>154</v>
      </c>
      <c r="D261" s="194"/>
      <c r="E261" s="194"/>
      <c r="F261" s="61"/>
      <c r="G261" s="61">
        <f t="shared" ref="G261:K261" si="145">LN(G256/G257)</f>
        <v>9.7026758670746019E-2</v>
      </c>
      <c r="H261" s="61">
        <f t="shared" si="145"/>
        <v>8.0907207874281212E-2</v>
      </c>
      <c r="I261" s="61">
        <f t="shared" si="145"/>
        <v>7.1875924137815572E-2</v>
      </c>
      <c r="J261" s="61">
        <f t="shared" si="145"/>
        <v>6.1319310562387493E-2</v>
      </c>
      <c r="K261" s="61" t="e">
        <f t="shared" si="145"/>
        <v>#NUM!</v>
      </c>
      <c r="L261" s="61" t="e">
        <f t="shared" ref="L261:M261" si="146">LN(L256/L257)</f>
        <v>#NUM!</v>
      </c>
      <c r="M261" s="61" t="e">
        <f t="shared" si="146"/>
        <v>#NUM!</v>
      </c>
      <c r="N261" s="219"/>
      <c r="O261" s="196">
        <v>259</v>
      </c>
      <c r="P261" s="196">
        <v>0</v>
      </c>
      <c r="Q261" s="190">
        <v>-6.7672504670865437E-3</v>
      </c>
      <c r="R261" s="190">
        <v>0.66057312850554384</v>
      </c>
      <c r="S261" s="190">
        <v>9.559354195673378E-2</v>
      </c>
      <c r="T261" s="190">
        <v>3.6834302788116932E-2</v>
      </c>
      <c r="U261" s="190">
        <v>-9.3754281900766998E-2</v>
      </c>
      <c r="V261" s="190">
        <v>-0.13883101678348378</v>
      </c>
      <c r="W261" s="190">
        <v>0.17053579029887306</v>
      </c>
      <c r="X261" s="192">
        <v>-2.8001377187363758E-3</v>
      </c>
      <c r="Y261" s="190">
        <v>0.24155175538842397</v>
      </c>
      <c r="Z261" s="190">
        <v>-0.19307436062658731</v>
      </c>
      <c r="AA261" s="190">
        <v>-0.4483860383060369</v>
      </c>
      <c r="AB261" s="190">
        <v>-0.47766441528662357</v>
      </c>
      <c r="AC261" s="190">
        <v>-0.13118334367303955</v>
      </c>
      <c r="AD261" s="190">
        <v>-0.16023770628346737</v>
      </c>
      <c r="AE261" s="190">
        <v>-2.6893244417793071E-2</v>
      </c>
      <c r="AF261" s="190">
        <v>2.3000779196439725E-2</v>
      </c>
      <c r="AG261" s="190">
        <v>-0.24775687024487569</v>
      </c>
      <c r="AH261" s="190">
        <v>-0.12320467107657999</v>
      </c>
      <c r="AI261" s="190">
        <v>0.10847145353854716</v>
      </c>
      <c r="AJ261" s="190">
        <v>-7.8708771569075374E-3</v>
      </c>
      <c r="AK261" s="190">
        <v>7.6140422612958253E-2</v>
      </c>
      <c r="AL261" s="190">
        <v>-0.27647306171757707</v>
      </c>
      <c r="AM261" s="190">
        <v>-2.2761367546868562E-2</v>
      </c>
      <c r="AN261" s="190">
        <v>-0.29151340026801986</v>
      </c>
      <c r="AO261" s="190">
        <v>-0.21299880948856922</v>
      </c>
      <c r="AP261" s="190">
        <v>-0.15435074148231448</v>
      </c>
      <c r="AQ261" s="190">
        <v>-0.57659660670458412</v>
      </c>
      <c r="AR261" s="190">
        <v>0.1599439079302731</v>
      </c>
      <c r="AS261" s="190">
        <v>0.18231453200353245</v>
      </c>
      <c r="AT261" s="190">
        <v>-2.2330564442644099E-2</v>
      </c>
      <c r="AU261" s="190">
        <v>-9.8668585944893958E-2</v>
      </c>
      <c r="AV261" s="190">
        <v>1.255278982614313E-2</v>
      </c>
      <c r="AW261" s="190">
        <v>-0.1923847197764629</v>
      </c>
      <c r="AX261" s="190">
        <v>-0.20985794951884912</v>
      </c>
      <c r="AY261" s="190">
        <v>-9.2470479709290454E-2</v>
      </c>
      <c r="AZ261" s="190">
        <v>-5.8883753821959539E-2</v>
      </c>
      <c r="BA261" s="190"/>
      <c r="BB261" s="190">
        <v>-0.17353299422013507</v>
      </c>
      <c r="BC261" s="190">
        <v>-0.10018715109223296</v>
      </c>
      <c r="BD261" s="190">
        <v>1.2722268251887889E-2</v>
      </c>
      <c r="BE261" s="190">
        <v>-5.1762674360192364E-2</v>
      </c>
      <c r="BF261" s="190">
        <v>3.2871165743072903E-2</v>
      </c>
      <c r="BG261" s="190">
        <v>-0.37347368955381871</v>
      </c>
      <c r="BH261" s="190">
        <v>1.0010852944333569E-2</v>
      </c>
      <c r="BI261" s="190">
        <v>-0.20003458519954234</v>
      </c>
      <c r="BJ261" s="190">
        <v>-5.6650616611175993E-2</v>
      </c>
      <c r="BK261" s="190">
        <v>-0.14448629176665168</v>
      </c>
      <c r="BL261" s="190">
        <v>-0.21911245789754569</v>
      </c>
      <c r="BM261" s="190">
        <v>5.797526128895579E-2</v>
      </c>
      <c r="BN261" s="190">
        <v>8.1650757706730567E-2</v>
      </c>
      <c r="BO261" s="190">
        <v>7.2308948513432877E-2</v>
      </c>
      <c r="BP261" s="190">
        <v>-9.404932931141699E-2</v>
      </c>
      <c r="BQ261" s="190">
        <v>-0.16916290238625717</v>
      </c>
      <c r="BR261" s="190"/>
      <c r="BS261" s="190">
        <v>9.3482768835928959E-2</v>
      </c>
      <c r="BT261" s="190">
        <v>3.2266265180271286E-2</v>
      </c>
      <c r="BU261" s="190">
        <v>0.52967500191875216</v>
      </c>
      <c r="BV261" s="190">
        <v>-4.5873021111753877E-2</v>
      </c>
      <c r="BW261" s="190">
        <v>-0.46737681479801951</v>
      </c>
      <c r="BX261" s="198">
        <v>9.7026758670746019E-2</v>
      </c>
      <c r="BY261" s="190">
        <v>-0.24022901853235762</v>
      </c>
      <c r="BZ261" s="190">
        <v>8.7275315801089132E-2</v>
      </c>
      <c r="CA261" s="190">
        <v>0.26506430253982199</v>
      </c>
      <c r="CB261" s="190">
        <v>-8.4840149794422878E-2</v>
      </c>
      <c r="CC261" s="190">
        <v>-7.6267481216492822E-2</v>
      </c>
      <c r="CD261" s="158"/>
      <c r="CE261" s="158"/>
      <c r="CG261" s="195">
        <v>4.5367050329651368E-2</v>
      </c>
      <c r="CH261" s="195">
        <v>0.68933259749771869</v>
      </c>
      <c r="CI261" s="195">
        <v>0.1259040951320283</v>
      </c>
      <c r="CJ261" s="195">
        <v>4.0005293791986606E-2</v>
      </c>
      <c r="CK261" s="195">
        <v>-8.2365765740685132E-2</v>
      </c>
      <c r="CL261" s="195">
        <v>-0.11911862981757558</v>
      </c>
      <c r="CM261" s="195">
        <v>0.11167797899859878</v>
      </c>
      <c r="CN261" s="195">
        <v>1.0289293438666823E-2</v>
      </c>
      <c r="CO261" s="195">
        <v>0.17017583857315138</v>
      </c>
      <c r="CP261" s="195">
        <v>-0.18400886803332583</v>
      </c>
      <c r="CQ261" s="195">
        <v>-0.41062960410939753</v>
      </c>
      <c r="CR261" s="195">
        <v>-0.44472131879639099</v>
      </c>
      <c r="CS261" s="195">
        <v>-0.11115123769332692</v>
      </c>
      <c r="CT261" s="195">
        <v>-0.17516502062973122</v>
      </c>
      <c r="CU261" s="195">
        <v>5.3009560568334758E-2</v>
      </c>
      <c r="CV261" s="195">
        <v>7.8100495895402341E-2</v>
      </c>
      <c r="CW261" s="195">
        <v>-0.23080743238259485</v>
      </c>
      <c r="CX261" s="195">
        <v>-0.1412729855282201</v>
      </c>
      <c r="CY261" s="195">
        <v>8.8072947085392747E-2</v>
      </c>
      <c r="CZ261" s="195">
        <v>2.4312200014364814E-2</v>
      </c>
      <c r="DA261" s="195">
        <v>7.1088368407897409E-2</v>
      </c>
      <c r="DB261" s="195">
        <v>-0.2494463748605496</v>
      </c>
      <c r="DC261" s="195">
        <v>-3.5323407065295964E-2</v>
      </c>
      <c r="DD261" s="195">
        <v>-0.28379343140248919</v>
      </c>
      <c r="DE261" s="195">
        <v>-0.20133203636505317</v>
      </c>
      <c r="DF261" s="195">
        <v>-0.23046700501020001</v>
      </c>
      <c r="DG261" s="195">
        <v>-0.56301113228127964</v>
      </c>
      <c r="DH261" s="195">
        <v>0.16983472745278344</v>
      </c>
      <c r="DI261" s="195">
        <v>0.16517118532726821</v>
      </c>
      <c r="DJ261" s="195">
        <v>4.6849462680324805E-2</v>
      </c>
      <c r="DK261" s="195">
        <v>-9.2030290387265207E-2</v>
      </c>
      <c r="DL261" s="195">
        <v>-1.3597057165973493E-2</v>
      </c>
      <c r="DM261" s="195">
        <v>-0.19886788067098882</v>
      </c>
      <c r="DN261" s="195">
        <v>-0.23517395268724575</v>
      </c>
      <c r="DO261" s="195">
        <v>-0.16138079865080168</v>
      </c>
      <c r="DP261" s="195">
        <v>-7.092120646301206E-2</v>
      </c>
      <c r="DQ261" s="195">
        <v>0.11363781750916124</v>
      </c>
      <c r="DR261" s="195">
        <v>-0.14351244814584868</v>
      </c>
      <c r="DS261" s="195">
        <v>-0.12207388187310986</v>
      </c>
      <c r="DT261" s="195">
        <v>4.8630427941724147E-2</v>
      </c>
      <c r="DU261" s="195">
        <v>-9.1667349480746396E-2</v>
      </c>
      <c r="DV261" s="195">
        <v>5.4827970423291836E-2</v>
      </c>
      <c r="DW261" s="195">
        <v>-0.35990777494756127</v>
      </c>
      <c r="DX261" s="195">
        <v>2.5742769970603607E-2</v>
      </c>
      <c r="DY261" s="195">
        <v>-0.1427372608489357</v>
      </c>
      <c r="DZ261" s="195">
        <v>-3.8394035908504931E-2</v>
      </c>
      <c r="EA261" s="195">
        <v>-0.16264805507018759</v>
      </c>
      <c r="EB261" s="195">
        <v>-0.10367969672271901</v>
      </c>
      <c r="EC261" s="195">
        <v>8.2460970620447563E-2</v>
      </c>
      <c r="ED261" s="195">
        <v>0.11244761129122202</v>
      </c>
      <c r="EE261" s="195">
        <v>7.6920313206913921E-2</v>
      </c>
      <c r="EF261" s="195">
        <v>-4.1485979966266094E-2</v>
      </c>
      <c r="EG261" s="195">
        <v>-7.9287415644441098E-2</v>
      </c>
      <c r="EH261" s="195">
        <v>-0.14830049709061152</v>
      </c>
      <c r="EI261" s="195">
        <v>0.11189635873102806</v>
      </c>
      <c r="EJ261" s="195">
        <v>-1.1501696373013277E-2</v>
      </c>
      <c r="EK261" s="195">
        <v>0.52944574365265096</v>
      </c>
      <c r="EL261" s="195">
        <v>-3.1013643732482783E-2</v>
      </c>
      <c r="EM261" s="195">
        <v>-0.45657017682524337</v>
      </c>
      <c r="EN261" s="195">
        <v>9.5339226117957004E-2</v>
      </c>
      <c r="EO261" s="195">
        <v>-0.19594661765466731</v>
      </c>
      <c r="EP261" s="195">
        <v>0.1274813872531238</v>
      </c>
      <c r="EQ261" s="195">
        <v>0.26802324138088135</v>
      </c>
      <c r="ER261" s="195">
        <v>-1.5373478811613703E-2</v>
      </c>
      <c r="ES261" s="195">
        <v>-2.1033004704942824E-2</v>
      </c>
    </row>
    <row r="262" spans="1:149" hidden="1" x14ac:dyDescent="0.2">
      <c r="A262" s="27"/>
      <c r="B262" s="37">
        <v>243</v>
      </c>
      <c r="D262" s="31">
        <v>186</v>
      </c>
      <c r="E262" s="3"/>
      <c r="M262" s="89"/>
      <c r="O262" s="108">
        <v>260</v>
      </c>
      <c r="P262" s="108">
        <v>0</v>
      </c>
      <c r="Q262" s="155">
        <v>-6.7672504670865437E-3</v>
      </c>
      <c r="R262" s="155">
        <v>0.66057312850554384</v>
      </c>
      <c r="S262" s="155">
        <v>9.559354195673378E-2</v>
      </c>
      <c r="T262" s="155">
        <v>3.6834302788116932E-2</v>
      </c>
      <c r="U262" s="155">
        <v>-9.3754281900766998E-2</v>
      </c>
      <c r="V262" s="155">
        <v>-0.13883101678348378</v>
      </c>
      <c r="W262" s="155">
        <v>0.17053579029887306</v>
      </c>
      <c r="X262" s="191">
        <v>-2.8001377187363758E-3</v>
      </c>
      <c r="Y262" s="155">
        <v>0.24155175538842397</v>
      </c>
      <c r="Z262" s="155">
        <v>-0.19307436062658731</v>
      </c>
      <c r="AA262" s="155">
        <v>-0.4483860383060369</v>
      </c>
      <c r="AB262" s="155">
        <v>-0.47766441528662357</v>
      </c>
      <c r="AC262" s="155">
        <v>-0.13118334367303955</v>
      </c>
      <c r="AD262" s="155">
        <v>-0.16023770628346737</v>
      </c>
      <c r="AE262" s="155">
        <v>-2.6893244417793071E-2</v>
      </c>
      <c r="AF262" s="155">
        <v>2.3000779196439725E-2</v>
      </c>
      <c r="AG262" s="155">
        <v>-0.24775687024487569</v>
      </c>
      <c r="AH262" s="155">
        <v>-0.12320467107657999</v>
      </c>
      <c r="AI262" s="155">
        <v>0.10847145353854716</v>
      </c>
      <c r="AJ262" s="155">
        <v>-7.8708771569075374E-3</v>
      </c>
      <c r="AK262" s="155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8">
        <v>-2.6780322903377264E-2</v>
      </c>
      <c r="CE262" s="158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">
      <c r="A263" s="3"/>
      <c r="B263" s="37">
        <v>244</v>
      </c>
      <c r="D263" s="3"/>
      <c r="E263" s="3"/>
      <c r="M263" s="89"/>
      <c r="O263" s="108">
        <v>261</v>
      </c>
      <c r="P263" s="108">
        <v>0</v>
      </c>
      <c r="Q263" s="155">
        <v>0</v>
      </c>
      <c r="R263" s="155">
        <v>0</v>
      </c>
      <c r="S263" s="155">
        <v>0</v>
      </c>
      <c r="T263" s="155">
        <v>0</v>
      </c>
      <c r="U263" s="155">
        <v>0</v>
      </c>
      <c r="V263" s="155">
        <v>0</v>
      </c>
      <c r="W263" s="155">
        <v>0</v>
      </c>
      <c r="X263" s="191">
        <v>0</v>
      </c>
      <c r="Y263" s="155">
        <v>0</v>
      </c>
      <c r="Z263" s="155">
        <v>0</v>
      </c>
      <c r="AA263" s="155">
        <v>0</v>
      </c>
      <c r="AB263" s="155">
        <v>0</v>
      </c>
      <c r="AC263" s="155">
        <v>0</v>
      </c>
      <c r="AD263" s="155">
        <v>0</v>
      </c>
      <c r="AE263" s="155">
        <v>0</v>
      </c>
      <c r="AF263" s="155">
        <v>0</v>
      </c>
      <c r="AG263" s="155">
        <v>0</v>
      </c>
      <c r="AH263" s="155">
        <v>0</v>
      </c>
      <c r="AI263" s="155">
        <v>0</v>
      </c>
      <c r="AJ263" s="155">
        <v>0</v>
      </c>
      <c r="AK263" s="155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8">
        <v>0</v>
      </c>
      <c r="CE263" s="158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">
      <c r="A264" s="3"/>
      <c r="B264" s="37">
        <v>245</v>
      </c>
      <c r="C264" s="3"/>
      <c r="D264" s="3"/>
      <c r="E264" s="36"/>
      <c r="M264" s="89"/>
      <c r="O264" s="108">
        <v>262</v>
      </c>
      <c r="P264" s="108">
        <v>0</v>
      </c>
      <c r="Q264" s="155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  <c r="CG264">
        <v>0</v>
      </c>
    </row>
    <row r="265" spans="1:149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5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  <c r="CG265">
        <v>0</v>
      </c>
    </row>
    <row r="266" spans="1:149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8"/>
      <c r="O266" s="108">
        <v>264</v>
      </c>
      <c r="Q266" s="155">
        <v>-6.7672504670865437E-3</v>
      </c>
      <c r="R266" s="117">
        <v>0.66057312850554384</v>
      </c>
      <c r="S266" s="117">
        <v>9.559354195673378E-2</v>
      </c>
      <c r="T266" s="117">
        <v>3.6834302788116932E-2</v>
      </c>
      <c r="U266" s="117">
        <v>-9.3754281900766998E-2</v>
      </c>
      <c r="V266" s="117">
        <v>-0.13883101678348378</v>
      </c>
      <c r="W266" s="117">
        <v>0.17053579029887306</v>
      </c>
      <c r="X266" s="117">
        <v>-2.8001377187363758E-3</v>
      </c>
      <c r="Y266" s="117">
        <v>0.24155175538842397</v>
      </c>
      <c r="Z266" s="117">
        <v>-0.19307436062658731</v>
      </c>
      <c r="AA266" s="117">
        <v>-0.4483860383060369</v>
      </c>
      <c r="AB266" s="117">
        <v>-0.47766441528662357</v>
      </c>
      <c r="AC266" s="117">
        <v>-0.13118334367303955</v>
      </c>
      <c r="AD266" s="117">
        <v>-0.16023770628346737</v>
      </c>
      <c r="AE266" s="117">
        <v>-2.6893244417793071E-2</v>
      </c>
      <c r="AF266" s="117">
        <v>2.3000779196439725E-2</v>
      </c>
      <c r="AG266" s="117">
        <v>-0.24775687024487569</v>
      </c>
      <c r="AH266" s="117">
        <v>-0.12320467107657999</v>
      </c>
      <c r="AI266" s="117">
        <v>0.10847145353854716</v>
      </c>
      <c r="AJ266" s="117">
        <v>-7.8708771569075374E-3</v>
      </c>
      <c r="AK266" s="117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4"/>
      <c r="O267" s="108">
        <v>265</v>
      </c>
      <c r="Q267" s="155">
        <v>4.5367050329651368E-2</v>
      </c>
      <c r="R267" s="117">
        <v>0.68933259749771869</v>
      </c>
      <c r="S267" s="117">
        <v>0.1259040951320283</v>
      </c>
      <c r="T267" s="117">
        <v>4.0005293791986606E-2</v>
      </c>
      <c r="U267" s="117">
        <v>-8.2365765740685132E-2</v>
      </c>
      <c r="V267" s="117">
        <v>-0.11911862981757558</v>
      </c>
      <c r="W267" s="117">
        <v>0.11167797899859878</v>
      </c>
      <c r="X267" s="117">
        <v>1.0289293438666823E-2</v>
      </c>
      <c r="Y267" s="117">
        <v>0.17017583857315138</v>
      </c>
      <c r="Z267" s="117">
        <v>-0.18400886803332583</v>
      </c>
      <c r="AA267" s="117">
        <v>-0.41062960410939753</v>
      </c>
      <c r="AB267" s="117">
        <v>-0.44472131879639099</v>
      </c>
      <c r="AC267" s="117">
        <v>-0.11115123769332692</v>
      </c>
      <c r="AD267" s="117">
        <v>-0.17516502062973122</v>
      </c>
      <c r="AE267" s="117">
        <v>5.3009560568334758E-2</v>
      </c>
      <c r="AF267" s="117">
        <v>7.8100495895402341E-2</v>
      </c>
      <c r="AG267" s="117">
        <v>-0.23080743238259485</v>
      </c>
      <c r="AH267" s="117">
        <v>-0.1412729855282201</v>
      </c>
      <c r="AI267" s="117">
        <v>8.8072947085392747E-2</v>
      </c>
      <c r="AJ267" s="117">
        <v>2.4312200014364814E-2</v>
      </c>
      <c r="AK267" s="117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4"/>
      <c r="O268" s="108">
        <v>266</v>
      </c>
      <c r="Q268" s="155">
        <v>1.8544502808292482E-3</v>
      </c>
      <c r="R268" s="117">
        <v>0.69753664058569687</v>
      </c>
      <c r="S268" s="117">
        <v>0.1185744297966774</v>
      </c>
      <c r="T268" s="117">
        <v>2.0582024902304496E-2</v>
      </c>
      <c r="U268" s="117">
        <v>-4.3633329541489248E-2</v>
      </c>
      <c r="V268" s="117">
        <v>-0.11131026593277424</v>
      </c>
      <c r="W268" s="117">
        <v>0.135325906277316</v>
      </c>
      <c r="X268" s="117">
        <v>4.2686784785720385E-3</v>
      </c>
      <c r="Y268" s="117">
        <v>0.21017910101009249</v>
      </c>
      <c r="Z268" s="117">
        <v>-0.1317651130903405</v>
      </c>
      <c r="AA268" s="117">
        <v>-0.38188091724152129</v>
      </c>
      <c r="AB268" s="117">
        <v>-0.39445143950061579</v>
      </c>
      <c r="AC268" s="117">
        <v>-9.8981010167422667E-2</v>
      </c>
      <c r="AD268" s="117">
        <v>-0.15709734392501937</v>
      </c>
      <c r="AE268" s="117">
        <v>9.6056461718184813E-2</v>
      </c>
      <c r="AF268" s="117">
        <v>6.7827698772099765E-2</v>
      </c>
      <c r="AG268" s="117">
        <v>-0.20854398605540175</v>
      </c>
      <c r="AH268" s="117">
        <v>-0.14315834076282447</v>
      </c>
      <c r="AI268" s="117">
        <v>0.13430049909877317</v>
      </c>
      <c r="AJ268" s="117">
        <v>6.8351028518996521E-2</v>
      </c>
      <c r="AK268" s="117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220"/>
      <c r="O269" s="108">
        <v>267</v>
      </c>
      <c r="Q269" s="155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">
      <c r="A272" s="27"/>
      <c r="B272" s="37">
        <v>253</v>
      </c>
      <c r="C272" s="27"/>
      <c r="D272" s="27"/>
      <c r="E272" s="55"/>
      <c r="Q272" s="118">
        <v>1.3484750047798024E-2</v>
      </c>
      <c r="R272" s="118">
        <v>0.68248078886298646</v>
      </c>
      <c r="S272" s="118">
        <v>0.11335735562847982</v>
      </c>
      <c r="T272" s="118">
        <v>3.2473873827469343E-2</v>
      </c>
      <c r="U272" s="118">
        <v>-7.3251125727647123E-2</v>
      </c>
      <c r="V272" s="118">
        <v>-0.12308663751127787</v>
      </c>
      <c r="W272" s="118">
        <v>0.1391798918582626</v>
      </c>
      <c r="X272" s="118">
        <v>3.9192780661674951E-3</v>
      </c>
      <c r="Y272" s="118">
        <v>0.20730223165722261</v>
      </c>
      <c r="Z272" s="118">
        <v>-0.16961611391675122</v>
      </c>
      <c r="AA272" s="118">
        <v>-0.41363218655231854</v>
      </c>
      <c r="AB272" s="118">
        <v>-0.43894572452787678</v>
      </c>
      <c r="AC272" s="118">
        <v>-0.11377186384459637</v>
      </c>
      <c r="AD272" s="118">
        <v>-0.154426155091968</v>
      </c>
      <c r="AE272" s="118">
        <v>4.0724259289575501E-2</v>
      </c>
      <c r="AF272" s="118">
        <v>5.6309657954647284E-2</v>
      </c>
      <c r="AG272" s="118">
        <v>-0.22903609622762411</v>
      </c>
      <c r="AH272" s="118">
        <v>-0.13587866578920818</v>
      </c>
      <c r="AI272" s="118">
        <v>0.11028163324090436</v>
      </c>
      <c r="AJ272" s="118">
        <v>2.82641171254846E-2</v>
      </c>
      <c r="AK272" s="118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7" customFormat="1" x14ac:dyDescent="0.2">
      <c r="E274" s="66"/>
      <c r="F274" s="3"/>
      <c r="N274" s="200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">
      <c r="Q275" s="117">
        <f>G261</f>
        <v>9.7026758670746019E-2</v>
      </c>
      <c r="R275" s="117">
        <f>Q275</f>
        <v>9.7026758670746019E-2</v>
      </c>
      <c r="S275" s="117">
        <f t="shared" ref="S275:CC275" si="147">R275</f>
        <v>9.7026758670746019E-2</v>
      </c>
      <c r="T275" s="117">
        <f t="shared" si="147"/>
        <v>9.7026758670746019E-2</v>
      </c>
      <c r="U275" s="117">
        <f t="shared" si="147"/>
        <v>9.7026758670746019E-2</v>
      </c>
      <c r="V275" s="117">
        <f t="shared" si="147"/>
        <v>9.7026758670746019E-2</v>
      </c>
      <c r="W275" s="117">
        <f t="shared" si="147"/>
        <v>9.7026758670746019E-2</v>
      </c>
      <c r="X275" s="117">
        <f t="shared" si="147"/>
        <v>9.7026758670746019E-2</v>
      </c>
      <c r="Y275" s="117">
        <f t="shared" si="147"/>
        <v>9.7026758670746019E-2</v>
      </c>
      <c r="Z275" s="117">
        <f t="shared" si="147"/>
        <v>9.7026758670746019E-2</v>
      </c>
      <c r="AA275" s="117">
        <f t="shared" si="147"/>
        <v>9.7026758670746019E-2</v>
      </c>
      <c r="AB275" s="117">
        <f t="shared" si="147"/>
        <v>9.7026758670746019E-2</v>
      </c>
      <c r="AC275" s="117">
        <f t="shared" si="147"/>
        <v>9.7026758670746019E-2</v>
      </c>
      <c r="AD275" s="117">
        <f t="shared" si="147"/>
        <v>9.7026758670746019E-2</v>
      </c>
      <c r="AE275" s="117">
        <f t="shared" si="147"/>
        <v>9.7026758670746019E-2</v>
      </c>
      <c r="AF275" s="117">
        <f t="shared" si="147"/>
        <v>9.7026758670746019E-2</v>
      </c>
      <c r="AG275" s="117">
        <f t="shared" si="147"/>
        <v>9.7026758670746019E-2</v>
      </c>
      <c r="AH275" s="117">
        <f t="shared" si="147"/>
        <v>9.7026758670746019E-2</v>
      </c>
      <c r="AI275" s="117">
        <f t="shared" si="147"/>
        <v>9.7026758670746019E-2</v>
      </c>
      <c r="AJ275" s="117">
        <f t="shared" si="147"/>
        <v>9.7026758670746019E-2</v>
      </c>
      <c r="AK275" s="117">
        <f t="shared" si="147"/>
        <v>9.7026758670746019E-2</v>
      </c>
      <c r="AL275" s="117">
        <f t="shared" si="147"/>
        <v>9.7026758670746019E-2</v>
      </c>
      <c r="AM275" s="117">
        <f t="shared" si="147"/>
        <v>9.7026758670746019E-2</v>
      </c>
      <c r="AN275" s="117">
        <f t="shared" si="147"/>
        <v>9.7026758670746019E-2</v>
      </c>
      <c r="AO275" s="117">
        <f t="shared" si="147"/>
        <v>9.7026758670746019E-2</v>
      </c>
      <c r="AP275" s="117">
        <f t="shared" si="147"/>
        <v>9.7026758670746019E-2</v>
      </c>
      <c r="AQ275" s="117">
        <f t="shared" si="147"/>
        <v>9.7026758670746019E-2</v>
      </c>
      <c r="AR275" s="117">
        <f t="shared" si="147"/>
        <v>9.7026758670746019E-2</v>
      </c>
      <c r="AS275" s="117">
        <f t="shared" si="147"/>
        <v>9.7026758670746019E-2</v>
      </c>
      <c r="AT275" s="117">
        <f t="shared" si="147"/>
        <v>9.7026758670746019E-2</v>
      </c>
      <c r="AU275" s="117">
        <f t="shared" si="147"/>
        <v>9.7026758670746019E-2</v>
      </c>
      <c r="AV275" s="117">
        <f t="shared" si="147"/>
        <v>9.7026758670746019E-2</v>
      </c>
      <c r="AW275" s="117">
        <f t="shared" si="147"/>
        <v>9.7026758670746019E-2</v>
      </c>
      <c r="AX275" s="117">
        <f t="shared" si="147"/>
        <v>9.7026758670746019E-2</v>
      </c>
      <c r="AY275" s="117">
        <f t="shared" si="147"/>
        <v>9.7026758670746019E-2</v>
      </c>
      <c r="AZ275" s="117">
        <f t="shared" si="147"/>
        <v>9.7026758670746019E-2</v>
      </c>
      <c r="BA275" s="117">
        <f t="shared" si="147"/>
        <v>9.7026758670746019E-2</v>
      </c>
      <c r="BB275" s="117">
        <f t="shared" si="147"/>
        <v>9.7026758670746019E-2</v>
      </c>
      <c r="BC275" s="117">
        <f t="shared" si="147"/>
        <v>9.7026758670746019E-2</v>
      </c>
      <c r="BD275" s="117">
        <f t="shared" si="147"/>
        <v>9.7026758670746019E-2</v>
      </c>
      <c r="BE275" s="117">
        <f t="shared" si="147"/>
        <v>9.7026758670746019E-2</v>
      </c>
      <c r="BF275" s="117">
        <f t="shared" si="147"/>
        <v>9.7026758670746019E-2</v>
      </c>
      <c r="BG275" s="117">
        <f t="shared" si="147"/>
        <v>9.7026758670746019E-2</v>
      </c>
      <c r="BH275" s="117">
        <f t="shared" si="147"/>
        <v>9.7026758670746019E-2</v>
      </c>
      <c r="BI275" s="117">
        <f t="shared" si="147"/>
        <v>9.7026758670746019E-2</v>
      </c>
      <c r="BJ275" s="117">
        <f t="shared" si="147"/>
        <v>9.7026758670746019E-2</v>
      </c>
      <c r="BK275" s="117">
        <f t="shared" si="147"/>
        <v>9.7026758670746019E-2</v>
      </c>
      <c r="BL275" s="117">
        <f t="shared" si="147"/>
        <v>9.7026758670746019E-2</v>
      </c>
      <c r="BM275" s="117">
        <f t="shared" si="147"/>
        <v>9.7026758670746019E-2</v>
      </c>
      <c r="BN275" s="117">
        <f t="shared" si="147"/>
        <v>9.7026758670746019E-2</v>
      </c>
      <c r="BO275" s="117">
        <f t="shared" si="147"/>
        <v>9.7026758670746019E-2</v>
      </c>
      <c r="BP275" s="117">
        <f t="shared" si="147"/>
        <v>9.7026758670746019E-2</v>
      </c>
      <c r="BQ275" s="117">
        <f t="shared" si="147"/>
        <v>9.7026758670746019E-2</v>
      </c>
      <c r="BR275" s="117">
        <f t="shared" si="147"/>
        <v>9.7026758670746019E-2</v>
      </c>
      <c r="BS275" s="117">
        <f t="shared" si="147"/>
        <v>9.7026758670746019E-2</v>
      </c>
      <c r="BT275" s="117">
        <f t="shared" si="147"/>
        <v>9.7026758670746019E-2</v>
      </c>
      <c r="BU275" s="117">
        <f t="shared" si="147"/>
        <v>9.7026758670746019E-2</v>
      </c>
      <c r="BV275" s="117">
        <f t="shared" si="147"/>
        <v>9.7026758670746019E-2</v>
      </c>
      <c r="BW275" s="117">
        <f t="shared" si="147"/>
        <v>9.7026758670746019E-2</v>
      </c>
      <c r="BX275" s="117">
        <f t="shared" si="147"/>
        <v>9.7026758670746019E-2</v>
      </c>
      <c r="BY275" s="117">
        <f t="shared" si="147"/>
        <v>9.7026758670746019E-2</v>
      </c>
      <c r="BZ275" s="117">
        <f t="shared" si="147"/>
        <v>9.7026758670746019E-2</v>
      </c>
      <c r="CA275" s="117">
        <f t="shared" si="147"/>
        <v>9.7026758670746019E-2</v>
      </c>
      <c r="CB275" s="117">
        <f t="shared" si="147"/>
        <v>9.7026758670746019E-2</v>
      </c>
      <c r="CC275" s="117">
        <f t="shared" si="147"/>
        <v>9.7026758670746019E-2</v>
      </c>
      <c r="CD275" s="117"/>
      <c r="CE275" s="117"/>
      <c r="CF275" s="117"/>
      <c r="CG275" s="117"/>
      <c r="CH275" s="117"/>
      <c r="CI275" s="117"/>
      <c r="CJ275" s="117"/>
      <c r="CK275" s="117"/>
      <c r="CL275" s="117"/>
      <c r="CM275" s="117"/>
      <c r="CN275" s="117"/>
      <c r="CO275" s="117"/>
      <c r="CP275" s="117"/>
    </row>
    <row r="276" spans="5:94" x14ac:dyDescent="0.2">
      <c r="G276" s="39"/>
    </row>
    <row r="282" spans="5:94" x14ac:dyDescent="0.2">
      <c r="Q282" s="117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scale="59" orientation="landscape" r:id="rId1"/>
  <rowBreaks count="1" manualBreakCount="1"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5"/>
  <sheetViews>
    <sheetView zoomScaleNormal="100" workbookViewId="0">
      <selection activeCell="H37" sqref="H37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9" width="13.5703125" bestFit="1" customWidth="1"/>
    <col min="10" max="10" width="13.5703125" hidden="1" customWidth="1"/>
    <col min="11" max="11" width="13.7109375" hidden="1" customWidth="1"/>
    <col min="12" max="12" width="14.140625" hidden="1" customWidth="1"/>
    <col min="13" max="13" width="9.28515625" bestFit="1" customWidth="1"/>
  </cols>
  <sheetData>
    <row r="2" spans="3:17" ht="23.25" x14ac:dyDescent="0.35">
      <c r="C2" s="242" t="s">
        <v>168</v>
      </c>
      <c r="D2" s="242"/>
      <c r="E2" s="242"/>
      <c r="F2" s="242"/>
      <c r="G2" s="242"/>
      <c r="H2" s="242"/>
      <c r="I2" s="242"/>
      <c r="J2" s="242"/>
      <c r="K2" s="242"/>
    </row>
    <row r="3" spans="3:17" s="89" customFormat="1" ht="23.25" customHeight="1" x14ac:dyDescent="0.25">
      <c r="C3" s="248" t="str">
        <f>'Model Inputs'!F5</f>
        <v>Waterloo North Hydro Inc.</v>
      </c>
      <c r="D3" s="248"/>
      <c r="E3" s="248"/>
      <c r="F3" s="248"/>
      <c r="G3" s="248"/>
      <c r="H3" s="248"/>
      <c r="I3" s="248"/>
      <c r="J3" s="248"/>
      <c r="K3" s="248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J6" si="0">G6+1</f>
        <v>2020</v>
      </c>
      <c r="I6" s="2">
        <f t="shared" si="0"/>
        <v>2021</v>
      </c>
      <c r="J6" s="2">
        <f t="shared" si="0"/>
        <v>2022</v>
      </c>
      <c r="K6" s="2">
        <f>J6+1</f>
        <v>2023</v>
      </c>
      <c r="L6" s="2">
        <f>K6+1</f>
        <v>2024</v>
      </c>
      <c r="M6" s="2"/>
      <c r="N6" s="2"/>
    </row>
    <row r="7" spans="3:17" x14ac:dyDescent="0.2">
      <c r="F7" s="13" t="s">
        <v>185</v>
      </c>
      <c r="G7" s="231" t="s">
        <v>185</v>
      </c>
      <c r="H7" s="231" t="s">
        <v>186</v>
      </c>
      <c r="I7" s="231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47080286.117015854</v>
      </c>
      <c r="G10" s="83">
        <f>'Benchmarking Calculations'!H121</f>
        <v>48188974.237389714</v>
      </c>
      <c r="H10" s="83">
        <f>'Benchmarking Calculations'!I121</f>
        <v>49710875.966487676</v>
      </c>
      <c r="I10" s="88">
        <f>IF(ISNUMBER(I12),'Benchmarking Calculations'!J121,"na")</f>
        <v>51264570.955965541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8" t="str">
        <f>IF(ISNUMBER(L12),'Benchmarking Calculations'!M121,"na")</f>
        <v>na</v>
      </c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42726853.106879458</v>
      </c>
      <c r="G12" s="83">
        <f>'Benchmarking Calculations'!H257</f>
        <v>44443691.872218564</v>
      </c>
      <c r="H12" s="83">
        <f>'Benchmarking Calculations'!I257</f>
        <v>46263245.740665808</v>
      </c>
      <c r="I12" s="88">
        <f>IF(ISNUMBER('Benchmarking Calculations'!J257),'Benchmarking Calculations'!J257,"na")</f>
        <v>48215501.555331729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8" t="str">
        <f>IF(ISNUMBER('Benchmarking Calculations'!M257),'Benchmarking Calculations'!M257,"na")</f>
        <v>na</v>
      </c>
      <c r="M12" s="88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4353433.0101363957</v>
      </c>
      <c r="G14" s="83">
        <f t="shared" si="1"/>
        <v>3745282.3651711494</v>
      </c>
      <c r="H14" s="83">
        <f t="shared" si="1"/>
        <v>3447630.2258218676</v>
      </c>
      <c r="I14" s="88">
        <f>IF(ISNUMBER(I12),I10-I12,"na")</f>
        <v>3049069.400633812</v>
      </c>
      <c r="J14" s="88" t="str">
        <f t="shared" ref="J14" si="2">IF(ISNUMBER(J12),J10-J12,"na")</f>
        <v>na</v>
      </c>
      <c r="K14" s="88" t="str">
        <f>IF(ISNUMBER(K12),K10-K12,"na")</f>
        <v>na</v>
      </c>
      <c r="L14" s="88" t="str">
        <f>IF(ISNUMBER(L12),L10-L12,"na")</f>
        <v>na</v>
      </c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3">
        <f>LN(F10/F12)</f>
        <v>9.7026758670746019E-2</v>
      </c>
      <c r="G16" s="183">
        <f t="shared" ref="G16:H16" si="3">LN(G10/G12)</f>
        <v>8.0907207874281212E-2</v>
      </c>
      <c r="H16" s="183">
        <f t="shared" si="3"/>
        <v>7.1875924137815572E-2</v>
      </c>
      <c r="I16" s="125">
        <f>IF(ISNUMBER(I14),LN(I10/I12),"na")</f>
        <v>6.1319310562387493E-2</v>
      </c>
      <c r="J16" s="125" t="str">
        <f t="shared" ref="J16" si="4">IF(ISNUMBER(J14),LN(J10/J12),"na")</f>
        <v>na</v>
      </c>
      <c r="K16" s="125" t="str">
        <f>IF(ISNUMBER(K14),LN(K10/K12),"na")</f>
        <v>na</v>
      </c>
      <c r="L16" s="125" t="str">
        <f>IF(ISNUMBER(L14),LN(L10/L12),"na")</f>
        <v>na</v>
      </c>
      <c r="M16" s="25"/>
      <c r="N16" s="25"/>
      <c r="O16" s="25"/>
    </row>
    <row r="17" spans="4:15" ht="18.75" customHeight="1" x14ac:dyDescent="0.2">
      <c r="F17" s="144"/>
      <c r="G17" s="144"/>
      <c r="H17" s="144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5"/>
      <c r="G18" s="145"/>
      <c r="H18" s="145">
        <f>AVERAGE(F16:H16)</f>
        <v>8.326996356094761E-2</v>
      </c>
      <c r="I18" s="63">
        <f>IF(ISNUMBER(I16),AVERAGE(G16:I16),"na")</f>
        <v>7.1367480858161428E-2</v>
      </c>
      <c r="J18" s="63" t="str">
        <f t="shared" ref="J18:L18" si="5">IF(ISNUMBER(J16),AVERAGE(H16:J16),"na")</f>
        <v>na</v>
      </c>
      <c r="K18" s="63" t="str">
        <f t="shared" si="5"/>
        <v>na</v>
      </c>
      <c r="L18" s="63" t="str">
        <f t="shared" si="5"/>
        <v>na</v>
      </c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4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6">
        <f>IF(F16&lt;-0.25,1,IF(F16&lt;-0.1,2,IF(F16&lt;0.1,3,IF(F16&lt;0.25,4,5))))</f>
        <v>3</v>
      </c>
      <c r="G22" s="126">
        <f t="shared" ref="G22" si="6">IF(G16&lt;-0.25,1,IF(G16&lt;-0.1,2,IF(G16&lt;0.1,3,IF(G16&lt;0.25,4,5))))</f>
        <v>3</v>
      </c>
      <c r="H22" s="126">
        <f>IF($H$16&lt;-0.25,1,IF($H$16&lt;-0.1,2,IF($H$16&lt;0.1,3,IF($H$16&lt;0.25,4,5))))</f>
        <v>3</v>
      </c>
      <c r="I22" s="126">
        <f>IF(ISNUMBER(I16),IF(I16&lt;-0.25,1,IF(I16&lt;-0.1,2,IF(I16&lt;0.1,3,IF(I16&lt;0.25,4,5)))),"na")</f>
        <v>3</v>
      </c>
      <c r="J22" s="126" t="str">
        <f t="shared" ref="J22:L22" si="7">IF(ISNUMBER(J16),IF(J16&lt;-0.25,1,IF(J16&lt;-0.1,2,IF(J16&lt;0.1,3,IF(J16&lt;0.25,4,5)))),"na")</f>
        <v>na</v>
      </c>
      <c r="K22" s="126" t="str">
        <f t="shared" si="7"/>
        <v>na</v>
      </c>
      <c r="L22" s="126" t="str">
        <f t="shared" si="7"/>
        <v>na</v>
      </c>
    </row>
    <row r="24" spans="4:15" ht="15" x14ac:dyDescent="0.25">
      <c r="E24" t="s">
        <v>155</v>
      </c>
      <c r="H24" s="126">
        <f>IF(H$18&lt;-0.25,1,IF(H$18&lt;-0.1,2,IF(H$18&lt;0.1,3,IF(H$18&lt;0.25,4,5))))</f>
        <v>3</v>
      </c>
      <c r="I24" s="126">
        <f t="shared" ref="I24:L24" si="8">IF(I$18&lt;-0.25,1,IF(I$18&lt;-0.1,2,IF(I$18&lt;0.1,3,IF(I$18&lt;0.25,4,5))))</f>
        <v>3</v>
      </c>
      <c r="J24" s="126">
        <f t="shared" si="8"/>
        <v>5</v>
      </c>
      <c r="K24" s="126">
        <f t="shared" si="8"/>
        <v>5</v>
      </c>
      <c r="L24" s="126">
        <f t="shared" si="8"/>
        <v>5</v>
      </c>
    </row>
    <row r="27" spans="4:15" x14ac:dyDescent="0.2">
      <c r="D27" s="10"/>
    </row>
    <row r="28" spans="4:15" x14ac:dyDescent="0.2">
      <c r="F28" s="23"/>
      <c r="G28" s="23"/>
    </row>
    <row r="29" spans="4:15" x14ac:dyDescent="0.2">
      <c r="F29" s="23"/>
      <c r="G29" s="23"/>
    </row>
    <row r="30" spans="4:15" x14ac:dyDescent="0.2">
      <c r="F30" s="23"/>
      <c r="G30" s="23"/>
    </row>
    <row r="31" spans="4:15" x14ac:dyDescent="0.2">
      <c r="F31" s="23"/>
      <c r="G31" s="23"/>
    </row>
    <row r="32" spans="4:15" x14ac:dyDescent="0.2">
      <c r="F32" s="23"/>
      <c r="G32" s="23"/>
    </row>
    <row r="33" spans="6:7" x14ac:dyDescent="0.2">
      <c r="F33" s="23"/>
      <c r="G33" s="23"/>
    </row>
    <row r="34" spans="6:7" x14ac:dyDescent="0.2">
      <c r="F34" s="23"/>
      <c r="G34" s="23"/>
    </row>
    <row r="35" spans="6:7" x14ac:dyDescent="0.2">
      <c r="F35" s="23"/>
      <c r="G35" s="23"/>
    </row>
  </sheetData>
  <mergeCells count="2">
    <mergeCell ref="C2:K2"/>
    <mergeCell ref="C3:K3"/>
  </mergeCell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Gabe Platt</cp:lastModifiedBy>
  <cp:lastPrinted>2020-06-29T11:34:43Z</cp:lastPrinted>
  <dcterms:created xsi:type="dcterms:W3CDTF">2016-07-20T15:58:10Z</dcterms:created>
  <dcterms:modified xsi:type="dcterms:W3CDTF">2020-09-28T13:46:08Z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