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 Rate Application\Files for Submission\"/>
    </mc:Choice>
  </mc:AlternateContent>
  <xr:revisionPtr revIDLastSave="0" documentId="13_ncr:1_{F5602C61-92B6-431D-9760-670BA064303C}" xr6:coauthVersionLast="36" xr6:coauthVersionMax="45" xr10:uidLastSave="{00000000-0000-0000-0000-000000000000}"/>
  <bookViews>
    <workbookView xWindow="0" yWindow="0" windowWidth="28800" windowHeight="10785" activeTab="1" xr2:uid="{3DDAF90A-C0A5-4B50-A56E-EEC9C7E8190F}"/>
  </bookViews>
  <sheets>
    <sheet name="Sheet2" sheetId="2" r:id="rId1"/>
    <sheet name="Participant Incentive Payments" sheetId="1" r:id="rId2"/>
  </sheets>
  <externalReferences>
    <externalReference r:id="rId3"/>
    <externalReference r:id="rId4"/>
  </externalReferences>
  <definedNames>
    <definedName name="_xlnm._FilterDatabase" localSheetId="1" hidden="1">'Participant Incentive Payments'!$A$1:$V$84</definedName>
    <definedName name="BillClass">[1]PickLists!$C$1:$C$12</definedName>
    <definedName name="Program_Activity">OFFSET(#REF!,,,COUNTIF(#REF!,"?*"))</definedName>
  </definedNames>
  <calcPr calcId="191029" concurrentCalc="0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W84" i="1"/>
  <c r="H5" i="1"/>
  <c r="H7" i="1"/>
  <c r="H8" i="1"/>
  <c r="H9" i="1"/>
  <c r="H10" i="1"/>
  <c r="H11" i="1"/>
  <c r="H12" i="1"/>
  <c r="H14" i="1"/>
  <c r="H15" i="1"/>
  <c r="H16" i="1"/>
  <c r="H17" i="1"/>
  <c r="H18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G114" i="1"/>
  <c r="W114" i="1"/>
  <c r="Y114" i="1"/>
  <c r="X180" i="1"/>
  <c r="G94" i="1"/>
  <c r="W94" i="1"/>
  <c r="Y94" i="1"/>
  <c r="X164" i="1"/>
  <c r="AA180" i="1"/>
  <c r="G115" i="1"/>
  <c r="W115" i="1"/>
  <c r="X115" i="1"/>
  <c r="Y115" i="1"/>
  <c r="X181" i="1"/>
  <c r="G95" i="1"/>
  <c r="W95" i="1"/>
  <c r="X95" i="1"/>
  <c r="Y95" i="1"/>
  <c r="X165" i="1"/>
  <c r="AA181" i="1"/>
  <c r="G113" i="1"/>
  <c r="W113" i="1"/>
  <c r="Y113" i="1"/>
  <c r="X179" i="1"/>
  <c r="G93" i="1"/>
  <c r="W93" i="1"/>
  <c r="Y93" i="1"/>
  <c r="X163" i="1"/>
  <c r="AA179" i="1"/>
  <c r="G104" i="1"/>
  <c r="W104" i="1"/>
  <c r="Y104" i="1"/>
  <c r="X172" i="1"/>
  <c r="AA172" i="1"/>
  <c r="G105" i="1"/>
  <c r="W105" i="1"/>
  <c r="X105" i="1"/>
  <c r="Y105" i="1"/>
  <c r="X173" i="1"/>
  <c r="AA173" i="1"/>
  <c r="X171" i="1"/>
  <c r="AA171" i="1"/>
  <c r="G109" i="1"/>
  <c r="Y109" i="1"/>
  <c r="X153" i="1"/>
  <c r="G89" i="1"/>
  <c r="Y89" i="1"/>
  <c r="X133" i="1"/>
  <c r="AA153" i="1"/>
  <c r="G110" i="1"/>
  <c r="W110" i="1"/>
  <c r="X110" i="1"/>
  <c r="Y110" i="1"/>
  <c r="X154" i="1"/>
  <c r="G90" i="1"/>
  <c r="W90" i="1"/>
  <c r="X90" i="1"/>
  <c r="Y90" i="1"/>
  <c r="X134" i="1"/>
  <c r="AA154" i="1"/>
  <c r="G108" i="1"/>
  <c r="Y108" i="1"/>
  <c r="X152" i="1"/>
  <c r="G88" i="1"/>
  <c r="Y88" i="1"/>
  <c r="X132" i="1"/>
  <c r="AA152" i="1"/>
  <c r="G98" i="1"/>
  <c r="Y98" i="1"/>
  <c r="X142" i="1"/>
  <c r="AA142" i="1"/>
  <c r="G99" i="1"/>
  <c r="Y99" i="1"/>
  <c r="X143" i="1"/>
  <c r="AA143" i="1"/>
  <c r="G100" i="1"/>
  <c r="W100" i="1"/>
  <c r="X100" i="1"/>
  <c r="Y100" i="1"/>
  <c r="X144" i="1"/>
  <c r="AA144" i="1"/>
  <c r="H114" i="1"/>
  <c r="Z114" i="1"/>
  <c r="AF114" i="1"/>
  <c r="Z184" i="1"/>
  <c r="H115" i="1"/>
  <c r="Z115" i="1"/>
  <c r="AF115" i="1"/>
  <c r="Z185" i="1"/>
  <c r="H113" i="1"/>
  <c r="Z113" i="1"/>
  <c r="AF113" i="1"/>
  <c r="Z183" i="1"/>
  <c r="Y184" i="1"/>
  <c r="Y185" i="1"/>
  <c r="Y183" i="1"/>
  <c r="AD114" i="1"/>
  <c r="Y180" i="1"/>
  <c r="AE114" i="1"/>
  <c r="Z180" i="1"/>
  <c r="AD115" i="1"/>
  <c r="Y181" i="1"/>
  <c r="AE115" i="1"/>
  <c r="Z181" i="1"/>
  <c r="AD113" i="1"/>
  <c r="AE113" i="1"/>
  <c r="Z179" i="1"/>
  <c r="Y179" i="1"/>
  <c r="W134" i="1"/>
  <c r="W165" i="1"/>
  <c r="W169" i="1"/>
  <c r="W173" i="1"/>
  <c r="W177" i="1"/>
  <c r="W181" i="1"/>
  <c r="W185" i="1"/>
  <c r="W132" i="1"/>
  <c r="W163" i="1"/>
  <c r="W167" i="1"/>
  <c r="W171" i="1"/>
  <c r="W175" i="1"/>
  <c r="W179" i="1"/>
  <c r="W183" i="1"/>
  <c r="W154" i="1"/>
  <c r="W158" i="1"/>
  <c r="W153" i="1"/>
  <c r="W157" i="1"/>
  <c r="W152" i="1"/>
  <c r="W156" i="1"/>
  <c r="W144" i="1"/>
  <c r="W148" i="1"/>
  <c r="W143" i="1"/>
  <c r="W147" i="1"/>
  <c r="W142" i="1"/>
  <c r="W146" i="1"/>
  <c r="W133" i="1"/>
  <c r="W137" i="1"/>
  <c r="W138" i="1"/>
  <c r="W136" i="1"/>
  <c r="W164" i="1"/>
  <c r="W168" i="1"/>
  <c r="W172" i="1"/>
  <c r="W176" i="1"/>
  <c r="W180" i="1"/>
  <c r="W184" i="1"/>
  <c r="AD103" i="1"/>
  <c r="W103" i="1"/>
  <c r="AE103" i="1"/>
  <c r="Z171" i="1"/>
  <c r="Y171" i="1"/>
  <c r="H103" i="1"/>
  <c r="Z103" i="1"/>
  <c r="H110" i="1"/>
  <c r="Z110" i="1"/>
  <c r="H99" i="1"/>
  <c r="Z99" i="1"/>
  <c r="H109" i="1"/>
  <c r="Z109" i="1"/>
  <c r="H98" i="1"/>
  <c r="Z98" i="1"/>
  <c r="H105" i="1"/>
  <c r="Z105" i="1"/>
  <c r="H100" i="1"/>
  <c r="Z100" i="1"/>
  <c r="H104" i="1"/>
  <c r="Z104" i="1"/>
  <c r="H95" i="1"/>
  <c r="Z95" i="1"/>
  <c r="H94" i="1"/>
  <c r="Z94" i="1"/>
  <c r="H90" i="1"/>
  <c r="Z90" i="1"/>
  <c r="G87" i="1"/>
  <c r="H89" i="1"/>
  <c r="Z89" i="1"/>
  <c r="H87" i="1"/>
  <c r="X84" i="1"/>
  <c r="E84" i="1"/>
  <c r="E83" i="1"/>
  <c r="R80" i="1"/>
  <c r="R78" i="1"/>
  <c r="R77" i="1"/>
  <c r="R76" i="1"/>
  <c r="R75" i="1"/>
  <c r="R74" i="1"/>
  <c r="R73" i="1"/>
  <c r="E72" i="1"/>
  <c r="R72" i="1"/>
  <c r="E71" i="1"/>
  <c r="R71" i="1"/>
  <c r="E70" i="1"/>
  <c r="E69" i="1"/>
  <c r="E68" i="1"/>
  <c r="E67" i="1"/>
  <c r="R67" i="1"/>
  <c r="E66" i="1"/>
  <c r="E65" i="1"/>
  <c r="E64" i="1"/>
  <c r="E63" i="1"/>
  <c r="E62" i="1"/>
  <c r="E61" i="1"/>
  <c r="E60" i="1"/>
  <c r="R60" i="1"/>
  <c r="E59" i="1"/>
  <c r="E58" i="1"/>
  <c r="R58" i="1"/>
  <c r="E57" i="1"/>
  <c r="E56" i="1"/>
  <c r="E55" i="1"/>
  <c r="R55" i="1"/>
  <c r="E54" i="1"/>
  <c r="E53" i="1"/>
  <c r="R53" i="1"/>
  <c r="E52" i="1"/>
  <c r="E51" i="1"/>
  <c r="E50" i="1"/>
  <c r="E49" i="1"/>
  <c r="R49" i="1"/>
  <c r="E48" i="1"/>
  <c r="R48" i="1"/>
  <c r="E47" i="1"/>
  <c r="R47" i="1"/>
  <c r="E46" i="1"/>
  <c r="E45" i="1"/>
  <c r="E44" i="1"/>
  <c r="R44" i="1"/>
  <c r="E43" i="1"/>
  <c r="R43" i="1"/>
  <c r="E41" i="1"/>
  <c r="R41" i="1"/>
  <c r="E40" i="1"/>
  <c r="E39" i="1"/>
  <c r="E38" i="1"/>
  <c r="R38" i="1"/>
  <c r="E37" i="1"/>
  <c r="R37" i="1"/>
  <c r="E36" i="1"/>
  <c r="E35" i="1"/>
  <c r="E34" i="1"/>
  <c r="R34" i="1"/>
  <c r="E33" i="1"/>
  <c r="R33" i="1"/>
  <c r="E32" i="1"/>
  <c r="R32" i="1"/>
  <c r="E31" i="1"/>
  <c r="R31" i="1"/>
  <c r="E30" i="1"/>
  <c r="E29" i="1"/>
  <c r="R29" i="1"/>
  <c r="E28" i="1"/>
  <c r="R28" i="1"/>
  <c r="E27" i="1"/>
  <c r="E26" i="1"/>
  <c r="R26" i="1"/>
  <c r="E25" i="1"/>
  <c r="E24" i="1"/>
  <c r="R24" i="1"/>
  <c r="E23" i="1"/>
  <c r="E22" i="1"/>
  <c r="E21" i="1"/>
  <c r="E20" i="1"/>
  <c r="R20" i="1"/>
  <c r="E19" i="1"/>
  <c r="E18" i="1"/>
  <c r="R18" i="1"/>
  <c r="E17" i="1"/>
  <c r="E16" i="1"/>
  <c r="E15" i="1"/>
  <c r="E14" i="1"/>
  <c r="E13" i="1"/>
  <c r="E12" i="1"/>
  <c r="E11" i="1"/>
  <c r="E10" i="1"/>
  <c r="E9" i="1"/>
  <c r="E8" i="1"/>
  <c r="R8" i="1"/>
  <c r="E7" i="1"/>
  <c r="E6" i="1"/>
  <c r="E5" i="1"/>
  <c r="R5" i="1"/>
  <c r="E4" i="1"/>
  <c r="R4" i="1"/>
  <c r="E3" i="1"/>
  <c r="R3" i="1"/>
  <c r="E2" i="1"/>
  <c r="AF89" i="1"/>
  <c r="Z137" i="1"/>
  <c r="Y137" i="1"/>
  <c r="AF104" i="1"/>
  <c r="Z176" i="1"/>
  <c r="Y176" i="1"/>
  <c r="AF110" i="1"/>
  <c r="Z158" i="1"/>
  <c r="Y158" i="1"/>
  <c r="AF100" i="1"/>
  <c r="Z148" i="1"/>
  <c r="Y148" i="1"/>
  <c r="AF98" i="1"/>
  <c r="Z146" i="1"/>
  <c r="Y146" i="1"/>
  <c r="AD89" i="1"/>
  <c r="AD95" i="1"/>
  <c r="AD110" i="1"/>
  <c r="AF99" i="1"/>
  <c r="Z147" i="1"/>
  <c r="Y147" i="1"/>
  <c r="AD105" i="1"/>
  <c r="AD94" i="1"/>
  <c r="AF94" i="1"/>
  <c r="Z168" i="1"/>
  <c r="Y168" i="1"/>
  <c r="AD99" i="1"/>
  <c r="AF95" i="1"/>
  <c r="Z169" i="1"/>
  <c r="Y169" i="1"/>
  <c r="AF103" i="1"/>
  <c r="Z175" i="1"/>
  <c r="Y175" i="1"/>
  <c r="AF90" i="1"/>
  <c r="Z138" i="1"/>
  <c r="Y138" i="1"/>
  <c r="AD109" i="1"/>
  <c r="AF105" i="1"/>
  <c r="Z177" i="1"/>
  <c r="Y177" i="1"/>
  <c r="AF109" i="1"/>
  <c r="Z157" i="1"/>
  <c r="Y157" i="1"/>
  <c r="AD100" i="1"/>
  <c r="AD90" i="1"/>
  <c r="Z106" i="1"/>
  <c r="AD88" i="1"/>
  <c r="Y91" i="1"/>
  <c r="Y106" i="1"/>
  <c r="AD104" i="1"/>
  <c r="Y172" i="1"/>
  <c r="Y116" i="1"/>
  <c r="AD93" i="1"/>
  <c r="Y163" i="1"/>
  <c r="Y96" i="1"/>
  <c r="Y111" i="1"/>
  <c r="AD108" i="1"/>
  <c r="Y152" i="1"/>
  <c r="Z101" i="1"/>
  <c r="Y126" i="1"/>
  <c r="G103" i="1"/>
  <c r="H106" i="1"/>
  <c r="H93" i="1"/>
  <c r="H88" i="1"/>
  <c r="G116" i="1"/>
  <c r="G111" i="1"/>
  <c r="G91" i="1"/>
  <c r="G96" i="1"/>
  <c r="H108" i="1"/>
  <c r="H101" i="1"/>
  <c r="AE90" i="1"/>
  <c r="Z134" i="1"/>
  <c r="Y134" i="1"/>
  <c r="AE109" i="1"/>
  <c r="Z153" i="1"/>
  <c r="Y153" i="1"/>
  <c r="AE105" i="1"/>
  <c r="Z173" i="1"/>
  <c r="Y173" i="1"/>
  <c r="AE110" i="1"/>
  <c r="Z154" i="1"/>
  <c r="Y154" i="1"/>
  <c r="AE89" i="1"/>
  <c r="Z133" i="1"/>
  <c r="Y133" i="1"/>
  <c r="AF106" i="1"/>
  <c r="Z122" i="1"/>
  <c r="AE88" i="1"/>
  <c r="Y132" i="1"/>
  <c r="AF101" i="1"/>
  <c r="Y127" i="1"/>
  <c r="AE100" i="1"/>
  <c r="Z144" i="1"/>
  <c r="Y144" i="1"/>
  <c r="AE99" i="1"/>
  <c r="Z143" i="1"/>
  <c r="Y143" i="1"/>
  <c r="AE94" i="1"/>
  <c r="Z164" i="1"/>
  <c r="Y164" i="1"/>
  <c r="AE95" i="1"/>
  <c r="Z165" i="1"/>
  <c r="Y165" i="1"/>
  <c r="AD106" i="1"/>
  <c r="AE104" i="1"/>
  <c r="AD91" i="1"/>
  <c r="AD96" i="1"/>
  <c r="AE93" i="1"/>
  <c r="AD116" i="1"/>
  <c r="AD111" i="1"/>
  <c r="AE108" i="1"/>
  <c r="H116" i="1"/>
  <c r="H111" i="1"/>
  <c r="Z108" i="1"/>
  <c r="Y156" i="1"/>
  <c r="H91" i="1"/>
  <c r="Z88" i="1"/>
  <c r="Y136" i="1"/>
  <c r="H96" i="1"/>
  <c r="Z93" i="1"/>
  <c r="Y167" i="1"/>
  <c r="AD98" i="1"/>
  <c r="Y142" i="1"/>
  <c r="Y101" i="1"/>
  <c r="Y122" i="1"/>
  <c r="G101" i="1"/>
  <c r="G106" i="1"/>
  <c r="AE106" i="1"/>
  <c r="Z172" i="1"/>
  <c r="AE111" i="1"/>
  <c r="Z152" i="1"/>
  <c r="Z123" i="1"/>
  <c r="AE91" i="1"/>
  <c r="Z132" i="1"/>
  <c r="AE96" i="1"/>
  <c r="Z163" i="1"/>
  <c r="AE116" i="1"/>
  <c r="Z116" i="1"/>
  <c r="AF116" i="1"/>
  <c r="Z91" i="1"/>
  <c r="AF88" i="1"/>
  <c r="AD101" i="1"/>
  <c r="Y123" i="1"/>
  <c r="AE98" i="1"/>
  <c r="Z96" i="1"/>
  <c r="AF93" i="1"/>
  <c r="Z111" i="1"/>
  <c r="Z126" i="1"/>
  <c r="AF108" i="1"/>
  <c r="AF96" i="1"/>
  <c r="Z167" i="1"/>
  <c r="AE101" i="1"/>
  <c r="Y124" i="1"/>
  <c r="Z142" i="1"/>
  <c r="AF91" i="1"/>
  <c r="Z136" i="1"/>
  <c r="Z124" i="1"/>
  <c r="AF111" i="1"/>
  <c r="Z127" i="1"/>
  <c r="Z156" i="1"/>
</calcChain>
</file>

<file path=xl/sharedStrings.xml><?xml version="1.0" encoding="utf-8"?>
<sst xmlns="http://schemas.openxmlformats.org/spreadsheetml/2006/main" count="988" uniqueCount="115">
  <si>
    <t>LDC Name</t>
  </si>
  <si>
    <t>Program Name</t>
  </si>
  <si>
    <t>LDC Application ID</t>
  </si>
  <si>
    <t>Application Phase ID</t>
  </si>
  <si>
    <t>Anticipated Incentive Amount ($)</t>
  </si>
  <si>
    <t>Incentive Amount Taxable (Yes/No)</t>
  </si>
  <si>
    <t>Application Submission Date</t>
  </si>
  <si>
    <t>Anticipated Project Completion Date</t>
  </si>
  <si>
    <t>Anticipated Particpant Incentive Payment Date</t>
  </si>
  <si>
    <t>Anticipated Reporting Period
(submission to IESO)</t>
  </si>
  <si>
    <t>Building Type</t>
  </si>
  <si>
    <t>Building City</t>
  </si>
  <si>
    <t>Project Start Date</t>
  </si>
  <si>
    <t>Extension Agreement Granted (Yes/No)</t>
  </si>
  <si>
    <t>Cheque Date</t>
  </si>
  <si>
    <t>Amount Per Invoice</t>
  </si>
  <si>
    <t>Difference</t>
  </si>
  <si>
    <t>Date Marked as Invoiced in CDMIS</t>
  </si>
  <si>
    <t>Date Marked Invoice as Paid</t>
  </si>
  <si>
    <t>Monthly report</t>
  </si>
  <si>
    <t>Funds from IESO Confirmed Received</t>
  </si>
  <si>
    <t>kW</t>
  </si>
  <si>
    <t>kWh</t>
  </si>
  <si>
    <t>Bill Class</t>
  </si>
  <si>
    <t>Greater Sudbury Hydro Inc.</t>
  </si>
  <si>
    <t>Retrofit</t>
  </si>
  <si>
    <t>Post-Project Submission - Saved as Draft</t>
  </si>
  <si>
    <t>Yes</t>
  </si>
  <si>
    <t>Q4 2019</t>
  </si>
  <si>
    <t>Q1 2020</t>
  </si>
  <si>
    <t>SUDBURY</t>
  </si>
  <si>
    <t>Large Office</t>
  </si>
  <si>
    <t>GS&gt;50</t>
  </si>
  <si>
    <t>Food Retail</t>
  </si>
  <si>
    <t>No</t>
  </si>
  <si>
    <t>Pre-Project Review - Application Pre-Approved by LDC</t>
  </si>
  <si>
    <t>Hospital</t>
  </si>
  <si>
    <t>Sudbury</t>
  </si>
  <si>
    <t>Q2 2019</t>
  </si>
  <si>
    <t>Q3 2019</t>
  </si>
  <si>
    <t>GS&lt;50</t>
  </si>
  <si>
    <t>Small Retail</t>
  </si>
  <si>
    <t>Rental Apartment</t>
  </si>
  <si>
    <t>Post-Project Submission - Sent to Participant for Review</t>
  </si>
  <si>
    <t>Warehouse/Wholesale</t>
  </si>
  <si>
    <t>Sturgeon Falls</t>
  </si>
  <si>
    <t>Large Retail</t>
  </si>
  <si>
    <t>Q2 2020</t>
  </si>
  <si>
    <t>Q3 2020</t>
  </si>
  <si>
    <t>Social Housing Provider</t>
  </si>
  <si>
    <t>Post-Project Submission - Submitted to LDC for Approval</t>
  </si>
  <si>
    <t>Large  Retail</t>
  </si>
  <si>
    <t>Sudbury North</t>
  </si>
  <si>
    <t>Commercial Other- Please Specify</t>
  </si>
  <si>
    <t>Restaurant</t>
  </si>
  <si>
    <t>Small Office</t>
  </si>
  <si>
    <t>Entertainment/Sport</t>
  </si>
  <si>
    <t>Q4 2020</t>
  </si>
  <si>
    <t>Q1 2021</t>
  </si>
  <si>
    <t>Other please specify</t>
  </si>
  <si>
    <t>Capereol</t>
  </si>
  <si>
    <t>STURGEON FALLS</t>
  </si>
  <si>
    <t>Government - Parks and Recreation</t>
  </si>
  <si>
    <t>Post-Project Submission - Edit(s) Submitted to LDC for Approval</t>
  </si>
  <si>
    <t>University/College</t>
  </si>
  <si>
    <t>Copper Cliff</t>
  </si>
  <si>
    <t>School (K-12)</t>
  </si>
  <si>
    <t>Streetlights</t>
  </si>
  <si>
    <t>Azilda</t>
  </si>
  <si>
    <t>Falconbridge</t>
  </si>
  <si>
    <t>Pre-Project Application - Submitted to LDC for Pre-Approval</t>
  </si>
  <si>
    <t xml:space="preserve">Greater Sudbury Hydro Inc. </t>
  </si>
  <si>
    <t>Small Business Lighting</t>
  </si>
  <si>
    <t>GSH-2019-004</t>
  </si>
  <si>
    <t>Work Order Signed</t>
  </si>
  <si>
    <t>Beauty Parlors</t>
  </si>
  <si>
    <t>GSH-2019-005</t>
  </si>
  <si>
    <t>Automobile Repair Shop</t>
  </si>
  <si>
    <t>GSH-2019-009</t>
  </si>
  <si>
    <t>Offices (small suite)</t>
  </si>
  <si>
    <t>GSH-2019-010</t>
  </si>
  <si>
    <t>Capreol</t>
  </si>
  <si>
    <t>Places of Worship</t>
  </si>
  <si>
    <t>GSH-2019-012</t>
  </si>
  <si>
    <t>Warehouses</t>
  </si>
  <si>
    <t>GSH-2019-015</t>
  </si>
  <si>
    <t>Small Retail Stores</t>
  </si>
  <si>
    <t>Audit Funding</t>
  </si>
  <si>
    <t>GSH-Audit-2016-002</t>
  </si>
  <si>
    <t>Application Pre-Approved</t>
  </si>
  <si>
    <t>GSH-Audit-2017-001</t>
  </si>
  <si>
    <t>Mail Processing Facility</t>
  </si>
  <si>
    <t>GSH-Audit-2019-001</t>
  </si>
  <si>
    <t>Hospitals</t>
  </si>
  <si>
    <t>GSH-Audit-2019-002</t>
  </si>
  <si>
    <t>HPNC</t>
  </si>
  <si>
    <t>GSH-HPNC-2015-001</t>
  </si>
  <si>
    <t>GSH-HPNC-2018-001</t>
  </si>
  <si>
    <t>Schools</t>
  </si>
  <si>
    <t>Sum of kW</t>
  </si>
  <si>
    <t>Sum of kWh</t>
  </si>
  <si>
    <t>Row Labels</t>
  </si>
  <si>
    <t>(blank)</t>
  </si>
  <si>
    <t>Grand Total</t>
  </si>
  <si>
    <t>Total</t>
  </si>
  <si>
    <t>2019-&gt;2020</t>
  </si>
  <si>
    <t>2nd Year Persistence</t>
  </si>
  <si>
    <t>NTG</t>
  </si>
  <si>
    <t>Realization Rate</t>
  </si>
  <si>
    <t>PROGRAM YEAR 2017 EVALUATION REPORT</t>
  </si>
  <si>
    <t>2019-&gt;2021</t>
  </si>
  <si>
    <t>2020-&gt;2021</t>
  </si>
  <si>
    <t>3rd Year Persistence</t>
  </si>
  <si>
    <t>GS &lt; 50</t>
  </si>
  <si>
    <t>GS &gt;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</si>
</sst>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_-* #,##0_-;\-* #,##0_-;_-* &quot;-&quot;??_-;_-@_-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Fill="1"/>
    <xf numFmtId="165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4" fontId="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166" fontId="4" fillId="0" borderId="0" xfId="0" applyNumberFormat="1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43" fontId="4" fillId="0" borderId="0" xfId="0" applyNumberFormat="1" applyFont="1" applyAlignment="1">
      <alignment horizontal="center"/>
    </xf>
    <xf numFmtId="0" fontId="0" fillId="4" borderId="0" xfId="0" applyFill="1"/>
    <xf numFmtId="165" fontId="0" fillId="4" borderId="0" xfId="1" applyNumberFormat="1" applyFont="1" applyFill="1" applyAlignment="1">
      <alignment horizontal="center"/>
    </xf>
    <xf numFmtId="44" fontId="0" fillId="4" borderId="0" xfId="2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4" borderId="0" xfId="0" applyFill="1" applyBorder="1" applyAlignment="1">
      <alignment horizontal="center"/>
    </xf>
    <xf numFmtId="43" fontId="0" fillId="4" borderId="0" xfId="1" applyFont="1" applyFill="1" applyAlignment="1">
      <alignment horizontal="center"/>
    </xf>
    <xf numFmtId="49" fontId="0" fillId="4" borderId="0" xfId="0" applyNumberFormat="1" applyFont="1" applyFill="1"/>
    <xf numFmtId="44" fontId="0" fillId="4" borderId="0" xfId="0" applyNumberFormat="1" applyFill="1"/>
    <xf numFmtId="17" fontId="0" fillId="4" borderId="0" xfId="0" applyNumberFormat="1" applyFill="1"/>
    <xf numFmtId="43" fontId="0" fillId="4" borderId="0" xfId="1" applyFont="1" applyFill="1"/>
    <xf numFmtId="14" fontId="0" fillId="4" borderId="0" xfId="0" applyNumberFormat="1" applyFill="1"/>
    <xf numFmtId="44" fontId="0" fillId="4" borderId="0" xfId="2" applyFont="1" applyFill="1" applyBorder="1"/>
    <xf numFmtId="0" fontId="0" fillId="4" borderId="0" xfId="0" applyFill="1" applyBorder="1"/>
    <xf numFmtId="167" fontId="0" fillId="0" borderId="0" xfId="3" applyNumberFormat="1" applyFont="1"/>
    <xf numFmtId="9" fontId="0" fillId="0" borderId="0" xfId="3" applyFont="1" applyAlignment="1">
      <alignment horizontal="center"/>
    </xf>
    <xf numFmtId="0" fontId="4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1" applyNumberFormat="1" applyFont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43" fontId="0" fillId="0" borderId="3" xfId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1" applyNumberFormat="1" applyFont="1" applyBorder="1" applyAlignment="1">
      <alignment horizontal="center"/>
    </xf>
    <xf numFmtId="164" fontId="0" fillId="0" borderId="0" xfId="0" applyNumberFormat="1" applyBorder="1"/>
    <xf numFmtId="164" fontId="0" fillId="0" borderId="6" xfId="0" applyNumberFormat="1" applyBorder="1"/>
    <xf numFmtId="0" fontId="0" fillId="0" borderId="6" xfId="0" applyBorder="1"/>
    <xf numFmtId="43" fontId="0" fillId="0" borderId="0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43" fontId="0" fillId="0" borderId="8" xfId="1" applyFont="1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4" xfId="0" applyBorder="1"/>
    <xf numFmtId="0" fontId="0" fillId="0" borderId="9" xfId="0" applyBorder="1"/>
    <xf numFmtId="43" fontId="0" fillId="0" borderId="4" xfId="1" applyFont="1" applyBorder="1" applyAlignment="1">
      <alignment horizontal="center"/>
    </xf>
    <xf numFmtId="164" fontId="0" fillId="0" borderId="3" xfId="0" applyNumberFormat="1" applyBorder="1"/>
    <xf numFmtId="164" fontId="0" fillId="0" borderId="4" xfId="0" applyNumberFormat="1" applyBorder="1"/>
    <xf numFmtId="0" fontId="4" fillId="0" borderId="3" xfId="0" applyFont="1" applyBorder="1" applyAlignment="1">
      <alignment horizontal="center"/>
    </xf>
    <xf numFmtId="10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-%20Programs\C2%20-%20Retrofit\2015\Applications%202015\2015%20SudburyApp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greements\Termination%20of%20Framework\Post%20Termination%20Budget%20and%20Back%20up\1%20-%20Incentives%20Post%20Term%20Budg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Apps"/>
      <sheetName val="Old Apps Ending in 2015"/>
      <sheetName val="Head Office Applications"/>
      <sheetName val="PickLists"/>
    </sheetNames>
    <sheetDataSet>
      <sheetData sheetId="0"/>
      <sheetData sheetId="1"/>
      <sheetData sheetId="2"/>
      <sheetData sheetId="3">
        <row r="1">
          <cell r="C1" t="str">
            <v>G1-GS&lt;50kW</v>
          </cell>
        </row>
        <row r="2">
          <cell r="C2" t="str">
            <v>G2-GS&gt;50kW Eligible</v>
          </cell>
        </row>
        <row r="3">
          <cell r="C3" t="str">
            <v>G3-GS&gt;50kW WAP</v>
          </cell>
        </row>
        <row r="4">
          <cell r="C4" t="str">
            <v>G4-GS&gt;50 Interval</v>
          </cell>
        </row>
        <row r="5">
          <cell r="C5" t="str">
            <v>G7-GS&lt;50 MUD</v>
          </cell>
        </row>
        <row r="6">
          <cell r="C6" t="str">
            <v>G8-GS&gt;50 MUD</v>
          </cell>
        </row>
        <row r="7">
          <cell r="C7" t="str">
            <v>Z2-GS&gt;50kW West Nip Eligible</v>
          </cell>
        </row>
        <row r="8">
          <cell r="C8" t="str">
            <v>Z3-WAP</v>
          </cell>
        </row>
        <row r="9">
          <cell r="C9" t="str">
            <v>Z3-GS&gt;50kW West Nip</v>
          </cell>
        </row>
        <row r="10">
          <cell r="C10" t="str">
            <v>Z4-GS&gt;50 West Nip Interval</v>
          </cell>
        </row>
        <row r="11">
          <cell r="C11" t="str">
            <v>Z8-GS&gt;50kW West Nip MUD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heet2"/>
      <sheetName val="Participant Incentive Payments"/>
      <sheetName val="Administrative Expenses"/>
      <sheetName val="Version"/>
      <sheetName val="Admin Exp Category Descrip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nelly, Erin" refreshedDate="43672.643130902776" createdVersion="6" refreshedVersion="6" minRefreshableVersion="3" recordCount="196" xr:uid="{C5FCEE31-3C88-4B85-A846-0DE778CAA644}">
  <cacheSource type="worksheet">
    <worksheetSource ref="A1:Y84" sheet="Participant Incentive Payments"/>
  </cacheSource>
  <cacheFields count="40">
    <cacheField name="LDC Name" numFmtId="0">
      <sharedItems/>
    </cacheField>
    <cacheField name="Program Name" numFmtId="0">
      <sharedItems/>
    </cacheField>
    <cacheField name="LDC Application ID" numFmtId="0">
      <sharedItems containsMixedTypes="1" containsNumber="1" containsInteger="1" minValue="143749" maxValue="207284"/>
    </cacheField>
    <cacheField name="Application Phase ID" numFmtId="0">
      <sharedItems containsBlank="1"/>
    </cacheField>
    <cacheField name="Anticipated Incentive Amount ($)" numFmtId="44">
      <sharedItems containsString="0" containsBlank="1" containsNumber="1" minValue="176.34100000000001" maxValue="725048.50000000012"/>
    </cacheField>
    <cacheField name="Incentive Amount Taxable (Yes/No)" numFmtId="0">
      <sharedItems containsBlank="1"/>
    </cacheField>
    <cacheField name="Application Submission Date" numFmtId="14">
      <sharedItems containsNonDate="0" containsDate="1" containsString="0" containsBlank="1" minDate="2015-05-12T15:02:24" maxDate="2019-03-30T00:00:00"/>
    </cacheField>
    <cacheField name="Anticipated Project Completion Date" numFmtId="0">
      <sharedItems containsBlank="1"/>
    </cacheField>
    <cacheField name="Anticipated Particpant Incentive Payment Date" numFmtId="0">
      <sharedItems containsBlank="1"/>
    </cacheField>
    <cacheField name="Anticipated Reporting Period_x000a_(submission to IESO)" numFmtId="0">
      <sharedItems containsBlank="1"/>
    </cacheField>
    <cacheField name="Applicant Company Name" numFmtId="0">
      <sharedItems containsBlank="1"/>
    </cacheField>
    <cacheField name="Applicant First Name" numFmtId="0">
      <sharedItems containsBlank="1"/>
    </cacheField>
    <cacheField name="Applicant Last Name" numFmtId="0">
      <sharedItems containsBlank="1"/>
    </cacheField>
    <cacheField name="Applicant Primary Phone Number" numFmtId="1">
      <sharedItems containsBlank="1" containsMixedTypes="1" containsNumber="1" containsInteger="1" minValue="4164625120" maxValue="7056907428"/>
    </cacheField>
    <cacheField name="Applicant Email Address" numFmtId="0">
      <sharedItems containsBlank="1"/>
    </cacheField>
    <cacheField name="Applicant Address 1" numFmtId="0">
      <sharedItems/>
    </cacheField>
    <cacheField name="Applicant Address 2" numFmtId="0">
      <sharedItems containsBlank="1"/>
    </cacheField>
    <cacheField name="Applicant Address 3" numFmtId="0">
      <sharedItems containsNonDate="0" containsString="0" containsBlank="1"/>
    </cacheField>
    <cacheField name="Applicant City" numFmtId="0">
      <sharedItems/>
    </cacheField>
    <cacheField name="Applicant Postal Code" numFmtId="0">
      <sharedItems containsBlank="1" containsMixedTypes="1" containsNumber="1" containsInteger="1" minValue="44128" maxValue="44128"/>
    </cacheField>
    <cacheField name="Facility Name" numFmtId="0">
      <sharedItems containsBlank="1"/>
    </cacheField>
    <cacheField name="Building Type" numFmtId="0">
      <sharedItems containsBlank="1"/>
    </cacheField>
    <cacheField name="Building Address 1" numFmtId="0">
      <sharedItems containsBlank="1"/>
    </cacheField>
    <cacheField name="Building Address 2" numFmtId="0">
      <sharedItems containsBlank="1"/>
    </cacheField>
    <cacheField name="Building Address 3" numFmtId="0">
      <sharedItems containsNonDate="0" containsString="0" containsBlank="1"/>
    </cacheField>
    <cacheField name="Building City" numFmtId="0">
      <sharedItems containsBlank="1"/>
    </cacheField>
    <cacheField name="Building Postal Code" numFmtId="0">
      <sharedItems containsBlank="1"/>
    </cacheField>
    <cacheField name="Project Start Date" numFmtId="14">
      <sharedItems containsNonDate="0" containsDate="1" containsString="0" containsBlank="1" minDate="2015-05-15T00:00:00" maxDate="2019-04-30T00:00:00"/>
    </cacheField>
    <cacheField name="Extension Agreement Granted (Yes/No)" numFmtId="0">
      <sharedItems containsBlank="1"/>
    </cacheField>
    <cacheField name="Comments" numFmtId="0">
      <sharedItems containsBlank="1"/>
    </cacheField>
    <cacheField name="Cheque Date" numFmtId="0">
      <sharedItems containsNonDate="0" containsString="0" containsBlank="1"/>
    </cacheField>
    <cacheField name="Amount Per Invoice" numFmtId="0">
      <sharedItems containsBlank="1" containsMixedTypes="1" containsNumber="1" minValue="273.31" maxValue="28432.69"/>
    </cacheField>
    <cacheField name="Difference" numFmtId="0">
      <sharedItems containsString="0" containsBlank="1" containsNumber="1" minValue="-100" maxValue="2937.7560000000012"/>
    </cacheField>
    <cacheField name="Date Marked as Invoiced in CDMIS" numFmtId="0">
      <sharedItems containsNonDate="0" containsDate="1" containsString="0" containsBlank="1" minDate="2019-04-18T00:00:00" maxDate="2019-04-19T00:00:00"/>
    </cacheField>
    <cacheField name="Date Marked Invoice as Paid" numFmtId="0">
      <sharedItems containsNonDate="0" containsDate="1" containsString="0" containsBlank="1" minDate="2019-04-23T00:00:00" maxDate="2019-05-28T00:00:00"/>
    </cacheField>
    <cacheField name="Monthly report" numFmtId="0">
      <sharedItems containsNonDate="0" containsDate="1" containsString="0" containsBlank="1" minDate="2019-04-01T00:00:00" maxDate="2019-07-02T00:00:00"/>
    </cacheField>
    <cacheField name="Funds from IESO Confirmed Received" numFmtId="0">
      <sharedItems containsNonDate="0" containsString="0" containsBlank="1"/>
    </cacheField>
    <cacheField name="kW" numFmtId="0">
      <sharedItems containsString="0" containsBlank="1" containsNumber="1" minValue="0" maxValue="311.7"/>
    </cacheField>
    <cacheField name="kWh" numFmtId="0">
      <sharedItems containsString="0" containsBlank="1" containsNumber="1" minValue="1820" maxValue="1719987"/>
    </cacheField>
    <cacheField name="Bill Class" numFmtId="0">
      <sharedItems containsBlank="1" count="4">
        <s v="GS&gt;50"/>
        <s v="GS&lt;50"/>
        <m/>
        <s v="Streetligh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s v="Greater Sudbury Hydro Inc."/>
    <s v="Retrofit"/>
    <n v="143749"/>
    <s v="Post-Project Submission - Saved as Draft"/>
    <n v="2400.2000000000003"/>
    <s v="Yes"/>
    <d v="2015-05-12T15:02:24"/>
    <s v="Q4 2019"/>
    <s v="Q4 2019"/>
    <s v="Q1 2020"/>
    <s v="JOURNAL PRINTING"/>
    <s v="COSIMO"/>
    <s v="MICELOTTA"/>
    <s v="7056737127"/>
    <s v="cmicelotta@journal-printing.com"/>
    <s v="34 FIR LANE"/>
    <m/>
    <m/>
    <s v="SUDBURY"/>
    <s v="P3C1Z6"/>
    <s v="JOURNAL PRINTING  MAIN FLOOR"/>
    <s v="Large Office"/>
    <s v="34 FIR LANE"/>
    <m/>
    <m/>
    <s v="SUDBURY"/>
    <s v="P3C1Z6"/>
    <d v="2015-05-15T00:00:00"/>
    <s v="Yes"/>
    <m/>
    <m/>
    <m/>
    <m/>
    <m/>
    <m/>
    <m/>
    <m/>
    <n v="5.7089999999999996"/>
    <n v="12934.7"/>
    <x v="0"/>
  </r>
  <r>
    <s v="Greater Sudbury Hydro Inc."/>
    <s v="Retrofit"/>
    <n v="143919"/>
    <s v="Post-Project Submission - Returned by LDC for Participant Edit(s)"/>
    <n v="5637.5000000000009"/>
    <s v="Yes"/>
    <d v="2015-05-19T08:33:00"/>
    <s v="Q4 2019"/>
    <s v="Q4 2019"/>
    <s v="Q1 2020"/>
    <s v="CARUSO CLUB"/>
    <s v="JOHN"/>
    <s v="CIMINO"/>
    <s v="7056751357"/>
    <s v="johncimino@carusoclub.ca"/>
    <s v="385 HAIG STREET"/>
    <m/>
    <m/>
    <s v="SUDBURY"/>
    <s v="P3A3L2"/>
    <s v="CARUSO CLUB"/>
    <s v="Food Retail"/>
    <s v="385 HAIG STREET"/>
    <m/>
    <m/>
    <s v="SUDBURY"/>
    <s v="P3A3L2"/>
    <d v="2015-05-25T00:00:00"/>
    <s v="No"/>
    <m/>
    <m/>
    <n v="2600"/>
    <m/>
    <m/>
    <d v="2019-05-24T00:00:00"/>
    <m/>
    <m/>
    <n v="12.5"/>
    <n v="18717"/>
    <x v="0"/>
  </r>
  <r>
    <s v="Greater Sudbury Hydro Inc."/>
    <s v="Retrofit"/>
    <n v="144056"/>
    <s v="Pre-Project Review - Application Pre-Approved by LDC"/>
    <n v="5636.6750000000002"/>
    <s v="Yes"/>
    <d v="2015-05-21T13:34:45"/>
    <s v="Q4 2019"/>
    <s v="Q4 2019"/>
    <s v="Q1 2020"/>
    <s v="Health Science North"/>
    <s v="Paul"/>
    <s v="Potvin"/>
    <s v="7055237100"/>
    <s v="ppotvin@hsnsudbury.ca"/>
    <s v="41 Ramsey Lake Road"/>
    <m/>
    <m/>
    <s v="SUDBURY"/>
    <s v="P3E5J1"/>
    <s v="Health Sciences North"/>
    <s v="Hospital"/>
    <s v="41 Ramsey Lake Road"/>
    <m/>
    <m/>
    <s v="SUDBURY"/>
    <s v="P3E5J1"/>
    <d v="2015-05-29T00:00:00"/>
    <s v="No"/>
    <m/>
    <m/>
    <m/>
    <m/>
    <m/>
    <m/>
    <m/>
    <m/>
    <n v="0"/>
    <n v="51242.5"/>
    <x v="0"/>
  </r>
  <r>
    <s v="Greater Sudbury Hydro Inc."/>
    <s v="Retrofit"/>
    <n v="145730"/>
    <s v="Pre-Project Review - Application Pre-Approved by LDC"/>
    <n v="5456"/>
    <s v="Yes"/>
    <d v="2015-06-26T23:21:02"/>
    <s v="Q4 2019"/>
    <s v="Q4 2019"/>
    <s v="Q1 2020"/>
    <s v="Northwest Healthcare Properties Corp"/>
    <s v="Titus"/>
    <s v="Ciortea"/>
    <s v="6478760464"/>
    <s v="titus.ciortea@nwhp.ca"/>
    <s v="65 Larch Street"/>
    <m/>
    <m/>
    <s v="SUDBURY"/>
    <s v="P3E1B8"/>
    <s v="Northwest Healthcare Properties Corp"/>
    <s v="Large Office"/>
    <s v="65 Larch Street"/>
    <m/>
    <m/>
    <s v="SUDBURY"/>
    <s v="P3E1B8"/>
    <d v="2015-07-06T00:00:00"/>
    <s v="No"/>
    <m/>
    <m/>
    <m/>
    <m/>
    <m/>
    <m/>
    <m/>
    <m/>
    <n v="6.2"/>
    <n v="3948"/>
    <x v="0"/>
  </r>
  <r>
    <s v="Greater Sudbury Hydro Inc."/>
    <s v="Retrofit"/>
    <n v="148266"/>
    <s v="Pre-Project Review - Application Pre-Approved by LDC"/>
    <n v="1658.855"/>
    <s v="Yes"/>
    <d v="2015-08-28T13:10:47"/>
    <s v="Q2 2019"/>
    <s v="Q2 2019"/>
    <s v="Q3 2019"/>
    <s v="Health Sciences North"/>
    <s v="Chad"/>
    <s v="Kobylka"/>
    <s v="7055237100"/>
    <s v="ckobylka@hsnsudbury.ca"/>
    <s v="41 Ramsey Lake Road"/>
    <m/>
    <m/>
    <s v="SUDBURY"/>
    <s v="P3E5J1"/>
    <s v="Health Sciences North"/>
    <s v="Hospital"/>
    <s v="41 Ramsey Lake Road"/>
    <m/>
    <m/>
    <s v="SUDBURY"/>
    <s v="P3E5J1"/>
    <d v="2015-08-24T00:00:00"/>
    <s v="No"/>
    <m/>
    <m/>
    <m/>
    <m/>
    <m/>
    <m/>
    <m/>
    <m/>
    <n v="3.5"/>
    <n v="30161"/>
    <x v="0"/>
  </r>
  <r>
    <s v="Greater Sudbury Hydro Inc."/>
    <s v="Retrofit"/>
    <n v="151060"/>
    <s v="Pre-Project Review - Application Pre-Approved by LDC"/>
    <n v="492.80000000000007"/>
    <s v="Yes"/>
    <d v="2015-11-03T09:56:42"/>
    <s v="Q4 2019"/>
    <s v="Q4 2019"/>
    <s v="Q1 2020"/>
    <s v="Northwest Healthcare Properties Corp"/>
    <s v="Titus"/>
    <s v="Ciortea"/>
    <s v="6478760464"/>
    <s v="titus.ciortea@nwhp.ca"/>
    <s v="2009 Long Lake Road"/>
    <m/>
    <m/>
    <s v="SUDBURY"/>
    <s v="P3E6C3"/>
    <s v="Northwest Healthcare Properties Corp"/>
    <s v="Large Office"/>
    <s v="2009 Long Lake"/>
    <m/>
    <m/>
    <s v="SUDBURY"/>
    <s v="P3E6C3"/>
    <d v="2015-11-17T00:00:00"/>
    <s v="No"/>
    <m/>
    <m/>
    <m/>
    <m/>
    <m/>
    <m/>
    <m/>
    <m/>
    <n v="0"/>
    <n v="4480"/>
    <x v="0"/>
  </r>
  <r>
    <s v="Greater Sudbury Hydro Inc."/>
    <s v="Retrofit"/>
    <n v="152078"/>
    <s v="Pre-Project Review - Application Pre-Approved by LDC"/>
    <n v="1980.0000000000002"/>
    <s v="Yes"/>
    <d v="2015-11-23T00:00:00"/>
    <s v="Q4 2019"/>
    <s v="Q4 2019"/>
    <s v="Q1 2020"/>
    <s v="BDI-Canada Inc."/>
    <s v="Georges"/>
    <s v="Larocque"/>
    <n v="7055662881"/>
    <s v="georges.larocque@bdi-canada.com"/>
    <s v="598 Falconbridge Road"/>
    <s v="Unit 2 and 3"/>
    <m/>
    <s v="SUDBURY"/>
    <s v="P3A5K6"/>
    <s v="BDI-Canada"/>
    <s v="Large Office"/>
    <s v="598 Falconbridge Road"/>
    <s v="Unit 2 and 3"/>
    <m/>
    <s v="SUDBURY"/>
    <s v="P3A5K6"/>
    <d v="2015-07-07T00:00:00"/>
    <s v="No"/>
    <m/>
    <m/>
    <m/>
    <m/>
    <m/>
    <m/>
    <m/>
    <m/>
    <n v="4.5"/>
    <n v="11273"/>
    <x v="1"/>
  </r>
  <r>
    <s v="Greater Sudbury Hydro Inc."/>
    <s v="Retrofit"/>
    <n v="152359"/>
    <s v="Pre-Project Review - Application Pre-Approved by LDC"/>
    <n v="1276"/>
    <s v="Yes"/>
    <d v="2015-11-27T00:00:00"/>
    <s v="Q4 2019"/>
    <s v="Q4 2019"/>
    <s v="Q1 2020"/>
    <s v="Cara's"/>
    <s v="Luigi"/>
    <s v="Tarini"/>
    <n v="7056740763"/>
    <s v="ltarini@hotmail.ca"/>
    <s v="1055 Lorne Street"/>
    <m/>
    <m/>
    <s v="SUDBURY"/>
    <s v="P3C4S5"/>
    <s v="Cara's Convenience"/>
    <s v="Small Retail"/>
    <s v="1055 Lorne Street"/>
    <m/>
    <m/>
    <s v="SUDBURY"/>
    <s v="P3C4S5"/>
    <d v="2015-12-27T00:00:00"/>
    <s v="No"/>
    <m/>
    <m/>
    <s v="Cancel"/>
    <m/>
    <m/>
    <m/>
    <m/>
    <m/>
    <m/>
    <m/>
    <x v="2"/>
  </r>
  <r>
    <s v="Greater Sudbury Hydro Inc."/>
    <s v="Retrofit"/>
    <n v="152943"/>
    <s v="Pre-Project Review - Application Pre-Approved by LDC"/>
    <n v="240.9"/>
    <s v="Yes"/>
    <d v="2015-12-07T00:00:00"/>
    <s v="Q4 2019"/>
    <s v="Q4 2019"/>
    <s v="Q1 2020"/>
    <s v="Red Oak Villa Inc."/>
    <s v="Yvon"/>
    <s v="Gaudet"/>
    <n v="7056730050"/>
    <s v="ygaudet@automnwood.ca"/>
    <s v="20 Ste. Anne Road"/>
    <m/>
    <m/>
    <s v="SUDBURY"/>
    <s v="P3C5N4"/>
    <s v="Red Oak Villa"/>
    <s v="Rental Apartment"/>
    <s v="20 Ste. Anne Road"/>
    <m/>
    <m/>
    <s v="SUDBURY"/>
    <s v="P3C5N4"/>
    <d v="2015-12-07T00:00:00"/>
    <s v="No"/>
    <m/>
    <m/>
    <m/>
    <m/>
    <m/>
    <m/>
    <m/>
    <m/>
    <n v="1"/>
    <n v="8453"/>
    <x v="0"/>
  </r>
  <r>
    <s v="Greater Sudbury Hydro Inc."/>
    <s v="Retrofit"/>
    <n v="153496"/>
    <s v="Pre-Project Review - Application Pre-Approved by LDC"/>
    <n v="1637.9"/>
    <s v="Yes"/>
    <d v="2015-12-15T16:13:02"/>
    <s v="Q4 2019"/>
    <s v="Q4 2019"/>
    <s v="Q1 2020"/>
    <s v="Fireside Property Group Ltd."/>
    <s v="Keith"/>
    <s v="McMullen"/>
    <s v="4032280027"/>
    <s v="keith@firesidepropertygroup.com"/>
    <s v="236 Jogues Street"/>
    <m/>
    <m/>
    <s v="SUDBURY"/>
    <s v="P3C2K1"/>
    <s v="Prestigious Place"/>
    <s v="Rental Apartment"/>
    <s v="236 Jogues Street"/>
    <m/>
    <m/>
    <s v="SUDBURY"/>
    <s v="P3C2K1"/>
    <d v="2015-12-01T00:00:00"/>
    <s v="No"/>
    <m/>
    <m/>
    <s v="Cancel"/>
    <m/>
    <m/>
    <m/>
    <m/>
    <m/>
    <m/>
    <m/>
    <x v="2"/>
  </r>
  <r>
    <s v="Greater Sudbury Hydro Inc."/>
    <s v="Retrofit"/>
    <n v="157102"/>
    <s v="Post-Project Submission - Sent to Participant for Review"/>
    <n v="400.84000000000003"/>
    <s v="Yes"/>
    <d v="2016-03-09T00:00:00"/>
    <s v="Q4 2019"/>
    <s v="Q4 2019"/>
    <s v="Q1 2020"/>
    <s v="1662201 Ontario Limited"/>
    <s v="Joshua"/>
    <s v="Murphy"/>
    <n v="7056260045"/>
    <s v="joshuamurphy@me.com"/>
    <s v="40 Barry Street"/>
    <s v="Unit 100"/>
    <m/>
    <s v="SUDBURY"/>
    <s v="P3B3H7"/>
    <s v="Vistal Properties"/>
    <s v="Rental Apartment"/>
    <s v="40 Barry Street"/>
    <s v="Unit 100"/>
    <m/>
    <s v="SUDBURY"/>
    <s v="P3B3H7"/>
    <d v="2016-03-09T00:00:00"/>
    <s v="No"/>
    <m/>
    <m/>
    <m/>
    <m/>
    <m/>
    <m/>
    <m/>
    <m/>
    <n v="0.8"/>
    <n v="7288"/>
    <x v="1"/>
  </r>
  <r>
    <s v="Greater Sudbury Hydro Inc."/>
    <s v="Retrofit"/>
    <n v="157940"/>
    <s v="Post-Project Submission - Saved as Draft"/>
    <n v="3470.5000000000005"/>
    <s v="Yes"/>
    <d v="2016-03-29T13:03:10"/>
    <s v="Q4 2019"/>
    <s v="Q4 2019"/>
    <s v="Q1 2020"/>
    <s v="Weston Bakeries Ltd."/>
    <s v="JOHN"/>
    <s v="Ireland"/>
    <s v="7056734185"/>
    <s v="john.ireland@westonbakeries.com"/>
    <s v="695 Martindale Road"/>
    <m/>
    <m/>
    <s v="SUDBURY"/>
    <s v="P3E4H6"/>
    <s v="Weston Bakeries"/>
    <s v="Food and Beverage"/>
    <s v="695 Martindale Road"/>
    <m/>
    <m/>
    <s v="SUDBURY"/>
    <s v="P3E4H6"/>
    <d v="2016-03-18T00:00:00"/>
    <s v="No"/>
    <m/>
    <m/>
    <m/>
    <m/>
    <m/>
    <m/>
    <m/>
    <m/>
    <n v="3.9612599999999998"/>
    <n v="15846"/>
    <x v="0"/>
  </r>
  <r>
    <s v="Greater Sudbury Hydro Inc."/>
    <s v="Retrofit"/>
    <n v="158620"/>
    <s v="Post-Project Submission - Saved as Draft"/>
    <n v="7073.0000000000009"/>
    <s v="Yes"/>
    <d v="2016-04-11T15:18:59"/>
    <s v="Q4 2019"/>
    <s v="Q4 2019"/>
    <s v="Q1 2020"/>
    <s v="Aquatech Pump and Power"/>
    <s v="Bobby"/>
    <s v="Green"/>
    <s v="7056650764"/>
    <s v="bgreen@aquatd.com"/>
    <s v="2505 Lasalle, Sudbury"/>
    <m/>
    <m/>
    <s v="SUDBURY"/>
    <s v="P3A4R7"/>
    <s v="Aquatech Pump and Power"/>
    <s v="Warehouse/Wholesale"/>
    <s v="2505 Lasalle"/>
    <m/>
    <m/>
    <s v="SUDBURY"/>
    <s v="P3A4R7"/>
    <d v="2016-04-15T00:00:00"/>
    <s v="No"/>
    <m/>
    <m/>
    <m/>
    <m/>
    <m/>
    <m/>
    <m/>
    <m/>
    <n v="14.5"/>
    <n v="61009"/>
    <x v="1"/>
  </r>
  <r>
    <s v="Greater Sudbury Hydro Inc."/>
    <s v="Retrofit"/>
    <n v="158741"/>
    <s v="Pre-Project Review - Application Pre-Approved by LDC"/>
    <n v="264"/>
    <s v="Yes"/>
    <d v="2016-04-13T00:00:00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Pioneer Manor"/>
    <s v="Hospital"/>
    <s v="960 Notre Dame Avenue"/>
    <m/>
    <m/>
    <s v="SUDBURY"/>
    <s v="P3A2T4"/>
    <d v="2016-04-13T00:00:00"/>
    <s v="No"/>
    <m/>
    <m/>
    <m/>
    <m/>
    <m/>
    <m/>
    <m/>
    <m/>
    <n v="0.6"/>
    <n v="3189"/>
    <x v="0"/>
  </r>
  <r>
    <s v="Greater Sudbury Hydro Inc."/>
    <s v="Retrofit"/>
    <n v="159558"/>
    <s v="Pre-Project Review - Application Pre-Approved by LDC"/>
    <n v="658.18500000000006"/>
    <s v="Yes"/>
    <d v="2016-04-29T00:00:00"/>
    <s v="Q4 2019"/>
    <s v="Q4 2019"/>
    <s v="Q1 2020"/>
    <s v="Canadian Tire Corporation Limited.  "/>
    <s v="Chris"/>
    <s v="Little"/>
    <s v="4164808277"/>
    <s v="Christopher.Little@cantire.com"/>
    <s v="2200 Young Street"/>
    <m/>
    <m/>
    <s v="Toronto"/>
    <s v="M4P2L6"/>
    <s v="Canadian Tire - Gas Bar"/>
    <s v="Small Retail"/>
    <s v="107 Front Street"/>
    <m/>
    <m/>
    <s v="Sturgeon Falls"/>
    <s v="P2B2H4"/>
    <d v="2016-05-02T00:00:00"/>
    <s v="No"/>
    <m/>
    <m/>
    <n v="598.29999999999995"/>
    <n v="59.885000000000105"/>
    <m/>
    <m/>
    <d v="2019-07-01T00:00:00"/>
    <m/>
    <n v="1.4"/>
    <n v="11966"/>
    <x v="1"/>
  </r>
  <r>
    <s v="Greater Sudbury Hydro Inc."/>
    <s v="Retrofit"/>
    <n v="159559"/>
    <s v="Post-Project Submission - Saved as Draft"/>
    <n v="3070.76"/>
    <s v="Yes"/>
    <d v="2016-04-29T12:40:33"/>
    <s v="Q4 2019"/>
    <s v="Q4 2019"/>
    <s v="Q1 2020"/>
    <s v="Canadian Tire Corporation Limited.  "/>
    <s v="Chris"/>
    <s v="Little"/>
    <s v="4164808277"/>
    <s v="Christopher.Little@cantire.com"/>
    <s v="2200 Young Street"/>
    <m/>
    <m/>
    <s v="Toronto"/>
    <s v="M4P2L6"/>
    <s v="Canadian Tire - Gas Bar"/>
    <s v="Small Retail"/>
    <s v="107 Front Street"/>
    <m/>
    <m/>
    <s v="Sturgeon Falls"/>
    <s v="P2B2H4"/>
    <d v="2016-04-25T00:00:00"/>
    <s v="No"/>
    <m/>
    <m/>
    <n v="2608.6"/>
    <n v="462.16000000000031"/>
    <m/>
    <m/>
    <d v="2019-07-01T00:00:00"/>
    <m/>
    <n v="0"/>
    <n v="25400"/>
    <x v="1"/>
  </r>
  <r>
    <s v="Greater Sudbury Hydro Inc."/>
    <s v="Retrofit"/>
    <n v="159683"/>
    <s v="Post-Project Submission - Sent to Participant for Review"/>
    <n v="4242.26"/>
    <s v="Yes"/>
    <d v="2016-05-03T00:00:00"/>
    <s v="Q2 2019"/>
    <s v="Q2 2019"/>
    <s v="Q3 2019"/>
    <s v="Laurentian Motors Sudbury Ltd."/>
    <s v="Brett"/>
    <s v="Williamson"/>
    <n v="7055668400"/>
    <s v="brett@palladinoautogroup.com"/>
    <s v="1221 Kingsway Boulevard"/>
    <m/>
    <m/>
    <s v="SUDBURY"/>
    <s v="P3B2E9"/>
    <s v="Laurentian Chrysler"/>
    <s v="Large Retail"/>
    <s v="1221 Kingsway Boulevard"/>
    <m/>
    <m/>
    <s v="SUDBURY"/>
    <s v="P3B2E9"/>
    <d v="2016-05-02T00:00:00"/>
    <s v="No"/>
    <m/>
    <m/>
    <n v="3856.6"/>
    <n v="385.66000000000031"/>
    <m/>
    <m/>
    <d v="2019-06-01T00:00:00"/>
    <m/>
    <n v="0"/>
    <n v="77132"/>
    <x v="1"/>
  </r>
  <r>
    <s v="Greater Sudbury Hydro Inc."/>
    <s v="Retrofit"/>
    <n v="160042"/>
    <s v="Pre-Project Review - Application Pre-Approved by LDC"/>
    <n v="10861.62"/>
    <s v="Yes"/>
    <d v="2016-05-10T16:20:53"/>
    <s v="Q2 2020"/>
    <s v="Q2 2020"/>
    <s v="Q3 2020"/>
    <s v="245205 Ontario Limited"/>
    <s v="Alan"/>
    <s v="Eaton"/>
    <s v="4164890059"/>
    <s v="alaneaton@rogers.com"/>
    <s v="47 Kimbark Boulevard"/>
    <m/>
    <m/>
    <s v="Toronto"/>
    <s v="M5N2X8"/>
    <s v="Greenbriar Apartments"/>
    <s v="Rental Apartment"/>
    <s v="568 Greenbriar Drive"/>
    <m/>
    <m/>
    <s v="SUDBURY"/>
    <s v="P3B3X5"/>
    <d v="2016-05-18T00:00:00"/>
    <s v="No"/>
    <m/>
    <m/>
    <m/>
    <m/>
    <m/>
    <m/>
    <m/>
    <m/>
    <n v="0"/>
    <n v="98742"/>
    <x v="0"/>
  </r>
  <r>
    <s v="Greater Sudbury Hydro Inc."/>
    <s v="Retrofit"/>
    <n v="160043"/>
    <s v="Pre-Project Review - Application Pre-Approved by LDC"/>
    <n v="10327.68"/>
    <s v="Yes"/>
    <d v="2016-05-10T16:21:29"/>
    <s v="Q2 2020"/>
    <s v="Q2 2020"/>
    <s v="Q3 2020"/>
    <s v="245205 Ontario Limited"/>
    <s v="Alan"/>
    <s v="Eaton"/>
    <s v="4164890059"/>
    <s v="alaneaton@rogers.com"/>
    <s v="47 Kimbark Boulevard"/>
    <m/>
    <m/>
    <s v="Toronto"/>
    <s v="M5N2X8"/>
    <s v="Caswell Apartments"/>
    <s v="Rental Apartment"/>
    <s v="256 Caswell Drive"/>
    <m/>
    <m/>
    <s v="SUDBURY"/>
    <s v="P3E2N8"/>
    <d v="2016-05-18T00:00:00"/>
    <s v="No"/>
    <m/>
    <m/>
    <m/>
    <m/>
    <m/>
    <m/>
    <m/>
    <m/>
    <n v="0"/>
    <n v="93888"/>
    <x v="0"/>
  </r>
  <r>
    <s v="Greater Sudbury Hydro Inc."/>
    <s v="Retrofit"/>
    <n v="160287"/>
    <s v="Pre-Project Review - Application Pre-Approved by LDC"/>
    <n v="1276"/>
    <s v="Yes"/>
    <d v="2016-05-16T00:00:00"/>
    <s v="Q4 2019"/>
    <s v="Q4 2019"/>
    <s v="Q1 2020"/>
    <s v="Cecchetto and Sons Limited"/>
    <s v="Dennis"/>
    <s v="Cecchetto"/>
    <n v="7056265614"/>
    <s v="dennis@cecchettoandsons.com"/>
    <s v="6 Sutherland Avenue"/>
    <m/>
    <m/>
    <s v="SUDBURY"/>
    <s v="P3C3A6"/>
    <s v="Cecchetto and Sons"/>
    <s v="Warehouse/Wholesale,Manufacturing"/>
    <s v="6 Sutherland Drive"/>
    <m/>
    <m/>
    <s v="SUDBURY"/>
    <s v="P3C3A6"/>
    <d v="2016-05-27T00:00:00"/>
    <s v="No"/>
    <m/>
    <m/>
    <m/>
    <m/>
    <m/>
    <m/>
    <m/>
    <m/>
    <n v="2.9"/>
    <n v="7342"/>
    <x v="1"/>
  </r>
  <r>
    <s v="Greater Sudbury Hydro Inc."/>
    <s v="Retrofit"/>
    <n v="160728"/>
    <s v="Pre-Project Review - Application Pre-Approved by LDC"/>
    <n v="5805.6900000000005"/>
    <s v="Yes"/>
    <d v="2016-05-25T13:49:18"/>
    <s v="Q3 2019"/>
    <s v="Q3 2019"/>
    <s v="Q4 2019"/>
    <s v="Solidarity Lodge Seniors Apartments"/>
    <s v="Heather"/>
    <s v="McIntosh"/>
    <s v="7056701085"/>
    <s v="solidarity@bellnet.ca"/>
    <s v="111 Notre Dame Avenue"/>
    <m/>
    <m/>
    <s v="SUDBURY"/>
    <s v="P3C5S9"/>
    <s v="Solidarity Lodge Seniors Apartments"/>
    <s v="Social Housing Provider"/>
    <s v="111 Notre Dame Avenue"/>
    <m/>
    <m/>
    <s v="SUDBURY"/>
    <s v="P3C5S9"/>
    <d v="2016-05-02T00:00:00"/>
    <s v="No"/>
    <m/>
    <m/>
    <s v="Cancel"/>
    <m/>
    <m/>
    <m/>
    <m/>
    <m/>
    <m/>
    <m/>
    <x v="2"/>
  </r>
  <r>
    <s v="Greater Sudbury Hydro Inc."/>
    <s v="Retrofit"/>
    <n v="160995"/>
    <s v="Post-Project Submission - Submitted to LDC for Approval"/>
    <n v="9654.7220000000016"/>
    <s v="Yes"/>
    <d v="2016-05-31T10:49:43"/>
    <s v="Q4 2019"/>
    <s v="Q4 2019"/>
    <s v="Q1 2020"/>
    <s v="Shamrock Non-Profit Homes Inc."/>
    <s v="Karen"/>
    <s v="Maki"/>
    <s v="7055233307"/>
    <s v="kmaki@mmpm.ca"/>
    <s v="50 Walford Road"/>
    <m/>
    <m/>
    <s v="SUDBURY"/>
    <s v="P3E6E7"/>
    <s v="Silo Apartments Co-Operative"/>
    <s v="Social Housing Provider"/>
    <s v="139 Pearl Street"/>
    <m/>
    <m/>
    <s v="SUDBURY"/>
    <s v="P3B2N5"/>
    <d v="2016-06-03T00:00:00"/>
    <s v="No"/>
    <m/>
    <m/>
    <m/>
    <m/>
    <m/>
    <m/>
    <m/>
    <m/>
    <n v="4"/>
    <n v="48803"/>
    <x v="1"/>
  </r>
  <r>
    <s v="Greater Sudbury Hydro Inc."/>
    <s v="Retrofit"/>
    <n v="161623"/>
    <s v="Pre-Project Review - Application Pre-Approved by LDC"/>
    <n v="13695.000000000002"/>
    <s v="Yes"/>
    <d v="2016-06-10T01:12:17"/>
    <s v="Q3 2019"/>
    <s v="Q3 2019"/>
    <s v="Q4 2019"/>
    <s v="2067400 Ontario Inc."/>
    <s v="Larry"/>
    <s v="Howatt"/>
    <s v="7056944724"/>
    <s v="mon00874@loblaw.ca"/>
    <s v="24 Amanda Street"/>
    <m/>
    <m/>
    <s v="Coniston"/>
    <s v="P0M1M0"/>
    <s v="Coniston Valumart"/>
    <s v="Food Retail"/>
    <s v="24 Amanda"/>
    <m/>
    <m/>
    <s v="Coniston"/>
    <s v="P0M1M0"/>
    <d v="2016-06-12T00:00:00"/>
    <s v="No"/>
    <m/>
    <m/>
    <s v="Cancel"/>
    <m/>
    <m/>
    <m/>
    <m/>
    <m/>
    <m/>
    <m/>
    <x v="2"/>
  </r>
  <r>
    <s v="Greater Sudbury Hydro Inc."/>
    <s v="Retrofit"/>
    <n v="162298"/>
    <s v="Pre-Project Review - Application Pre-Approved by LDC"/>
    <n v="3742.2000000000003"/>
    <s v="Yes"/>
    <d v="2016-06-16T12:31:38"/>
    <s v="Q4 2019"/>
    <s v="Q4 2019"/>
    <s v="Q1 2020"/>
    <s v="Canadian Tire Corporation Limited.  "/>
    <s v="Chris"/>
    <s v="Little"/>
    <s v="4164808277"/>
    <s v="Christopher.Little@cantire.com"/>
    <s v="2200 Young Street"/>
    <m/>
    <m/>
    <s v="Toronto"/>
    <s v="M4P2L6"/>
    <s v="Canadian Tire"/>
    <s v="Large  Retail"/>
    <s v="1070 Barrydowne Road"/>
    <m/>
    <m/>
    <s v="Sudbury North"/>
    <s v="P3A3V3"/>
    <d v="2016-07-01T00:00:00"/>
    <s v="No"/>
    <m/>
    <m/>
    <m/>
    <m/>
    <m/>
    <m/>
    <m/>
    <m/>
    <n v="1.232"/>
    <n v="3563.6"/>
    <x v="1"/>
  </r>
  <r>
    <s v="Greater Sudbury Hydro Inc."/>
    <s v="Retrofit"/>
    <n v="162342"/>
    <s v="Pre-Project Review - Application Pre-Approved by LDC"/>
    <n v="3349.5000000000005"/>
    <s v="Yes"/>
    <d v="2016-06-16T15:13:45"/>
    <s v="Q3 2019"/>
    <s v="Q3 2019"/>
    <s v="Q4 2019"/>
    <s v="Lougheed's Ltd."/>
    <s v="Geoffrey"/>
    <s v="Lougheed"/>
    <s v="7056739591"/>
    <s v="Lougheedgeoffreyl@lougheeds.ca"/>
    <s v="252 Regent Street"/>
    <m/>
    <m/>
    <s v="SUDBURY"/>
    <s v="P3C4C8"/>
    <s v="Jackson and Barnard Funeral Home"/>
    <s v="Commercial Other- Please Specify"/>
    <s v="233 Larch Street"/>
    <m/>
    <m/>
    <s v="SUDBURY"/>
    <s v="P3E3E1"/>
    <d v="2016-06-17T00:00:00"/>
    <s v="No"/>
    <m/>
    <m/>
    <s v="Cancel"/>
    <m/>
    <m/>
    <m/>
    <m/>
    <m/>
    <m/>
    <m/>
    <x v="2"/>
  </r>
  <r>
    <s v="Greater Sudbury Hydro Inc."/>
    <s v="Retrofit"/>
    <n v="162343"/>
    <s v="Pre-Project Review - Application Pre-Approved by LDC"/>
    <n v="871.2"/>
    <s v="Yes"/>
    <d v="2016-06-16T14:33:35"/>
    <s v="Q4 2019"/>
    <s v="Q4 2019"/>
    <s v="Q1 2020"/>
    <s v="Lougheed's Ltd."/>
    <s v="Geoffrey"/>
    <s v="Lougheed"/>
    <s v="7056739591"/>
    <s v="Lougheedgeoffreyl@lougheeds.ca"/>
    <s v="252 Regent Street"/>
    <m/>
    <m/>
    <s v="SUDBURY"/>
    <s v="P3C4C8"/>
    <s v="Lougheed's Flower Shop"/>
    <s v="Small Retail"/>
    <s v="196 Douglas"/>
    <m/>
    <m/>
    <s v="SUDBURY"/>
    <s v="P3E1G1"/>
    <d v="2016-06-17T00:00:00"/>
    <s v="No"/>
    <m/>
    <m/>
    <s v="Cancel"/>
    <m/>
    <m/>
    <m/>
    <m/>
    <m/>
    <m/>
    <m/>
    <x v="2"/>
  </r>
  <r>
    <s v="Greater Sudbury Hydro Inc."/>
    <s v="Retrofit"/>
    <n v="162345"/>
    <s v="Pre-Project Review - Application Pre-Approved by LDC"/>
    <n v="3018.895"/>
    <s v="Yes"/>
    <d v="2016-06-16T14:36:03"/>
    <s v="Q3 2019"/>
    <s v="Q3 2019"/>
    <s v="Q4 2019"/>
    <s v="Lougheed's Ltd."/>
    <s v="Geoffrey"/>
    <s v="Lougheed"/>
    <s v="7056739591"/>
    <s v="Lougheedgeoffreyl@lougheeds.ca"/>
    <s v="252 Regent Street"/>
    <m/>
    <m/>
    <s v="SUDBURY"/>
    <s v="P3C4C8"/>
    <s v="Lougheed's Funeral Home"/>
    <s v="Commercial Other- Please Specify"/>
    <s v="252 Regent "/>
    <m/>
    <m/>
    <s v="SUDBURY"/>
    <s v="P3C4C8"/>
    <d v="2016-06-17T00:00:00"/>
    <s v="No"/>
    <m/>
    <m/>
    <s v="Cancel"/>
    <m/>
    <m/>
    <m/>
    <m/>
    <m/>
    <m/>
    <m/>
    <x v="2"/>
  </r>
  <r>
    <s v="Greater Sudbury Hydro Inc."/>
    <s v="Retrofit"/>
    <n v="162619"/>
    <s v="Pre-Project Review - Application Pre-Approved by LDC"/>
    <n v="2102.1000000000004"/>
    <s v="Yes"/>
    <d v="2016-06-17T12:14:19"/>
    <s v="Q3 2019"/>
    <s v="Q3 2019"/>
    <s v="Q4 2019"/>
    <s v="Dalron Leasing Limited"/>
    <s v="Ken"/>
    <s v="Jewitt"/>
    <s v="7055611336"/>
    <s v="kjewitt@dalron.com"/>
    <s v="130 Elm Street"/>
    <m/>
    <m/>
    <s v="SUDBURY"/>
    <s v="P3C1T6"/>
    <s v="955 Cambrian Heights"/>
    <s v="Rental Apartment"/>
    <s v="955 Cambrian Heights"/>
    <m/>
    <m/>
    <s v="SUDBURY"/>
    <s v="P3C5M6"/>
    <d v="2016-06-17T00:00:00"/>
    <s v="No"/>
    <m/>
    <m/>
    <m/>
    <m/>
    <m/>
    <m/>
    <m/>
    <m/>
    <n v="3"/>
    <n v="16201"/>
    <x v="1"/>
  </r>
  <r>
    <s v="Greater Sudbury Hydro Inc."/>
    <s v="Retrofit"/>
    <n v="163202"/>
    <s v="Pre-Project Review - Application Pre-Approved by LDC"/>
    <n v="6103.746000000001"/>
    <s v="Yes"/>
    <d v="2016-06-18T22:24:03"/>
    <s v="Q3 2019"/>
    <s v="Q3 2019"/>
    <s v="Q4 2019"/>
    <s v="Prism Co-operative Homes"/>
    <s v="Heather"/>
    <s v="McIntosh"/>
    <s v="7055245900"/>
    <s v="prismco-op@eastlink.ca"/>
    <s v="775 Cambrian Heights"/>
    <m/>
    <m/>
    <s v="SUDBURY"/>
    <s v="P3A5C8"/>
    <s v="Prism Co-operative Homes"/>
    <s v="Social Housing Provider"/>
    <s v="775 Cambrian Heights"/>
    <m/>
    <m/>
    <s v="SUDBURY"/>
    <s v="P3A5C8"/>
    <d v="2016-07-04T00:00:00"/>
    <s v="No"/>
    <m/>
    <m/>
    <m/>
    <m/>
    <m/>
    <m/>
    <m/>
    <m/>
    <n v="0"/>
    <n v="21760"/>
    <x v="1"/>
  </r>
  <r>
    <s v="Greater Sudbury Hydro Inc."/>
    <s v="Retrofit"/>
    <n v="163345"/>
    <s v="Pre-Project Review - Application Pre-Approved by LDC"/>
    <n v="2544.2449999999999"/>
    <s v="Yes"/>
    <d v="2016-06-19T16:43:58"/>
    <s v="Q1 2020"/>
    <s v="Q1 2020"/>
    <s v="Q1 2020"/>
    <s v="McBur Holdings Inc"/>
    <s v="Brad"/>
    <s v="Haines"/>
    <s v="7054948924"/>
    <s v="brad.haines@post.mcdonalds.ca"/>
    <s v="914 Newgate Avenue"/>
    <m/>
    <m/>
    <s v="SUDBURY"/>
    <s v="P3A5J9"/>
    <s v="Mcdonaalds"/>
    <s v="Restaurant"/>
    <s v="195 Front"/>
    <m/>
    <m/>
    <s v="Sturgeon Falls"/>
    <s v="P2B2J4"/>
    <d v="2016-06-06T00:00:00"/>
    <s v="No"/>
    <m/>
    <m/>
    <m/>
    <m/>
    <m/>
    <m/>
    <m/>
    <m/>
    <n v="2.4"/>
    <n v="29165"/>
    <x v="0"/>
  </r>
  <r>
    <s v="Greater Sudbury Hydro Inc."/>
    <s v="Retrofit"/>
    <n v="163499"/>
    <s v="Pre-Project Review - Application Pre-Approved by LDC"/>
    <n v="5456"/>
    <s v="Yes"/>
    <d v="2016-06-20T00:00:00"/>
    <s v="Q4 2019"/>
    <s v="Q4 2019"/>
    <s v="Q1 2020"/>
    <s v="EMCO Corporation"/>
    <s v="Thomas"/>
    <s v="Broz"/>
    <n v="7055600505"/>
    <s v="tbroz@emcoltd.com"/>
    <s v="878 Newgate Avenue"/>
    <m/>
    <m/>
    <s v="SUDBURY"/>
    <s v="P3A5J9"/>
    <s v="Emco"/>
    <s v="Warehouse/Wholesale"/>
    <s v="878 Newgate Avenue"/>
    <m/>
    <m/>
    <s v="SUDBURY"/>
    <s v="P3A5J9"/>
    <d v="2016-06-17T00:00:00"/>
    <s v="No"/>
    <m/>
    <m/>
    <s v="Cancel"/>
    <m/>
    <m/>
    <m/>
    <m/>
    <m/>
    <m/>
    <m/>
    <x v="2"/>
  </r>
  <r>
    <s v="Greater Sudbury Hydro Inc."/>
    <s v="Retrofit"/>
    <n v="163716"/>
    <s v="Pre-Project Review - Application Pre-Approved by LDC"/>
    <n v="1923.8450000000003"/>
    <s v="Yes"/>
    <d v="2016-06-23T10:34:35"/>
    <s v="Q4 2019"/>
    <s v="Q4 2019"/>
    <s v="Q1 2020"/>
    <s v="Dalron Leasing Limited"/>
    <s v="Ken"/>
    <s v="Jewitt"/>
    <s v="7055611336"/>
    <s v="kjewitt@dalron.com"/>
    <s v="130 Elm Street"/>
    <m/>
    <m/>
    <s v="SUDBURY"/>
    <s v="P3C1T6"/>
    <s v="Tetratek"/>
    <s v="Small Office"/>
    <s v="957 Cambrian Heights"/>
    <m/>
    <m/>
    <s v="SUDBURY"/>
    <s v="P3C5S5"/>
    <d v="2016-06-17T00:00:00"/>
    <s v="No"/>
    <m/>
    <m/>
    <m/>
    <m/>
    <m/>
    <m/>
    <m/>
    <m/>
    <n v="0"/>
    <n v="14975"/>
    <x v="1"/>
  </r>
  <r>
    <s v="Greater Sudbury Hydro Inc."/>
    <s v="Retrofit"/>
    <n v="163801"/>
    <s v="Pre-Project Review - Application Pre-Approved by LDC"/>
    <n v="671"/>
    <s v="Yes"/>
    <d v="2016-06-27T16:20:59"/>
    <s v="Q4 2019"/>
    <s v="Q4 2019"/>
    <s v="Q1 2020"/>
    <s v="Rondez Vous Hair"/>
    <s v="Ronnie"/>
    <s v="Yeomans"/>
    <s v="7059192577"/>
    <s v="ronnieyeomans@hotmail.com"/>
    <s v="1812 Lasalle"/>
    <m/>
    <m/>
    <s v="SUDBURY"/>
    <s v="P3A2V2"/>
    <s v="Rondez Vous Hair"/>
    <s v="Small Retail"/>
    <s v="1812 Lasalle"/>
    <m/>
    <m/>
    <s v="SUDBURY"/>
    <s v="P3A2V2"/>
    <d v="2016-07-01T00:00:00"/>
    <s v="No"/>
    <m/>
    <m/>
    <m/>
    <m/>
    <m/>
    <m/>
    <m/>
    <m/>
    <n v="5.04"/>
    <n v="24978"/>
    <x v="1"/>
  </r>
  <r>
    <s v="Greater Sudbury Hydro Inc."/>
    <s v="Retrofit"/>
    <n v="164017"/>
    <s v="Pre-Project Review - Application Pre-Approved by LDC"/>
    <n v="5225"/>
    <s v="Yes"/>
    <d v="2016-07-04T09:47:12"/>
    <s v="Q3 2019"/>
    <s v="Q3 2019"/>
    <s v="Q4 2019"/>
    <s v="Kids Ultimate Play and Party Centre Inc."/>
    <s v="Nathalie"/>
    <s v="Rocheleau"/>
    <s v="7055860926"/>
    <s v="nathalie@kuppcentre.ca"/>
    <s v="1965 Lasalle"/>
    <m/>
    <m/>
    <s v="SUDBURY"/>
    <s v="P3A2A3"/>
    <s v="KUPP Centre"/>
    <s v="Entertainment/Sport"/>
    <s v="1965 Lasalle"/>
    <m/>
    <m/>
    <s v="SUDBURY"/>
    <s v="P3A2A3"/>
    <d v="2016-07-15T00:00:00"/>
    <s v="No"/>
    <m/>
    <m/>
    <m/>
    <m/>
    <m/>
    <m/>
    <m/>
    <m/>
    <n v="21.966000000000001"/>
    <n v="98847"/>
    <x v="1"/>
  </r>
  <r>
    <s v="Greater Sudbury Hydro Inc."/>
    <s v="Retrofit"/>
    <n v="164082"/>
    <s v="Pre-Project Review - Application Pre-Approved by LDC"/>
    <n v="1797.8840000000002"/>
    <s v="Yes"/>
    <d v="2016-07-05T14:00:11"/>
    <s v="Q4 2019"/>
    <s v="Q4 2019"/>
    <s v="Q1 2020"/>
    <s v="Dalron Leasing Limited"/>
    <s v="Carol"/>
    <s v="Skanes"/>
    <s v="7055609770"/>
    <s v="cskanes@dalron.com"/>
    <s v="130 Elm Street"/>
    <m/>
    <m/>
    <s v="SUDBURY"/>
    <s v="P3C1T6"/>
    <s v="850 Barrydowne Office"/>
    <s v="Small Office"/>
    <s v="850 Barrydowne"/>
    <m/>
    <m/>
    <s v="SUDBURY"/>
    <s v="P3A3T7"/>
    <d v="2016-07-22T00:00:00"/>
    <s v="No"/>
    <m/>
    <m/>
    <m/>
    <m/>
    <m/>
    <m/>
    <m/>
    <m/>
    <n v="4.0861000000000001"/>
    <n v="8172.2"/>
    <x v="0"/>
  </r>
  <r>
    <s v="Greater Sudbury Hydro Inc."/>
    <s v="Retrofit"/>
    <n v="164390"/>
    <s v="Post-Project Submission - Saved as Draft"/>
    <n v="8321.2360000000008"/>
    <s v="Yes"/>
    <d v="2016-07-13T19:28:27"/>
    <s v="Q4 2019"/>
    <s v="Q4 2019"/>
    <s v="Q1 2020"/>
    <s v="TEMLAS APPARTMENTS INC"/>
    <s v="GAIL"/>
    <s v="JONES"/>
    <s v="7055601553"/>
    <s v="temlas@vianet.ca"/>
    <s v="901 LASALLE"/>
    <m/>
    <m/>
    <s v="SUDBURY"/>
    <s v="P3A1X8"/>
    <s v="TEMLAS APPARTMENTS INC"/>
    <s v="Rental Apartment"/>
    <s v="901 LASALLE "/>
    <m/>
    <m/>
    <s v="SUDBURY"/>
    <s v="P3A1X8"/>
    <d v="2016-07-20T00:00:00"/>
    <s v="No"/>
    <m/>
    <m/>
    <n v="5383.48"/>
    <n v="2937.7560000000012"/>
    <m/>
    <m/>
    <d v="2019-06-01T00:00:00"/>
    <m/>
    <m/>
    <m/>
    <x v="2"/>
  </r>
  <r>
    <s v="Greater Sudbury Hydro Inc."/>
    <s v="Retrofit"/>
    <n v="164391"/>
    <s v="Post-Project Submission - Saved as Draft"/>
    <n v="8321.2360000000008"/>
    <s v="Yes"/>
    <d v="2016-07-13T19:54:09"/>
    <s v="Q4 2020"/>
    <s v="Q4 2020"/>
    <s v="Q1 2021"/>
    <s v="TEMLAS APPARTMENTS INC"/>
    <s v="GAIL"/>
    <s v="JONES"/>
    <s v="7055601553"/>
    <s v="temlas@vianet.ca"/>
    <s v="901 LASALLE BLVD SUITE # 101"/>
    <m/>
    <m/>
    <s v="SUDBURY"/>
    <s v="P3A1X8"/>
    <s v="TEMLAS APPARTMENTS PHASE 2"/>
    <s v="Rental Apartment"/>
    <s v="901 LASALLE BLVD SUITE # 101 "/>
    <m/>
    <m/>
    <s v="SUDBURY"/>
    <s v="P3A1X8"/>
    <d v="2017-02-25T00:00:00"/>
    <s v="No"/>
    <m/>
    <m/>
    <m/>
    <m/>
    <m/>
    <m/>
    <m/>
    <m/>
    <n v="0"/>
    <n v="75647.600000000006"/>
    <x v="0"/>
  </r>
  <r>
    <s v="Greater Sudbury Hydro Inc."/>
    <s v="Retrofit"/>
    <n v="164392"/>
    <s v="Post-Project Submission - Submitted to LDC for Approval"/>
    <n v="8321.2360000000008"/>
    <s v="Yes"/>
    <d v="2016-07-13T20:12:41"/>
    <s v="Q4 2020"/>
    <s v="Q4 2020"/>
    <s v="Q1 2021"/>
    <s v="TEMLAS APPARTMENTS INC"/>
    <s v="GAIL"/>
    <s v="JONES"/>
    <s v="7055601553"/>
    <s v="temlas@vianet.ca"/>
    <s v="901 LASALLE BLVD SUITE # 101"/>
    <m/>
    <m/>
    <s v="SUDBURY"/>
    <s v="P3A1X8"/>
    <s v="TEMLAS APPARTMENTS PHASE 3"/>
    <s v="Rental Apartment"/>
    <s v="901 LASALLE BLVD SUITE # 101"/>
    <m/>
    <m/>
    <s v="SUDBURY"/>
    <s v="P3A1X8"/>
    <d v="2017-08-07T00:00:00"/>
    <s v="No"/>
    <m/>
    <m/>
    <m/>
    <m/>
    <m/>
    <m/>
    <m/>
    <m/>
    <n v="0"/>
    <n v="75647.600000000006"/>
    <x v="0"/>
  </r>
  <r>
    <s v="Greater Sudbury Hydro Inc."/>
    <s v="Retrofit"/>
    <n v="164926"/>
    <s v="Pre-Project Review - Application Pre-Approved by LDC"/>
    <n v="1155"/>
    <s v="Yes"/>
    <d v="2016-08-02T10:47:52"/>
    <s v="Q4 2019"/>
    <s v="Q4 2019"/>
    <s v="Q1 2020"/>
    <s v="Nickel City Insurance Brokers Inc."/>
    <s v="Russell"/>
    <s v="Fraser"/>
    <s v="7055666715"/>
    <s v="rfraser@pbnet.ca"/>
    <s v="754 Falconbridge"/>
    <m/>
    <m/>
    <s v="SUDBURY"/>
    <s v="P3A5X5"/>
    <s v="Nickel City Insurance Brokers Inc."/>
    <s v="Small Office"/>
    <s v="754 Falconbridge"/>
    <m/>
    <m/>
    <s v="SUDBURY"/>
    <s v="P3A5X5"/>
    <d v="2016-08-05T00:00:00"/>
    <s v="No"/>
    <m/>
    <m/>
    <s v="Cancel"/>
    <m/>
    <m/>
    <m/>
    <m/>
    <m/>
    <m/>
    <m/>
    <x v="2"/>
  </r>
  <r>
    <s v="Greater Sudbury Hydro Inc."/>
    <s v="Retrofit"/>
    <n v="164933"/>
    <s v="Pre-Project Review - Application Pre-Approved by LDC"/>
    <n v="8217.44"/>
    <s v="Yes"/>
    <d v="2016-08-02T13:15:22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CAPREOL COMMUNITY CENTRE  ARENA  AND BANQUET HALL"/>
    <s v="Other please specify"/>
    <s v="20 MEEHAN AVENUE"/>
    <m/>
    <m/>
    <s v="Capereol"/>
    <s v="P0M1G0"/>
    <d v="2016-07-29T00:00:00"/>
    <s v="No"/>
    <m/>
    <m/>
    <n v="7480"/>
    <m/>
    <m/>
    <d v="2019-05-24T00:00:00"/>
    <m/>
    <m/>
    <n v="18.7"/>
    <n v="97339"/>
    <x v="0"/>
  </r>
  <r>
    <s v="Greater Sudbury Hydro Inc."/>
    <s v="Retrofit"/>
    <n v="165441"/>
    <s v="Pre-Project Review - Application Pre-Approved by LDC"/>
    <n v="1430.308"/>
    <s v="Yes"/>
    <d v="2016-08-16T17:59:13"/>
    <s v="Q4 2019"/>
    <s v="Q4 2019"/>
    <s v="Q1 2020"/>
    <s v="Silpaa Street Holdings Inc."/>
    <s v="Steve"/>
    <s v="Butera"/>
    <s v="9053711201"/>
    <s v="steveb@panoramicproperties.ca"/>
    <s v="9582 Beaverdams Road"/>
    <m/>
    <m/>
    <s v="Niagara Falls"/>
    <s v="L2E6S4"/>
    <s v="183 Silpaa Street"/>
    <s v="Warehouse/Wholesale"/>
    <s v="183 Silpaa"/>
    <m/>
    <m/>
    <s v="SUDBURY"/>
    <s v="P3B3E5"/>
    <d v="2016-08-22T00:00:00"/>
    <s v="No"/>
    <m/>
    <m/>
    <m/>
    <m/>
    <m/>
    <m/>
    <m/>
    <m/>
    <n v="1.3120000000000001"/>
    <n v="19445.580000000002"/>
    <x v="1"/>
  </r>
  <r>
    <s v="Greater Sudbury Hydro Inc."/>
    <s v="Retrofit"/>
    <n v="165502"/>
    <s v="Pre-Project Review - Returned by LDC for Applicant Edit(s)"/>
    <n v="2609.6400000000003"/>
    <s v="Yes"/>
    <d v="2016-08-17T22:23:31"/>
    <s v="Q3 2019"/>
    <s v="Q3 2019"/>
    <s v="Q4 2019"/>
    <s v="Pharma Plus Drugmarts Ltd."/>
    <s v="Randy"/>
    <s v="Grochowski"/>
    <s v="9055017833"/>
    <s v="RGrochowski@rexall.ca"/>
    <s v="5965 Coopers Avenue"/>
    <m/>
    <m/>
    <s v="Mississauga"/>
    <s v="L4Z1R9"/>
    <s v="Pharma Plus Drugmarts Ltd."/>
    <s v="Large  Retail"/>
    <s v="117 Cedar"/>
    <m/>
    <m/>
    <s v="SUDBURY"/>
    <s v="P3E1A9"/>
    <d v="2016-08-19T00:00:00"/>
    <s v="No"/>
    <m/>
    <m/>
    <m/>
    <m/>
    <m/>
    <m/>
    <m/>
    <m/>
    <n v="7.2526999999999999"/>
    <n v="41465.563199999997"/>
    <x v="0"/>
  </r>
  <r>
    <s v="Greater Sudbury Hydro Inc."/>
    <s v="Retrofit"/>
    <n v="166458"/>
    <s v="Post-Project Submission - Submitted to LDC for Approval"/>
    <n v="28375.589000000004"/>
    <s v="Yes"/>
    <d v="2016-09-19T10:43:27"/>
    <s v="Q4 2020"/>
    <s v="Q4 2020"/>
    <s v="Q1 2021"/>
    <s v="AU CHATEAU"/>
    <s v="HENRI "/>
    <s v="LAFLAMME"/>
    <s v="7057537109"/>
    <s v="henril@auchateau.ca"/>
    <s v="100 MICHAUD"/>
    <m/>
    <m/>
    <s v="Sturgeon Falls"/>
    <s v="P2B2Z4"/>
    <s v="AU CHATEAU"/>
    <s v="Social Housing Provider"/>
    <s v="709 COURSOL"/>
    <m/>
    <m/>
    <s v="Sturgeon Falls"/>
    <s v="P2B2Z4"/>
    <d v="2016-09-21T00:00:00"/>
    <s v="No"/>
    <s v="Heating Project, may need another year's worth of billing data for savings"/>
    <m/>
    <m/>
    <m/>
    <m/>
    <m/>
    <m/>
    <m/>
    <n v="0"/>
    <n v="254905"/>
    <x v="0"/>
  </r>
  <r>
    <s v="Greater Sudbury Hydro Inc."/>
    <s v="Retrofit"/>
    <n v="168152"/>
    <s v="Pre-Project Review - Application Pre-Approved by LDC"/>
    <n v="779.07500000000005"/>
    <s v="Yes"/>
    <d v="2016-10-27T14:19:43"/>
    <s v="Q4 2019"/>
    <s v="Q4 2019"/>
    <s v="Q1 2020"/>
    <s v="484649 Ontario Ltd."/>
    <s v="Paul"/>
    <s v="Kennedy"/>
    <s v="7055604667"/>
    <s v="goldwood@bell.net"/>
    <s v="2335 Lasalle Boulevard"/>
    <m/>
    <m/>
    <s v="SUDBURY"/>
    <s v="P3A2A9"/>
    <s v="2335 Lasalle Boulevard"/>
    <s v="Large  Retail"/>
    <s v="2335 Lasalle"/>
    <m/>
    <m/>
    <s v="SUDBURY"/>
    <s v="P3A2A9"/>
    <d v="2016-10-28T00:00:00"/>
    <s v="No"/>
    <m/>
    <m/>
    <m/>
    <m/>
    <m/>
    <m/>
    <m/>
    <m/>
    <n v="0"/>
    <n v="14164.92"/>
    <x v="1"/>
  </r>
  <r>
    <s v="Greater Sudbury Hydro Inc."/>
    <s v="Retrofit"/>
    <n v="169265"/>
    <s v="Pre-Project Review - Application Pre-Approved by LDC"/>
    <n v="3223.0550000000003"/>
    <s v="Yes"/>
    <d v="2016-11-21T11:30:06"/>
    <s v="Q2 2019"/>
    <s v="Q2 2019"/>
    <s v="Q3 2019"/>
    <s v="ASA Alloys"/>
    <s v="Tony "/>
    <s v="Capasso"/>
    <s v="7055226773"/>
    <s v="tcapasso@asaalloys.com"/>
    <s v="1351 Kelly Lake Road"/>
    <m/>
    <m/>
    <s v="SUDBURY"/>
    <s v="P3E5P5"/>
    <s v="ASA Alloys"/>
    <s v="Warehouse/Wholesale"/>
    <s v="1351 Kelly Lake"/>
    <m/>
    <m/>
    <s v="SUDBURY"/>
    <s v="P3E5P5"/>
    <d v="2016-11-25T00:00:00"/>
    <s v="No"/>
    <m/>
    <m/>
    <m/>
    <m/>
    <m/>
    <m/>
    <m/>
    <m/>
    <n v="7.2"/>
    <n v="36162"/>
    <x v="1"/>
  </r>
  <r>
    <s v="Greater Sudbury Hydro Inc."/>
    <s v="Retrofit"/>
    <n v="169992"/>
    <s v="Pre-Project Review - Application Pre-Approved by LDC"/>
    <n v="176.34100000000001"/>
    <s v="Yes"/>
    <d v="2016-12-06T10:13:37"/>
    <s v="Q4 2019"/>
    <s v="Q4 2019"/>
    <s v="Q1 2020"/>
    <s v="Gervais Restaurant Ltd."/>
    <s v="Eric A"/>
    <s v="Guenette"/>
    <s v="7057531520"/>
    <s v="ericaguenette75@hotmail.com"/>
    <s v="169 Front Street"/>
    <m/>
    <m/>
    <s v="Sturgeon Falls"/>
    <s v="P2B2A9"/>
    <s v="Gervais Restaurant"/>
    <s v="Restaurant"/>
    <s v="169 Front"/>
    <m/>
    <m/>
    <s v="SUDBURY"/>
    <s v="P2B2A9"/>
    <d v="2016-07-08T00:00:00"/>
    <s v="No"/>
    <m/>
    <m/>
    <s v="Cancel"/>
    <m/>
    <m/>
    <m/>
    <m/>
    <m/>
    <m/>
    <m/>
    <x v="2"/>
  </r>
  <r>
    <s v="Greater Sudbury Hydro Inc."/>
    <s v="Retrofit"/>
    <n v="170182"/>
    <s v="Pre-Project Review - Application Pre-Approved by LDC"/>
    <n v="1331"/>
    <s v="Yes"/>
    <d v="2016-12-08T13:27:51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Energy Court"/>
    <s v="Other please specify"/>
    <s v="Lorne"/>
    <m/>
    <m/>
    <s v="SUDBURY"/>
    <s v="P3C4P2"/>
    <d v="2016-08-22T00:00:00"/>
    <s v="No"/>
    <m/>
    <m/>
    <m/>
    <m/>
    <m/>
    <m/>
    <m/>
    <m/>
    <n v="0"/>
    <n v="13398"/>
    <x v="1"/>
  </r>
  <r>
    <s v="Greater Sudbury Hydro Inc."/>
    <s v="Retrofit"/>
    <n v="170550"/>
    <s v="Pre-Project Review - Application Pre-Approved by LDC"/>
    <n v="2057"/>
    <s v="Yes"/>
    <d v="2016-12-16T08:42:55"/>
    <s v="Q2 2019"/>
    <s v="Q2 2019"/>
    <s v="Q3 2019"/>
    <s v="City of Greater Sudbury"/>
    <s v="Sajeev"/>
    <s v="Shivshankaran"/>
    <n v="7056774648"/>
    <s v="sajeev.shivshankaran@greatersudbury.ca"/>
    <s v="200 Brady Street"/>
    <m/>
    <m/>
    <s v="SUDBURY"/>
    <s v="P3A5P3"/>
    <s v="Robinson Playground"/>
    <s v="Government - Parks and Recreation"/>
    <s v="215 Cranbrook"/>
    <m/>
    <m/>
    <s v="SUDBURY"/>
    <s v="P3E2N4"/>
    <d v="2016-12-19T00:00:00"/>
    <s v="No"/>
    <m/>
    <m/>
    <n v="1870"/>
    <m/>
    <m/>
    <d v="2019-05-24T00:00:00"/>
    <m/>
    <m/>
    <n v="0"/>
    <n v="20706"/>
    <x v="1"/>
  </r>
  <r>
    <s v="Greater Sudbury Hydro Inc."/>
    <s v="Retrofit"/>
    <n v="170568"/>
    <s v="Pre-Project Review - Application Pre-Approved by LDC"/>
    <n v="1210"/>
    <s v="Yes"/>
    <d v="2016-12-16T13:15:08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Adamsdale Park"/>
    <s v="Government - Parks and Recreation"/>
    <s v="2nd N"/>
    <m/>
    <m/>
    <s v="SUDBURY"/>
    <s v="P3B3M4"/>
    <d v="2017-01-05T00:00:00"/>
    <s v="No"/>
    <m/>
    <m/>
    <m/>
    <m/>
    <m/>
    <m/>
    <m/>
    <m/>
    <n v="0"/>
    <n v="12180"/>
    <x v="1"/>
  </r>
  <r>
    <s v="Greater Sudbury Hydro Inc."/>
    <s v="Retrofit"/>
    <n v="170576"/>
    <s v="Pre-Project Review - Application Pre-Approved by LDC"/>
    <n v="660"/>
    <s v="Yes"/>
    <d v="2016-12-16T14:13:41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McLean Playground"/>
    <s v="Government - Parks and Recreation"/>
    <s v="345 McLean"/>
    <m/>
    <m/>
    <s v="SUDBURY"/>
    <s v="P3A1V3"/>
    <d v="2016-12-19T00:00:00"/>
    <s v="No"/>
    <m/>
    <m/>
    <n v="600"/>
    <m/>
    <m/>
    <d v="2019-05-24T00:00:00"/>
    <m/>
    <m/>
    <n v="0"/>
    <n v="6720"/>
    <x v="1"/>
  </r>
  <r>
    <s v="Greater Sudbury Hydro Inc."/>
    <s v="Retrofit"/>
    <n v="171556"/>
    <s v="Pre-Project Review - Application Pre-Approved by LDC"/>
    <n v="3844.5000000000005"/>
    <s v="Yes"/>
    <d v="2017-01-19T12:15:55"/>
    <s v="Q4 2019"/>
    <s v="Q4 2019"/>
    <s v="Q1 2020"/>
    <s v="Loblaws INC"/>
    <s v="Vishal"/>
    <s v="Gupta"/>
    <s v="9054592500"/>
    <s v="vishal.gupta@loblaw.ca"/>
    <s v="1 President's Choice Circle"/>
    <m/>
    <m/>
    <s v="Brampton"/>
    <s v="L6Y 5S5"/>
    <s v="Valu Mart #874"/>
    <s v="Large  Retail"/>
    <s v="24 Amanda "/>
    <m/>
    <m/>
    <s v="Coniston"/>
    <s v="P0M1M0"/>
    <d v="2017-02-06T00:00:00"/>
    <s v="No"/>
    <m/>
    <m/>
    <s v="Cancel"/>
    <m/>
    <m/>
    <m/>
    <m/>
    <m/>
    <m/>
    <m/>
    <x v="2"/>
  </r>
  <r>
    <s v="Greater Sudbury Hydro Inc."/>
    <s v="Retrofit"/>
    <n v="171955"/>
    <s v="Pre-Project Review - Application Pre-Approved by LDC"/>
    <n v="2281.84"/>
    <s v="Yes"/>
    <d v="2017-01-30T15:39:19"/>
    <s v="Q3 2019"/>
    <s v="Q3 2019"/>
    <s v="Q4 2019"/>
    <s v="Superior Propane"/>
    <s v="Lonnie"/>
    <s v="Duquette"/>
    <s v="7055667067"/>
    <s v="duquettel@superiorpropane.com"/>
    <s v="2475 Maley Drive"/>
    <m/>
    <m/>
    <s v="SUDBURY"/>
    <s v="P3A4S1"/>
    <s v="Superior Propane"/>
    <s v="Commercial Other- Please Specify"/>
    <s v="2475 Maley"/>
    <m/>
    <m/>
    <s v="SUDBURY"/>
    <s v="P3A4S1"/>
    <d v="2017-02-01T00:00:00"/>
    <s v="No"/>
    <m/>
    <m/>
    <m/>
    <m/>
    <m/>
    <m/>
    <m/>
    <m/>
    <n v="4.8"/>
    <n v="41488"/>
    <x v="1"/>
  </r>
  <r>
    <s v="Greater Sudbury Hydro Inc."/>
    <s v="Retrofit"/>
    <n v="172405"/>
    <s v="Pre-Project Review - Application Pre-Approved by LDC"/>
    <n v="1232"/>
    <s v="Yes"/>
    <d v="2017-02-09T09:35:30"/>
    <s v="Q2 2019"/>
    <s v="Q2 2019"/>
    <s v="Q3 2019"/>
    <s v="Health Sciences North"/>
    <s v="Jeff"/>
    <s v="Dunn"/>
    <s v="7055237100"/>
    <s v="jdunn@hsnsudbury.ca"/>
    <s v="41 Ramsey Lake Road"/>
    <m/>
    <m/>
    <s v="SUDBURY"/>
    <s v="P3E5J1"/>
    <s v="Health Sciences North Outpatient Centre"/>
    <s v="Hospital"/>
    <s v="865 Regent"/>
    <m/>
    <m/>
    <s v="SUDBURY"/>
    <s v="P3E3Y9"/>
    <d v="2017-02-17T00:00:00"/>
    <s v="No"/>
    <m/>
    <m/>
    <m/>
    <m/>
    <m/>
    <m/>
    <m/>
    <m/>
    <n v="0.83199999999999996"/>
    <n v="3822.2080000000001"/>
    <x v="0"/>
  </r>
  <r>
    <s v="Greater Sudbury Hydro Inc."/>
    <s v="Retrofit"/>
    <n v="173121"/>
    <s v="Pre-Project Review - Application Pre-Approved by LDC"/>
    <n v="2662"/>
    <s v="Yes"/>
    <d v="2017-02-24T13:47:03"/>
    <s v="Q4 2019"/>
    <s v="Q4 2019"/>
    <s v="Q1 2020"/>
    <s v="Health Sciences North"/>
    <s v="Jeff"/>
    <s v="Dunn"/>
    <s v="7055237100"/>
    <s v="jdunn@hsnsudbury.ca"/>
    <s v="41 Ramsey Lake Road"/>
    <m/>
    <m/>
    <s v="SUDBURY"/>
    <s v="P3E5J1"/>
    <s v="Health Sciences North Outpatient Centre"/>
    <s v="Hospital"/>
    <s v="865 Regent"/>
    <m/>
    <m/>
    <s v="SUDBURY"/>
    <s v="P3E3Y9"/>
    <d v="2017-03-03T00:00:00"/>
    <s v="No"/>
    <m/>
    <m/>
    <m/>
    <m/>
    <m/>
    <m/>
    <m/>
    <m/>
    <n v="0"/>
    <n v="27048"/>
    <x v="0"/>
  </r>
  <r>
    <s v="Greater Sudbury Hydro Inc."/>
    <s v="Retrofit"/>
    <n v="173293"/>
    <s v="Pre-Project Review - Application Pre-Approved by LDC"/>
    <n v="843.15000000000009"/>
    <s v="Yes"/>
    <d v="2017-03-01T11:06:31"/>
    <s v="Q4 2019"/>
    <s v="Q4 2019"/>
    <s v="Q1 2020"/>
    <s v="The Corporation of The Municipality of West Nipissing"/>
    <s v="Jonny"/>
    <s v="Belanger"/>
    <s v="7057532250"/>
    <s v="jbelanger@westnipissing.ca"/>
    <s v="225 Holditch Street"/>
    <m/>
    <m/>
    <s v="Sturgeon Falls"/>
    <s v="P2B1T1"/>
    <s v="Cache Bay Garage"/>
    <s v="Commercial Other- Please Specify"/>
    <s v="Old Mill "/>
    <m/>
    <m/>
    <s v="Cache Bay"/>
    <s v="P2B2N7"/>
    <d v="2017-02-27T00:00:00"/>
    <s v="No"/>
    <m/>
    <m/>
    <m/>
    <m/>
    <m/>
    <m/>
    <m/>
    <m/>
    <n v="1.5"/>
    <n v="15330"/>
    <x v="1"/>
  </r>
  <r>
    <s v="Greater Sudbury Hydro Inc."/>
    <s v="Retrofit"/>
    <n v="173849"/>
    <s v="Pre-Project Review - Application Pre-Approved by LDC"/>
    <n v="968.00000000000011"/>
    <s v="Yes"/>
    <d v="2017-03-10T15:43:21"/>
    <s v="Q4 2019"/>
    <s v="Q4 2019"/>
    <s v="Q1 2020"/>
    <s v="65 Larch Holdings Inc."/>
    <s v="Jim"/>
    <s v="Searle"/>
    <s v="4167499954"/>
    <s v="jsearle@primerealestategroup.ca)"/>
    <s v="200 Ronson Drive"/>
    <m/>
    <m/>
    <s v="Toronto"/>
    <s v="M9W5Z9"/>
    <s v="65 Larch Street"/>
    <s v="Commercial Other- Please Specify"/>
    <s v="65 Larch"/>
    <m/>
    <m/>
    <s v="SUDBURY"/>
    <s v="P3E1B8"/>
    <d v="2017-03-31T00:00:00"/>
    <s v="No"/>
    <m/>
    <m/>
    <m/>
    <m/>
    <m/>
    <m/>
    <m/>
    <m/>
    <n v="2.2000000000000002"/>
    <n v="6583"/>
    <x v="0"/>
  </r>
  <r>
    <s v="Greater Sudbury Hydro Inc."/>
    <s v="Retrofit"/>
    <n v="174845"/>
    <s v="Pre-Project Review - Application Pre-Approved by LDC"/>
    <n v="1629.5950000000003"/>
    <s v="Yes"/>
    <d v="2017-03-31T16:09:44"/>
    <s v="Q1 2020"/>
    <s v="Q1 2020"/>
    <s v="Q2 2020"/>
    <s v="Prosperi Holdings Ltd."/>
    <s v="John"/>
    <s v="Prosperi"/>
    <s v="7056731376"/>
    <s v="john@prosperi.ca"/>
    <s v="299 Willow Street"/>
    <m/>
    <m/>
    <s v="SUDBURY"/>
    <s v="P3C1K2"/>
    <s v="2141 Lasalle"/>
    <s v="Commercial Other- Please Specify"/>
    <s v="2141 Lasalle"/>
    <m/>
    <m/>
    <s v="SUDBURY"/>
    <s v="P3A2A3"/>
    <d v="2017-04-07T00:00:00"/>
    <s v="No"/>
    <m/>
    <m/>
    <m/>
    <m/>
    <m/>
    <m/>
    <m/>
    <m/>
    <n v="0"/>
    <n v="19085"/>
    <x v="1"/>
  </r>
  <r>
    <s v="Greater Sudbury Hydro Inc."/>
    <s v="Retrofit"/>
    <n v="175741"/>
    <s v="Pre-Project Review - Application Pre-Approved by LDC"/>
    <n v="660"/>
    <s v="Yes"/>
    <d v="2017-04-19T11:45:58"/>
    <s v="Q4 2019"/>
    <s v="Q4 2019"/>
    <s v="Q1 2020"/>
    <s v="2118239 Ontario Ltd. OA Expedia"/>
    <s v="Donna"/>
    <s v="Kotanko"/>
    <s v="8076237449"/>
    <s v="dkotanko@cruiseshipcenters.com"/>
    <s v="1186 Memorial Avenue"/>
    <m/>
    <m/>
    <s v="Thunder Bay"/>
    <s v="P7B5K5"/>
    <s v="Expedia Cruise Ship Centers"/>
    <s v="Small Office"/>
    <s v="900 Lasalle"/>
    <m/>
    <m/>
    <s v="SUDBURY"/>
    <s v="P3A5W8"/>
    <d v="2017-04-28T00:00:00"/>
    <s v="No"/>
    <m/>
    <m/>
    <m/>
    <m/>
    <m/>
    <m/>
    <m/>
    <m/>
    <n v="1.5"/>
    <n v="4239"/>
    <x v="1"/>
  </r>
  <r>
    <s v="Greater Sudbury Hydro Inc."/>
    <s v="Retrofit"/>
    <n v="176746"/>
    <s v="Pre-Project Review - Application Pre-Approved by LDC"/>
    <n v="8486.5"/>
    <s v="Yes"/>
    <d v="2017-05-04T11:48:34"/>
    <s v="Q4 2019"/>
    <s v="Q4 2019"/>
    <s v="Q1 2020"/>
    <s v="John Tripodi Limited OA Plumbing Warehouse"/>
    <s v="Carmen"/>
    <s v="Tripodi"/>
    <s v="7055661717"/>
    <s v="ctripodi@plumbingwarehouse.ca"/>
    <s v="1639 Lasalle, Sudbury"/>
    <m/>
    <m/>
    <s v="SUDBURY"/>
    <s v="P3A1Z8"/>
    <s v="Plumbing Warehouse"/>
    <s v="Large  Retail"/>
    <s v="1639 Lasalle"/>
    <m/>
    <m/>
    <s v="SUDBURY"/>
    <s v="P3A1Z8"/>
    <d v="2017-05-12T00:00:00"/>
    <s v="No"/>
    <m/>
    <m/>
    <m/>
    <m/>
    <m/>
    <m/>
    <m/>
    <m/>
    <n v="10.125"/>
    <n v="52038.807999999997"/>
    <x v="1"/>
  </r>
  <r>
    <s v="Greater Sudbury Hydro Inc."/>
    <s v="Retrofit"/>
    <n v="176759"/>
    <s v="Pre-Project Review - Application Pre-Approved by LDC"/>
    <n v="627"/>
    <s v="Yes"/>
    <d v="2017-05-04T13:49:17"/>
    <s v="Q4 2019"/>
    <s v="Q4 2019"/>
    <s v="Q1 2020"/>
    <s v="Fuel Multimedia"/>
    <s v="Deborah"/>
    <s v="Sauve"/>
    <s v="7059291265"/>
    <s v="deb@fuelmultimedia.ca"/>
    <s v="83 Durham, Sudbury"/>
    <m/>
    <m/>
    <s v="SUDBURY"/>
    <s v="P3E3M5"/>
    <s v="Fuel Multimedia"/>
    <s v="Small Office"/>
    <s v="83 Durham"/>
    <m/>
    <m/>
    <s v="SUDBURY"/>
    <s v="P3E3M5"/>
    <d v="2017-05-19T00:00:00"/>
    <s v="No"/>
    <m/>
    <m/>
    <n v="570"/>
    <n v="57"/>
    <d v="2019-04-18T00:00:00"/>
    <d v="2019-04-23T00:00:00"/>
    <d v="2019-04-01T00:00:00"/>
    <m/>
    <m/>
    <m/>
    <x v="2"/>
  </r>
  <r>
    <s v="Greater Sudbury Hydro Inc."/>
    <s v="Retrofit"/>
    <n v="177054"/>
    <s v="Post-Project Submission - Edit(s) Submitted to LDC for Approval"/>
    <n v="1364"/>
    <s v="Yes"/>
    <d v="2017-05-10T12:55:56"/>
    <s v="Q2 2020"/>
    <s v="Q2 2020"/>
    <s v="Q3 2020"/>
    <s v="FGL Sports Ltd."/>
    <s v="Scott"/>
    <s v="Suvanto"/>
    <s v="4037171327"/>
    <s v="scott.suvanto@fglsports.com"/>
    <s v="824 41 Street NE"/>
    <m/>
    <m/>
    <s v="Calgary"/>
    <s v="T2E3R3"/>
    <s v="FGL - SportChek 268"/>
    <s v="Large  Retail"/>
    <s v="Unit 51 - 1933 Regent"/>
    <m/>
    <m/>
    <s v="SUDBURY"/>
    <s v="P3E5R2"/>
    <d v="2017-06-01T00:00:00"/>
    <s v="No"/>
    <m/>
    <m/>
    <m/>
    <m/>
    <m/>
    <m/>
    <m/>
    <m/>
    <n v="3.1"/>
    <n v="11575"/>
    <x v="1"/>
  </r>
  <r>
    <s v="Greater Sudbury Hydro Inc."/>
    <s v="Retrofit"/>
    <n v="177160"/>
    <s v="Post-Project Submission - Edit(s) Submitted to LDC for Approval"/>
    <n v="2070.2000000000003"/>
    <s v="Yes"/>
    <d v="2017-05-12T09:32:16"/>
    <s v="Q2 2019"/>
    <s v="Q2 2019"/>
    <s v="Q3 2019"/>
    <s v="TD BANK GROUP"/>
    <s v="TRACEY"/>
    <s v="TIPPINS"/>
    <s v="6135134616"/>
    <s v="Tracey.Tippins@td.com"/>
    <s v="380 Wellington Street"/>
    <s v="10th Floor"/>
    <m/>
    <s v="London"/>
    <s v="N6A4S4"/>
    <s v="SUDBURY PLAZA"/>
    <s v="Large Office"/>
    <s v="1935 PARIS"/>
    <m/>
    <m/>
    <s v="SUDBURY"/>
    <s v="P3E3C6"/>
    <d v="2017-06-01T00:00:00"/>
    <s v="No"/>
    <m/>
    <m/>
    <m/>
    <m/>
    <m/>
    <m/>
    <m/>
    <m/>
    <n v="4.3600000000000003"/>
    <n v="19950.98"/>
    <x v="1"/>
  </r>
  <r>
    <s v="Greater Sudbury Hydro Inc."/>
    <s v="Retrofit"/>
    <n v="177226"/>
    <s v="Pre-Project Review - Application Pre-Approved by LDC"/>
    <n v="15411.000000000002"/>
    <s v="Yes"/>
    <d v="2017-05-13T20:57:25"/>
    <s v="Q3 2019"/>
    <s v="Q3 2019"/>
    <s v="Q4 2019"/>
    <s v="Loblaws INC"/>
    <s v="Vishal"/>
    <s v="Gupta"/>
    <s v="9054592500"/>
    <s v="vishal.gupta@loblaw.ca"/>
    <s v="1 President's Choice Circle"/>
    <m/>
    <m/>
    <s v="Brampton"/>
    <s v="L6Y 5S5"/>
    <s v="YIG #2671"/>
    <s v="Large  Retail"/>
    <s v="82 Lorne"/>
    <m/>
    <m/>
    <s v="SUDBURY"/>
    <s v="P3C4N8"/>
    <d v="2017-06-05T00:00:00"/>
    <s v="No"/>
    <m/>
    <m/>
    <s v="Cancel"/>
    <m/>
    <m/>
    <m/>
    <m/>
    <m/>
    <m/>
    <m/>
    <x v="2"/>
  </r>
  <r>
    <s v="Greater Sudbury Hydro Inc."/>
    <s v="Retrofit"/>
    <n v="177645"/>
    <s v="Post-Project Submission - Saved as Draft"/>
    <n v="21875.315000000002"/>
    <s v="Yes"/>
    <d v="2017-05-20T17:00:07"/>
    <s v="Q4 2019"/>
    <s v="Q4 2019"/>
    <s v="Q1 2020"/>
    <s v="Luxor Property Management Corp."/>
    <s v="Jay"/>
    <s v="Mancini"/>
    <s v="7056733000"/>
    <s v="jay@luxormanagement.ca"/>
    <s v="128 Pine Street"/>
    <s v="Unit 300"/>
    <m/>
    <s v="SUDBURY"/>
    <s v="P3C1X3"/>
    <s v="Claridge Center"/>
    <s v="Large Office"/>
    <s v="144 Pine "/>
    <m/>
    <m/>
    <s v="SUDBURY"/>
    <s v="P3C1X3"/>
    <d v="2017-05-30T00:00:00"/>
    <s v="No"/>
    <m/>
    <m/>
    <s v="Cancel"/>
    <m/>
    <m/>
    <m/>
    <m/>
    <m/>
    <m/>
    <m/>
    <x v="2"/>
  </r>
  <r>
    <s v="Greater Sudbury Hydro Inc."/>
    <s v="Retrofit"/>
    <n v="178024"/>
    <s v="Pre-Project Review - Application Pre-Approved by LDC"/>
    <n v="3229.6000000000004"/>
    <s v="Yes"/>
    <d v="2017-05-29T21:52:30"/>
    <s v="Q2 2019"/>
    <s v="Q2 2019"/>
    <s v="Q3 2019"/>
    <s v="TD BANK GROUP"/>
    <s v="TRACEY"/>
    <s v="TIPPINS"/>
    <s v="6135134616"/>
    <s v="Tracey.Tippins@td.com"/>
    <s v="380 Wellington Street"/>
    <s v="10th Floor"/>
    <m/>
    <s v="London"/>
    <s v="N6A4S4"/>
    <s v="TDA0662"/>
    <s v="Large Office"/>
    <s v="2208 LASALLE"/>
    <m/>
    <m/>
    <s v="SUDBURY"/>
    <s v="P3A2A8"/>
    <d v="2017-06-29T00:00:00"/>
    <s v="No"/>
    <m/>
    <m/>
    <n v="2280"/>
    <n v="949.60000000000036"/>
    <m/>
    <d v="2019-05-24T00:00:00"/>
    <d v="2019-05-01T00:00:00"/>
    <m/>
    <n v="4.78"/>
    <n v="19996.52"/>
    <x v="0"/>
  </r>
  <r>
    <s v="Greater Sudbury Hydro Inc."/>
    <s v="Retrofit"/>
    <n v="181877"/>
    <s v="Post-Project Submission - Saved as Draft"/>
    <n v="23524.215000000004"/>
    <s v="Yes"/>
    <d v="2017-08-15T11:36:20"/>
    <s v="Q4 2019"/>
    <s v="Q4 2019"/>
    <s v="Q1 2020"/>
    <s v="The Cora Group Inc."/>
    <s v="Kathleen"/>
    <s v="Walsh"/>
    <s v="5195702672"/>
    <s v="kwalsh@coragroup.com"/>
    <s v="43 Allen Street West"/>
    <m/>
    <m/>
    <s v="Waterloo"/>
    <s v="N2L2C9"/>
    <s v="THE CORA GROUP"/>
    <s v="Large Office"/>
    <s v="127 CEDAR "/>
    <m/>
    <m/>
    <s v="SUDBURY"/>
    <s v="P3E3M1"/>
    <d v="2017-08-21T00:00:00"/>
    <s v="No"/>
    <m/>
    <m/>
    <s v="Cancel"/>
    <m/>
    <m/>
    <m/>
    <m/>
    <m/>
    <m/>
    <m/>
    <x v="2"/>
  </r>
  <r>
    <s v="Greater Sudbury Hydro Inc."/>
    <s v="Retrofit"/>
    <n v="182757"/>
    <s v="Pre-Project Review - Application Pre-Approved by LDC"/>
    <n v="8597.6"/>
    <s v="Yes"/>
    <d v="2017-09-06T15:25:57"/>
    <s v="Q1 2020"/>
    <s v="Q1 2020"/>
    <s v="Q1 2020"/>
    <s v="Laurentian University"/>
    <s v="Aziz"/>
    <s v="Ahmed"/>
    <s v="7056751151"/>
    <s v="aahmed3@laurentian.ca"/>
    <s v="935 Ramsey Lake"/>
    <m/>
    <m/>
    <s v="SUDBURY"/>
    <s v="P3E2C6"/>
    <s v="Laurentian University"/>
    <s v="University/College"/>
    <s v="935 Ramsey Lake"/>
    <m/>
    <m/>
    <s v="SUDBURY"/>
    <s v="P3E2C6"/>
    <d v="2017-09-29T00:00:00"/>
    <s v="No"/>
    <m/>
    <m/>
    <m/>
    <m/>
    <m/>
    <m/>
    <m/>
    <m/>
    <n v="20.116"/>
    <n v="78550.176000000007"/>
    <x v="0"/>
  </r>
  <r>
    <s v="Greater Sudbury Hydro Inc."/>
    <s v="Retrofit"/>
    <n v="185033"/>
    <s v="Pre-Project Review - Application Pre-Approved by LDC"/>
    <n v="3388.0000000000005"/>
    <s v="Yes"/>
    <d v="2017-10-25T12:06:12"/>
    <s v="Q2 2019"/>
    <s v="Q2 2019"/>
    <s v="Q3 2019"/>
    <s v="Copper Cliff Curling Club"/>
    <s v="Gary"/>
    <s v="McDonald"/>
    <s v="7055619273"/>
    <s v="anngarymcdonald@gmail.com"/>
    <s v="39 Veterans, Copper CLiff"/>
    <m/>
    <m/>
    <s v="Copper Cliff"/>
    <s v="P0M1N0"/>
    <s v="Copper Cliff Curling Club"/>
    <s v="Entertainment/Sport"/>
    <s v="39 Veterans "/>
    <m/>
    <m/>
    <s v="Copper CLiff"/>
    <s v="P0M1N0"/>
    <d v="2017-11-10T00:00:00"/>
    <s v="No"/>
    <m/>
    <m/>
    <m/>
    <m/>
    <m/>
    <m/>
    <m/>
    <m/>
    <n v="7.7"/>
    <n v="44824"/>
    <x v="0"/>
  </r>
  <r>
    <s v="Greater Sudbury Hydro Inc."/>
    <s v="Retrofit"/>
    <n v="185799"/>
    <s v="Pre-Project Review - Application Pre-Approved by LDC"/>
    <n v="2898.5000000000005"/>
    <s v="Yes"/>
    <d v="2017-11-07T10:34:30"/>
    <s v="Q1 2020"/>
    <s v="Q1 2020"/>
    <s v="Q1 2020"/>
    <s v="Copper Cliff Curling Club"/>
    <s v="Gary"/>
    <s v="McDonald"/>
    <s v="7055619273"/>
    <s v="anngarymcdonald@gmail.com"/>
    <s v="39 Veterans, Copper CLiff"/>
    <m/>
    <m/>
    <s v="Copper Cliff"/>
    <s v="P0M1N0"/>
    <s v="Copper Cliff Curling Club"/>
    <s v="Entertainment/Sport"/>
    <s v="39 Veterans  "/>
    <s v="P.O. Box 867"/>
    <m/>
    <s v="Copper CLiff"/>
    <s v="P0M1N0"/>
    <d v="2017-11-24T00:00:00"/>
    <s v="No"/>
    <m/>
    <m/>
    <m/>
    <m/>
    <m/>
    <m/>
    <m/>
    <m/>
    <n v="2.9220000000000002"/>
    <n v="16275.794"/>
    <x v="0"/>
  </r>
  <r>
    <s v="Greater Sudbury Hydro Inc."/>
    <s v="Retrofit"/>
    <n v="186044"/>
    <s v="Pre-Project Review - Application Pre-Approved by LDC"/>
    <n v="1804.0000000000002"/>
    <s v="Yes"/>
    <d v="2017-11-10T13:00:47"/>
    <s v="Q3 2019"/>
    <s v="Q3 2019"/>
    <s v="Q4 2019"/>
    <s v="The Rainbow District School Board"/>
    <s v="Richard"/>
    <s v="Miller"/>
    <s v="7056743171"/>
    <s v="millerr@rainbowschools.ca"/>
    <s v="408 Wembley Drive"/>
    <m/>
    <m/>
    <s v="SUDBURY"/>
    <s v="P3E1P2"/>
    <s v="Sudbury Secondary School"/>
    <s v="School (K-12)"/>
    <s v="154 College"/>
    <m/>
    <m/>
    <s v="SUDBURY"/>
    <s v="P3C4Y2"/>
    <d v="2017-12-01T00:00:00"/>
    <s v="No"/>
    <m/>
    <m/>
    <m/>
    <m/>
    <m/>
    <m/>
    <m/>
    <m/>
    <n v="4.0999999999999996"/>
    <n v="14548"/>
    <x v="0"/>
  </r>
  <r>
    <s v="Greater Sudbury Hydro Inc."/>
    <s v="Retrofit"/>
    <n v="186151"/>
    <s v="Pre-Project Review - Application Pre-Approved by LDC"/>
    <n v="36190"/>
    <s v="Yes"/>
    <d v="2017-11-14T09:04:06"/>
    <s v="Q1 2020"/>
    <s v="Q1 2020"/>
    <s v="Q1 2020"/>
    <s v="The Rainbow District School Board"/>
    <s v="Richard"/>
    <s v="Miller"/>
    <s v="7056743171"/>
    <s v="millerr@rainbowschools.ca"/>
    <s v="408 Wembley Drive"/>
    <m/>
    <m/>
    <s v="SUDBURY"/>
    <s v="P3E1P2"/>
    <s v="Lockerby Composite School"/>
    <s v="School (K-12)"/>
    <s v="1391 Ramsey View"/>
    <m/>
    <m/>
    <s v="SUDBURY"/>
    <s v="P3E5T4"/>
    <d v="2017-11-24T00:00:00"/>
    <s v="No"/>
    <m/>
    <m/>
    <m/>
    <m/>
    <m/>
    <m/>
    <m/>
    <m/>
    <n v="47"/>
    <n v="215918"/>
    <x v="0"/>
  </r>
  <r>
    <s v="Greater Sudbury Hydro Inc."/>
    <s v="Retrofit"/>
    <n v="186204"/>
    <s v="Pre-Project Review - Application Pre-Approved by LDC"/>
    <n v="2477.2000000000003"/>
    <s v="Yes"/>
    <d v="2017-11-14T15:45:46"/>
    <s v="Q3 2019"/>
    <s v="Q3 2019"/>
    <s v="Q4 2019"/>
    <s v="Cast Construction Inc."/>
    <s v="Gerry"/>
    <s v="Castilloux"/>
    <s v="7059199889"/>
    <s v="castconstruction@bellnet.ca"/>
    <s v="916 Lapointe, Sudbury"/>
    <m/>
    <m/>
    <s v="SUDBURY"/>
    <s v="P3A5N8"/>
    <s v="Cast Construction"/>
    <s v="Commercial Other- Please Specify"/>
    <s v="916 Lapointe "/>
    <m/>
    <m/>
    <s v="SUDBURY"/>
    <s v="P3A5N8"/>
    <d v="2017-12-01T00:00:00"/>
    <s v="No"/>
    <m/>
    <m/>
    <m/>
    <m/>
    <m/>
    <m/>
    <m/>
    <m/>
    <n v="1.734"/>
    <n v="10824.758"/>
    <x v="1"/>
  </r>
  <r>
    <s v="Greater Sudbury Hydro Inc."/>
    <s v="Retrofit"/>
    <n v="186235"/>
    <s v="Pre-Project Review - Application Pre-Approved by LDC"/>
    <n v="444.15800000000002"/>
    <s v="Yes"/>
    <d v="2017-11-15T10:09:51"/>
    <s v="Q1 2020"/>
    <s v="Q1 2020"/>
    <s v="Q1 2020"/>
    <s v="Health Sciences North"/>
    <s v="Jeff"/>
    <s v="Dunn"/>
    <s v="7055237100"/>
    <s v="jdunn@hsnsudbury.ca"/>
    <s v="41 Ramsey Lake Road"/>
    <m/>
    <m/>
    <s v="SUDBURY"/>
    <s v="P3E5J1"/>
    <s v="Health Sciences North"/>
    <s v="Hospital"/>
    <s v="41 Ramsey Lake"/>
    <m/>
    <m/>
    <s v="SUDBURY"/>
    <s v="P3E5J1"/>
    <d v="2017-12-01T00:00:00"/>
    <s v="No"/>
    <m/>
    <m/>
    <m/>
    <m/>
    <m/>
    <m/>
    <m/>
    <m/>
    <n v="0"/>
    <n v="4037.8519999999999"/>
    <x v="0"/>
  </r>
  <r>
    <s v="Greater Sudbury Hydro Inc."/>
    <s v="Retrofit"/>
    <n v="186524"/>
    <s v="Pre-Project Review - Application Pre-Approved by LDC"/>
    <n v="1763.3000000000002"/>
    <s v="Yes"/>
    <d v="2017-11-21T15:33:48"/>
    <s v="Q4 2019"/>
    <s v="Q4 2019"/>
    <s v="Q1 2020"/>
    <s v="Ambassador Motor Hotel"/>
    <s v="Richard"/>
    <s v="Clement"/>
    <s v="7055663601"/>
    <s v="michael@ambassadorhotel.ca"/>
    <s v="225 Falconbridge Road"/>
    <m/>
    <m/>
    <s v="SUDBURY"/>
    <s v="P3A5K4"/>
    <s v="Ambassador Hotel"/>
    <s v="Hotel"/>
    <s v="225 Falconbridge"/>
    <m/>
    <m/>
    <s v="SUDBURY"/>
    <s v="P3A5K4"/>
    <d v="2017-12-08T00:00:00"/>
    <s v="No"/>
    <m/>
    <m/>
    <m/>
    <m/>
    <m/>
    <m/>
    <m/>
    <m/>
    <n v="0.4"/>
    <n v="19705"/>
    <x v="0"/>
  </r>
  <r>
    <s v="Greater Sudbury Hydro Inc."/>
    <s v="Retrofit"/>
    <n v="186967"/>
    <s v="Pre-Project Review - Application Pre-Approved by LDC"/>
    <n v="4772.4050000000007"/>
    <s v="Yes"/>
    <d v="2017-11-29T14:16:08"/>
    <s v="Q2 2019"/>
    <s v="Q2 2019"/>
    <s v="Q3 2019"/>
    <s v="Cambrian insurance"/>
    <s v="Jim"/>
    <s v="Smith"/>
    <s v="7056911117"/>
    <s v="jsmith@cambrianinsurance.com"/>
    <s v="130 Paris Street"/>
    <m/>
    <m/>
    <s v="SUDBURY"/>
    <s v="P3E3E1"/>
    <s v="Cambrian Insurance"/>
    <s v="Small Office"/>
    <s v="130 Paris "/>
    <m/>
    <m/>
    <s v="SUDBURY"/>
    <s v="P3E3E1"/>
    <d v="2017-12-07T00:00:00"/>
    <s v="No"/>
    <m/>
    <m/>
    <m/>
    <m/>
    <m/>
    <m/>
    <m/>
    <m/>
    <n v="6.008"/>
    <n v="33804.286999999997"/>
    <x v="1"/>
  </r>
  <r>
    <s v="Greater Sudbury Hydro Inc."/>
    <s v="Retrofit"/>
    <n v="186982"/>
    <s v="Pre-Project Review - Application Pre-Approved by LDC"/>
    <n v="2458.5"/>
    <s v="Yes"/>
    <d v="2017-11-29T16:31:16"/>
    <s v="Q3 2019"/>
    <s v="Q3 2019"/>
    <s v="Q4 2019"/>
    <s v="Towneplace Suites"/>
    <s v="Kevin"/>
    <s v="Moffat"/>
    <s v="7055257700"/>
    <s v="kmoffat@towneplacesudbury.com"/>
    <s v="1710 The Kingsway"/>
    <m/>
    <m/>
    <s v="SUDBURY"/>
    <s v="P3B0E4"/>
    <s v="Towneplace Suites Sudbury"/>
    <s v="Hotel"/>
    <s v="1710 The Kingsway"/>
    <m/>
    <m/>
    <s v="SUDBURY"/>
    <s v="P3B0E4"/>
    <d v="2017-12-11T00:00:00"/>
    <s v="No"/>
    <m/>
    <m/>
    <m/>
    <m/>
    <m/>
    <m/>
    <m/>
    <m/>
    <n v="1.698"/>
    <n v="24174.966"/>
    <x v="0"/>
  </r>
  <r>
    <s v="Greater Sudbury Hydro Inc."/>
    <s v="Retrofit"/>
    <n v="187156"/>
    <s v="Pre-Project Review - Application Pre-Approved by LDC"/>
    <n v="708.40000000000009"/>
    <s v="Yes"/>
    <d v="2017-12-04T11:40:56"/>
    <s v="Q1 2020"/>
    <s v="Q1 2020"/>
    <s v="Q1 2020"/>
    <s v="Nesci's Catering Limited"/>
    <s v="Ryan"/>
    <s v="Nesci"/>
    <s v="7055621774"/>
    <s v="ryan@thenescigroup.com"/>
    <s v="1323 Martindale Road"/>
    <m/>
    <m/>
    <s v="SUDBURY"/>
    <s v="P3E4J7"/>
    <s v="DA Fine Meats"/>
    <s v="Commercial Other- Please Specify"/>
    <s v="1885 Paris"/>
    <m/>
    <m/>
    <s v="SUDBURY"/>
    <s v="P3E3C5"/>
    <d v="2017-12-15T00:00:00"/>
    <s v="No"/>
    <m/>
    <m/>
    <s v="Cancel"/>
    <m/>
    <m/>
    <m/>
    <m/>
    <m/>
    <m/>
    <m/>
    <x v="2"/>
  </r>
  <r>
    <s v="Greater Sudbury Hydro Inc."/>
    <s v="Retrofit"/>
    <n v="187655"/>
    <s v="Pre-Project Review - Application Pre-Approved by LDC"/>
    <n v="1837.0000000000002"/>
    <s v="Yes"/>
    <d v="2017-12-12T14:52:58"/>
    <s v="Q4 2019"/>
    <s v="Q4 2019"/>
    <s v="Q1 2020"/>
    <s v="Acuren Group Inc"/>
    <s v="Denis"/>
    <s v="Boudreau"/>
    <s v="7055221849"/>
    <s v="dboudreau@acuren.com"/>
    <s v="1351C Kelly Lake Road"/>
    <m/>
    <m/>
    <s v="SUDBURY"/>
    <s v="P3E5P5"/>
    <s v="Acuren"/>
    <s v="Commercial Other- Please Specify"/>
    <s v="1351C Kelly Lake "/>
    <m/>
    <m/>
    <s v="SUDBURY"/>
    <s v="P3E5P5"/>
    <d v="2017-12-29T00:00:00"/>
    <s v="No"/>
    <m/>
    <m/>
    <s v="Cancel"/>
    <m/>
    <m/>
    <m/>
    <m/>
    <m/>
    <m/>
    <m/>
    <x v="2"/>
  </r>
  <r>
    <s v="Greater Sudbury Hydro Inc."/>
    <s v="Retrofit"/>
    <n v="187907"/>
    <s v="Pre-Project Review - Application Pre-Approved by LDC"/>
    <n v="1078"/>
    <s v="Yes"/>
    <d v="2017-12-17T11:12:43"/>
    <s v="Q1 2020"/>
    <s v="Q1 2020"/>
    <s v="Q1 2020"/>
    <s v="Luxor Property Management Corp."/>
    <s v="Jay"/>
    <s v="Mancini"/>
    <s v="7056733000"/>
    <s v="jay@luxormanagement.ca"/>
    <s v="128 Pine Street"/>
    <s v="Unit 300"/>
    <m/>
    <s v="SUDBURY"/>
    <s v="P3C1X3"/>
    <s v="Lasalle Mall #2"/>
    <s v="Small Retail"/>
    <s v="1486 Lasalle"/>
    <m/>
    <m/>
    <s v="SUDBURY"/>
    <s v="P3A1Z7"/>
    <d v="2017-12-28T00:00:00"/>
    <s v="No"/>
    <m/>
    <m/>
    <m/>
    <m/>
    <m/>
    <m/>
    <m/>
    <m/>
    <n v="0"/>
    <n v="10911.6"/>
    <x v="0"/>
  </r>
  <r>
    <s v="Greater Sudbury Hydro Inc."/>
    <s v="Retrofit"/>
    <n v="188233"/>
    <s v="Pre-Project Review - Application Pre-Approved by LDC"/>
    <n v="1383.25"/>
    <s v="Yes"/>
    <d v="2017-12-28T08:42:49"/>
    <s v="Q1 2020"/>
    <s v="Q1 2020"/>
    <s v="Q2 2020"/>
    <s v="Able Rental"/>
    <s v="Terry"/>
    <s v="Morin"/>
    <s v="7055252253"/>
    <s v="TMORIN@ABLERENTAL.CA"/>
    <s v="885 Lapointe"/>
    <m/>
    <m/>
    <s v="SUDBURY"/>
    <s v="P3A5N8"/>
    <s v="Able Rental Interior"/>
    <s v="Small Retail"/>
    <s v="885 Lapointe"/>
    <m/>
    <m/>
    <s v="SUDBURY"/>
    <s v="P3A5N8"/>
    <d v="2018-01-05T00:00:00"/>
    <s v="No"/>
    <m/>
    <m/>
    <m/>
    <m/>
    <m/>
    <m/>
    <m/>
    <m/>
    <n v="1.7250000000000001"/>
    <n v="8506.6"/>
    <x v="1"/>
  </r>
  <r>
    <s v="Greater Sudbury Hydro Inc."/>
    <s v="Retrofit"/>
    <n v="188286"/>
    <s v="Pre-Project Review - Application Pre-Approved by LDC"/>
    <n v="5500"/>
    <s v="Yes"/>
    <d v="2018-01-02T08:40:42"/>
    <s v="Q1 2020"/>
    <s v="Q1 2020"/>
    <s v="Q1 2020"/>
    <s v="The Rainbow District School Board"/>
    <s v="Richard"/>
    <s v="Miller"/>
    <s v="7056743171"/>
    <s v="millerr@rainbowschools.ca"/>
    <s v="408 Wembley Drive"/>
    <m/>
    <m/>
    <s v="SUDBURY"/>
    <s v="P3E1P2"/>
    <s v="Adamsdale Public School"/>
    <s v="School (K-12)"/>
    <s v="181 First"/>
    <m/>
    <m/>
    <s v="SUDBURY"/>
    <s v="P3B3L3"/>
    <d v="2017-12-29T00:00:00"/>
    <s v="No"/>
    <m/>
    <m/>
    <m/>
    <m/>
    <m/>
    <m/>
    <m/>
    <m/>
    <n v="0"/>
    <n v="58308.6"/>
    <x v="1"/>
  </r>
  <r>
    <s v="Greater Sudbury Hydro Inc."/>
    <s v="Retrofit"/>
    <n v="189093"/>
    <s v="Pre-Project Review - Application Pre-Approved by LDC"/>
    <n v="6166.6"/>
    <s v="Yes"/>
    <d v="2018-01-22T11:52:14"/>
    <s v="Q1 2020"/>
    <s v="Q1 2020"/>
    <s v="Q1 2020"/>
    <s v="Sleep Shop Sudbury Inc"/>
    <s v="Gaston"/>
    <s v="Montpellier"/>
    <s v="7055668918"/>
    <s v="bedroom@eastlink.ca"/>
    <s v="920 NEWAGTE AVENUE"/>
    <m/>
    <m/>
    <s v="SUDBURY"/>
    <s v="P3A5J9"/>
    <s v="The Sleep Shop"/>
    <s v="Small Retail"/>
    <s v="920 NEWAGTE "/>
    <m/>
    <m/>
    <s v="SUDBURY"/>
    <s v="P3A5J9"/>
    <d v="2018-02-05T00:00:00"/>
    <s v="No"/>
    <m/>
    <m/>
    <m/>
    <m/>
    <m/>
    <m/>
    <m/>
    <m/>
    <n v="3.2650000000000001"/>
    <n v="19313.761999999999"/>
    <x v="1"/>
  </r>
  <r>
    <s v="Greater Sudbury Hydro Inc."/>
    <s v="Retrofit"/>
    <n v="189184"/>
    <s v="Pre-Project Review - Application Pre-Approved by LDC"/>
    <n v="935.00000000000011"/>
    <s v="Yes"/>
    <d v="2018-01-24T09:28:36"/>
    <s v="Q1 2020"/>
    <s v="Q1 2020"/>
    <s v="Q2 2020"/>
    <s v="Witrak Auto Specialties"/>
    <s v="Eryn"/>
    <s v="Witrak"/>
    <s v="7055669870"/>
    <s v="eryn@witrak.com"/>
    <s v="1465 Bancroft Drive"/>
    <m/>
    <m/>
    <s v="SUDBURY"/>
    <s v="P3B1R6"/>
    <s v="Witrak Auto Rental Shop"/>
    <s v="Commercial Other- Please Specify"/>
    <s v="282 Lasalle"/>
    <m/>
    <m/>
    <s v="SUDBURY"/>
    <s v="P3A1W6"/>
    <d v="2018-02-02T00:00:00"/>
    <s v="No"/>
    <m/>
    <m/>
    <m/>
    <m/>
    <m/>
    <m/>
    <m/>
    <m/>
    <n v="0.53"/>
    <n v="2436.6579999999999"/>
    <x v="1"/>
  </r>
  <r>
    <s v="Greater Sudbury Hydro Inc."/>
    <s v="Retrofit"/>
    <n v="189584"/>
    <s v="Pre-Project Review - Application Pre-Approved by LDC"/>
    <n v="4286.7000000000007"/>
    <s v="Yes"/>
    <d v="2018-02-02T14:20:18"/>
    <s v="Q3 2019"/>
    <s v="Q3 2019"/>
    <s v="Q4 2019"/>
    <s v="Rogers Communications"/>
    <s v="Azin"/>
    <s v="Validipak"/>
    <s v="6476283674"/>
    <s v="Azin.Validipak@rci.rogers.com"/>
    <s v="8200 Dixie Road"/>
    <m/>
    <m/>
    <s v="Brampton"/>
    <s v="L6T0C1"/>
    <s v="Rogers Shelter Switch Site Sudbury"/>
    <s v="Commercial Other- Please Specify"/>
    <s v="2751 Lasalle Blvd"/>
    <m/>
    <m/>
    <s v="SUDBURY"/>
    <s v="P0M1M0"/>
    <d v="2018-02-15T00:00:00"/>
    <s v="No"/>
    <m/>
    <m/>
    <m/>
    <m/>
    <m/>
    <m/>
    <m/>
    <m/>
    <n v="4.4400000000000004"/>
    <n v="38970"/>
    <x v="1"/>
  </r>
  <r>
    <s v="Greater Sudbury Hydro Inc."/>
    <s v="Retrofit"/>
    <n v="189790"/>
    <s v="Pre-Project Review - Application Pre-Approved by LDC"/>
    <n v="924.00000000000011"/>
    <s v="Yes"/>
    <d v="2018-02-07T13:56:22"/>
    <s v="Q2 2019"/>
    <s v="Q2 2019"/>
    <s v="Q3 2019"/>
    <s v="1168001 Ontario Limited OA Skater's Edge"/>
    <s v="Ann"/>
    <s v="Madore"/>
    <s v="7052225867"/>
    <s v="office@jumpsudbury.ca"/>
    <s v="1338 Kingsway"/>
    <m/>
    <m/>
    <s v="SUDBURY"/>
    <s v="P3E2B8"/>
    <s v="Skater's Edge"/>
    <s v="Large  Retail"/>
    <s v="1338 Kingsway"/>
    <m/>
    <m/>
    <s v="SUDBURY"/>
    <s v="P3E2B8"/>
    <d v="2018-02-09T00:00:00"/>
    <s v="No"/>
    <m/>
    <m/>
    <m/>
    <m/>
    <m/>
    <m/>
    <m/>
    <m/>
    <n v="2.1"/>
    <n v="8805"/>
    <x v="1"/>
  </r>
  <r>
    <s v="Greater Sudbury Hydro Inc."/>
    <s v="Retrofit"/>
    <n v="190010"/>
    <s v="Post-Project Submission - Saved as Draft"/>
    <n v="21286.100000000002"/>
    <s v="Yes"/>
    <d v="2018-02-12T16:50:29"/>
    <s v="Q2 2020"/>
    <s v="Q2 2020"/>
    <s v="Q3 2020"/>
    <s v="Luxor Management Inc."/>
    <s v="Joe"/>
    <s v="Zito"/>
    <s v="7056733000"/>
    <s v="joez@luxormanagement.ca"/>
    <s v="128 Pine Street"/>
    <s v="Unit 300"/>
    <m/>
    <s v="SUDBURY"/>
    <s v="P3C1X9"/>
    <s v="144 Pine Street"/>
    <s v="Small Office"/>
    <s v="144 Pine"/>
    <m/>
    <m/>
    <s v="SUDBURY"/>
    <s v="P3C1X3"/>
    <d v="2018-02-19T00:00:00"/>
    <s v="No"/>
    <m/>
    <m/>
    <m/>
    <m/>
    <m/>
    <m/>
    <m/>
    <m/>
    <n v="29.997"/>
    <n v="138863.53700000001"/>
    <x v="0"/>
  </r>
  <r>
    <s v="Greater Sudbury Hydro Inc."/>
    <s v="Retrofit"/>
    <n v="190165"/>
    <s v="Post-Project Submission - Saved as Draft"/>
    <n v="2926.0000000000005"/>
    <s v="Yes"/>
    <d v="2018-02-15T12:27:43"/>
    <s v="Q3 2020"/>
    <s v="Q3 2020"/>
    <s v="Q3 2020"/>
    <s v="1277860 Ontario Inc End of the Roll"/>
    <s v="Peter"/>
    <s v="Michelutti"/>
    <s v="7055609471"/>
    <s v="sudbury@endoftheroll.com"/>
    <s v="918 Barrydowne Road"/>
    <m/>
    <m/>
    <s v="SUDBURY"/>
    <s v="P3A3V2"/>
    <s v="End of the Roll Back Store"/>
    <s v="Large  Retail"/>
    <s v="918 Barrydowne"/>
    <m/>
    <m/>
    <s v="SUDBURY"/>
    <s v="P3A3V2"/>
    <d v="2018-02-09T00:00:00"/>
    <s v="No"/>
    <m/>
    <m/>
    <m/>
    <m/>
    <m/>
    <m/>
    <m/>
    <m/>
    <n v="3.8"/>
    <n v="17457.2"/>
    <x v="1"/>
  </r>
  <r>
    <s v="Greater Sudbury Hydro Inc."/>
    <s v="Retrofit"/>
    <n v="190753"/>
    <s v="Post-Project Submission - Submitted to LDC for Approval"/>
    <n v="10012.607000000002"/>
    <s v="Yes"/>
    <d v="2018-03-01T14:44:01"/>
    <s v="Q4 2020"/>
    <s v="Q4 2020"/>
    <s v="Q1 2021"/>
    <s v="Health Science North"/>
    <s v="Paul"/>
    <s v="Potvin"/>
    <s v="7055237100"/>
    <s v="ppotvin@hsnsudbury.ca"/>
    <s v="865 Regent"/>
    <m/>
    <m/>
    <s v="SUDBURY"/>
    <s v="P3E5J1"/>
    <s v="Health Science North SOC"/>
    <s v="Hospital"/>
    <s v="865 Regent"/>
    <m/>
    <m/>
    <s v="SUDBURY"/>
    <s v="P3E3Y9"/>
    <d v="2018-03-23T00:00:00"/>
    <s v="No"/>
    <m/>
    <m/>
    <n v="9102.3700000000008"/>
    <n v="910.23700000000099"/>
    <m/>
    <d v="2019-04-23T00:00:00"/>
    <d v="2019-04-01T00:00:00"/>
    <m/>
    <n v="0"/>
    <n v="71023.7"/>
    <x v="0"/>
  </r>
  <r>
    <s v="Greater Sudbury Hydro Inc."/>
    <s v="Retrofit"/>
    <n v="191027"/>
    <s v="Pre-Project Review - Application Pre-Approved by LDC"/>
    <n v="7045.6100000000006"/>
    <s v="Yes"/>
    <d v="2018-03-07T13:15:50"/>
    <s v="Q1 2020"/>
    <s v="Q1 2020"/>
    <s v="Q1 2020"/>
    <s v="Health Sciences North"/>
    <s v="Jeff"/>
    <s v="Dunn"/>
    <s v="7055237100"/>
    <s v="jdunn@hsnsudbury.ca"/>
    <s v="41 Ramsey Lake Road"/>
    <m/>
    <m/>
    <s v="SUDBURY"/>
    <s v="P3E5J1"/>
    <s v="Health Sciences North Kirkwood Site"/>
    <s v="Hospital"/>
    <s v="680 Kirkwood"/>
    <m/>
    <m/>
    <s v="SUDBURY"/>
    <s v="P3E1X3"/>
    <d v="2018-02-02T00:00:00"/>
    <s v="No"/>
    <m/>
    <m/>
    <m/>
    <m/>
    <m/>
    <m/>
    <m/>
    <m/>
    <n v="0"/>
    <n v="64051.05"/>
    <x v="0"/>
  </r>
  <r>
    <s v="Greater Sudbury Hydro Inc."/>
    <s v="Retrofit"/>
    <n v="191271"/>
    <s v="Pre-Project Review - Application Pre-Approved by LDC"/>
    <n v="1540.0000000000002"/>
    <s v="Yes"/>
    <d v="2018-03-13T09:28:13"/>
    <s v="Q3 2019"/>
    <s v="Q3 2019"/>
    <s v="Q4 2019"/>
    <s v="Brady Storage Solutions"/>
    <s v="Melanie"/>
    <s v="Pelletier"/>
    <s v="7052222220"/>
    <s v="melanie@bradystorage.ca"/>
    <s v="20 Brady Street"/>
    <m/>
    <m/>
    <s v="SUDBURY"/>
    <s v="P3E6E1"/>
    <s v="Brady Storage"/>
    <s v="Commercial Other- Please Specify"/>
    <s v="20 Brady"/>
    <m/>
    <m/>
    <s v="SUDBURY"/>
    <s v="P3E6E1"/>
    <d v="2018-03-30T00:00:00"/>
    <s v="No"/>
    <m/>
    <m/>
    <n v="1400"/>
    <n v="140.00000000000023"/>
    <m/>
    <m/>
    <d v="2019-05-01T00:00:00"/>
    <m/>
    <n v="0"/>
    <n v="16346.4"/>
    <x v="1"/>
  </r>
  <r>
    <s v="Greater Sudbury Hydro Inc."/>
    <s v="Retrofit"/>
    <n v="191750"/>
    <s v="Pre-Project Review - Application Pre-Approved by LDC"/>
    <n v="1188"/>
    <s v="Yes"/>
    <d v="2018-03-22T09:05:52"/>
    <s v="Q2 2020"/>
    <s v="Q2 2020"/>
    <s v="Q3 2020"/>
    <s v="Cecchetto and Sons Limited"/>
    <s v="Dennis"/>
    <s v="Cecchetto"/>
    <s v="7056265614"/>
    <s v="dennis@cecchettoandsons.com"/>
    <s v="6 Sutherland"/>
    <m/>
    <m/>
    <s v="SUDBURY"/>
    <s v="P3C3A6"/>
    <s v="Cecchetto and Sons"/>
    <s v="Commercial Other- Please Specify"/>
    <s v="6 Sutherland"/>
    <m/>
    <m/>
    <s v="SUDBURY"/>
    <s v="P3C3A6"/>
    <d v="2018-03-26T00:00:00"/>
    <s v="No"/>
    <m/>
    <m/>
    <m/>
    <m/>
    <m/>
    <m/>
    <m/>
    <m/>
    <n v="2.7"/>
    <n v="10149"/>
    <x v="1"/>
  </r>
  <r>
    <s v="Greater Sudbury Hydro Inc."/>
    <s v="Retrofit"/>
    <n v="191870"/>
    <s v="Pre-Project Review - Application Pre-Approved by LDC"/>
    <n v="1188"/>
    <s v="Yes"/>
    <d v="2018-03-26T10:19:39"/>
    <s v="Q2 2020"/>
    <s v="Q2 2020"/>
    <s v="Q3 2020"/>
    <s v="Westlund"/>
    <s v="Jason"/>
    <s v="Onucki"/>
    <s v="7056753626"/>
    <s v="jonucki@westlundpvf.com"/>
    <s v="1367 Kelly Lake"/>
    <m/>
    <m/>
    <s v="SUDBURY"/>
    <s v="P3E5P5"/>
    <s v="Westlund"/>
    <s v="Warehouse/Wholesale"/>
    <s v="1367 Kelly Lake"/>
    <m/>
    <m/>
    <s v="SUDBURY"/>
    <s v="P3E5P5"/>
    <d v="2018-04-02T00:00:00"/>
    <s v="No"/>
    <m/>
    <m/>
    <m/>
    <m/>
    <m/>
    <m/>
    <m/>
    <m/>
    <n v="2.7"/>
    <n v="10480"/>
    <x v="1"/>
  </r>
  <r>
    <s v="Greater Sudbury Hydro Inc."/>
    <s v="Retrofit"/>
    <n v="191987"/>
    <s v="Pre-Project Review - Application Pre-Approved by LDC"/>
    <n v="2548.7550000000006"/>
    <s v="Yes"/>
    <d v="2018-03-28T09:50:10"/>
    <s v="Q3 2019"/>
    <s v="Q3 2019"/>
    <s v="Q4 2019"/>
    <s v="Near North District School Board"/>
    <s v="Stephen"/>
    <s v="Sutton"/>
    <s v="7058408210"/>
    <s v="stephen.sutton@nearnorthschools.ca"/>
    <s v="963 Airport Road NE"/>
    <m/>
    <m/>
    <s v="North Bay"/>
    <s v="P1B8H1"/>
    <s v="Northern Secondary School"/>
    <s v="School (K-12)"/>
    <s v="175 Ethel"/>
    <m/>
    <m/>
    <s v="Sturgeon Falls"/>
    <s v="P2B2Z8"/>
    <d v="2018-04-06T00:00:00"/>
    <s v="No"/>
    <m/>
    <m/>
    <m/>
    <m/>
    <m/>
    <m/>
    <m/>
    <m/>
    <n v="1.5"/>
    <n v="38131.248"/>
    <x v="0"/>
  </r>
  <r>
    <s v="Greater Sudbury Hydro Inc."/>
    <s v="Retrofit"/>
    <n v="193300"/>
    <s v="Pre-Project Review - Application Pre-Approved by LDC"/>
    <n v="4025.4940000000001"/>
    <s v="Yes"/>
    <d v="2018-04-27T16:13:21"/>
    <s v="Q2 2019"/>
    <s v="Q2 2019"/>
    <s v="Q3 2019"/>
    <s v="March of Dimes Canada Non Profit Housing Corp"/>
    <s v="Sattie"/>
    <s v="Sawh"/>
    <s v="9058457412"/>
    <s v="ssawh@marchofdimes.ca"/>
    <s v="10 Overlea Boulevard"/>
    <m/>
    <m/>
    <s v="Toronto"/>
    <s v="M4H1A4"/>
    <s v="March of Dimes"/>
    <s v="Social Housing Provider"/>
    <s v="2915 Bancroft"/>
    <m/>
    <m/>
    <s v="SUDBURY"/>
    <s v="P3B1T8"/>
    <d v="2018-05-04T00:00:00"/>
    <s v="No"/>
    <m/>
    <m/>
    <m/>
    <m/>
    <m/>
    <m/>
    <m/>
    <m/>
    <n v="7.86"/>
    <n v="48670.93"/>
    <x v="1"/>
  </r>
  <r>
    <s v="Greater Sudbury Hydro Inc."/>
    <s v="Retrofit"/>
    <n v="193383"/>
    <s v="Pre-Project Review - Application Pre-Approved by LDC"/>
    <n v="3476.0000000000005"/>
    <s v="Yes"/>
    <d v="2018-04-30T16:19:00"/>
    <s v="Q3 2019"/>
    <s v="Q3 2019"/>
    <s v="Q4 2019"/>
    <s v="Rastall Mine Supply"/>
    <s v="Tom"/>
    <s v="Primeau"/>
    <s v="7056752431"/>
    <s v="tprimeau@rastallcorp.com"/>
    <s v="268 Hemlock"/>
    <m/>
    <m/>
    <s v="SUDBURY"/>
    <s v="P3C1H9"/>
    <s v="Rastall Nut and Bolt"/>
    <s v="Warehouse/Wholesale"/>
    <s v="268 Hemlock"/>
    <m/>
    <m/>
    <s v="SUDBURY"/>
    <s v="P3C1H9"/>
    <d v="2018-05-04T00:00:00"/>
    <s v="No"/>
    <m/>
    <m/>
    <m/>
    <m/>
    <m/>
    <m/>
    <m/>
    <m/>
    <n v="7.9"/>
    <n v="26096"/>
    <x v="1"/>
  </r>
  <r>
    <s v="Greater Sudbury Hydro Inc."/>
    <s v="Retrofit"/>
    <n v="193428"/>
    <s v="Pre-Project Review - Application Pre-Approved by LDC"/>
    <n v="3542.0000000000005"/>
    <s v="Yes"/>
    <d v="2018-05-01T12:11:42"/>
    <s v="Q2 2019"/>
    <s v="Q2 2019"/>
    <s v="Q3 2019"/>
    <s v="SPI Health and Safety"/>
    <s v="Marc"/>
    <s v="Gratton"/>
    <s v="7056746055"/>
    <s v="marc.gratton@spi-s.com"/>
    <s v="150 Lorne Street"/>
    <m/>
    <m/>
    <s v="SUDBURY"/>
    <s v="P3C4S9"/>
    <s v="SPI Health and Safety"/>
    <s v="Warehouse/Wholesale"/>
    <s v="1150 Lorne"/>
    <m/>
    <m/>
    <s v="SUDBURY"/>
    <s v="P3C4S9"/>
    <d v="2018-06-01T00:00:00"/>
    <s v="No"/>
    <m/>
    <m/>
    <m/>
    <m/>
    <m/>
    <m/>
    <m/>
    <m/>
    <n v="3.96"/>
    <n v="15906.98"/>
    <x v="1"/>
  </r>
  <r>
    <s v="Greater Sudbury Hydro Inc."/>
    <s v="Retrofit"/>
    <n v="193434"/>
    <s v="Pre-Project Review - Application Pre-Approved by LDC"/>
    <n v="695.2"/>
    <s v="Yes"/>
    <d v="2018-05-01T13:58:34"/>
    <s v="Q2 2019"/>
    <s v="Q2 2019"/>
    <s v="Q3 2019"/>
    <s v="Butler's Garage Quality Auto Service"/>
    <s v="Chris"/>
    <s v="Butler"/>
    <s v="7056740853"/>
    <s v="jocepigeon@gmail.com"/>
    <s v="492 Kathleen Street"/>
    <m/>
    <m/>
    <s v="SUDBURY"/>
    <s v="P3C2N9"/>
    <s v="Butler's Garage"/>
    <s v="Commercial Other- Please Specify"/>
    <s v="492 Kathleen"/>
    <m/>
    <m/>
    <s v="SUDBURY"/>
    <s v="P3C2N9"/>
    <d v="2018-06-01T00:00:00"/>
    <s v="No"/>
    <m/>
    <m/>
    <m/>
    <m/>
    <m/>
    <m/>
    <m/>
    <m/>
    <n v="8.6"/>
    <n v="3929.53"/>
    <x v="1"/>
  </r>
  <r>
    <s v="Greater Sudbury Hydro Inc."/>
    <s v="Retrofit"/>
    <n v="193522"/>
    <s v="Post-Project Submission - Submitted to LDC for Approval"/>
    <n v="28432.690000000002"/>
    <s v="Yes"/>
    <d v="2018-05-03T10:33:12"/>
    <s v="Q1 2020"/>
    <s v="Q1 2020"/>
    <s v="Q1 2020"/>
    <s v="College Boreal"/>
    <s v="Maurice-Eric"/>
    <s v="Rancourt"/>
    <s v="7055216012"/>
    <s v="merancourt@borealc.on.ca"/>
    <s v="21 Lasalle Boulevard"/>
    <m/>
    <m/>
    <s v="SUDBURY"/>
    <s v="P3A6B1"/>
    <s v="Sudbury Campus"/>
    <s v="School (K-12)"/>
    <s v="21 Lasalle "/>
    <m/>
    <m/>
    <s v="SUDBURY"/>
    <s v="P3A6B1"/>
    <d v="2018-07-31T00:00:00"/>
    <s v="No"/>
    <m/>
    <m/>
    <n v="28432.69"/>
    <n v="0"/>
    <m/>
    <d v="2019-05-24T00:00:00"/>
    <d v="2019-05-01T00:00:00"/>
    <m/>
    <n v="0"/>
    <n v="358630"/>
    <x v="0"/>
  </r>
  <r>
    <s v="Greater Sudbury Hydro Inc."/>
    <s v="Retrofit"/>
    <n v="193916"/>
    <s v="Pre-Project Review - Application Pre-Approved by LDC"/>
    <n v="5449.4000000000005"/>
    <s v="Yes"/>
    <d v="2018-05-11T11:56:53"/>
    <s v="Q3 2019"/>
    <s v="Q3 2019"/>
    <s v="Q4 2019"/>
    <s v="Sudbury Catholic District School Board"/>
    <s v="James"/>
    <s v="Morgan"/>
    <s v="7056735620"/>
    <s v="james.morgan@sudburycatholicschools.ca"/>
    <s v="165 D'Youville Street"/>
    <m/>
    <m/>
    <s v="SUDBURY"/>
    <s v="P3C5E7"/>
    <s v="Marymount Academy"/>
    <s v="School (K-12)"/>
    <s v="165 D'Youville"/>
    <m/>
    <m/>
    <s v="SUDBURY"/>
    <s v="P3C5E7"/>
    <d v="2018-05-25T00:00:00"/>
    <s v="No"/>
    <m/>
    <m/>
    <n v="4954"/>
    <n v="495.40000000000055"/>
    <m/>
    <m/>
    <d v="2019-07-01T00:00:00"/>
    <m/>
    <n v="2.92"/>
    <n v="19200.41"/>
    <x v="0"/>
  </r>
  <r>
    <s v="Greater Sudbury Hydro Inc."/>
    <s v="Retrofit"/>
    <n v="194425"/>
    <s v="Pre-Project Review - Application Pre-Approved by LDC"/>
    <n v="3735.6000000000004"/>
    <s v="Yes"/>
    <d v="2018-05-23T09:27:28"/>
    <s v="Q3 2020"/>
    <s v="Q3 2020"/>
    <s v="Q3 2020"/>
    <s v="House of Broadloom Limited"/>
    <s v="Phil"/>
    <s v="Stewart"/>
    <s v="7056744444"/>
    <s v="phil@houseofbroadloom.ca"/>
    <s v="68 LORNE STREET"/>
    <m/>
    <m/>
    <s v="SUDBURY"/>
    <s v="P3C4N8"/>
    <s v="House of Broadloom"/>
    <s v="Warehouse/Wholesale"/>
    <s v="68 Lorne"/>
    <m/>
    <m/>
    <s v="SUDBURY"/>
    <s v="P3C4N8"/>
    <d v="2018-05-25T00:00:00"/>
    <s v="No"/>
    <m/>
    <m/>
    <m/>
    <m/>
    <m/>
    <m/>
    <m/>
    <m/>
    <n v="2.95"/>
    <n v="13535.76"/>
    <x v="1"/>
  </r>
  <r>
    <s v="Greater Sudbury Hydro Inc."/>
    <s v="Retrofit"/>
    <n v="195186"/>
    <s v="Pre-Project Review - Application Pre-Approved by LDC"/>
    <n v="1689.2150000000001"/>
    <s v="Yes"/>
    <d v="2018-06-08T11:38:47"/>
    <s v="Q2 2019"/>
    <s v="Q2 2019"/>
    <s v="Q3 2019"/>
    <s v="Health Sciences North"/>
    <s v="Jeff"/>
    <s v="Dunn"/>
    <s v="7055237100"/>
    <s v="jdunn@hsnsudbury.ca"/>
    <s v="41 Ramsey Lake Road"/>
    <m/>
    <m/>
    <s v="SUDBURY"/>
    <s v="P3E5J1"/>
    <s v="Health Sciences North - Ambulance Bay"/>
    <s v="Hospital"/>
    <s v="41 Ramsey Lake "/>
    <m/>
    <m/>
    <s v="SUDBURY"/>
    <s v="P3E5J1"/>
    <d v="2018-06-30T00:00:00"/>
    <s v="No"/>
    <m/>
    <m/>
    <n v="1383.65"/>
    <n v="305.56500000000005"/>
    <m/>
    <m/>
    <d v="2019-05-01T00:00:00"/>
    <m/>
    <n v="3.2"/>
    <n v="27673"/>
    <x v="0"/>
  </r>
  <r>
    <s v="Greater Sudbury Hydro Inc."/>
    <s v="Retrofit"/>
    <n v="195876"/>
    <s v="Pre-Project Review - Application Pre-Approved by LDC"/>
    <n v="59220.590000000004"/>
    <s v="Yes"/>
    <d v="2018-06-22T11:08:13"/>
    <s v="Q3 2020"/>
    <s v="Q3 2020"/>
    <s v="Q3 2020"/>
    <s v="Public Services and Procurement Canada"/>
    <s v="Heather"/>
    <s v="Bromley"/>
    <s v="8733530918"/>
    <s v="Heather.Bromley@tpsgc-pwgsc.gc.ca"/>
    <s v="11 Laurier Street"/>
    <s v="Building Portage III"/>
    <m/>
    <s v="Gatineau"/>
    <s v="K1A0S5"/>
    <s v="Sudbury Tax Centre"/>
    <s v="Government - Administrative Buildings"/>
    <s v="1050 Notre Dame "/>
    <m/>
    <m/>
    <s v="SUDBURY"/>
    <s v="P3A5C1"/>
    <d v="2018-03-01T00:00:00"/>
    <s v="No"/>
    <m/>
    <m/>
    <m/>
    <m/>
    <m/>
    <m/>
    <m/>
    <m/>
    <n v="0"/>
    <n v="538368"/>
    <x v="0"/>
  </r>
  <r>
    <s v="Greater Sudbury Hydro Inc."/>
    <s v="Retrofit"/>
    <n v="196122"/>
    <s v="Pre-Project Review - Application Pre-Approved by LDC"/>
    <n v="22714.351000000002"/>
    <s v="Yes"/>
    <d v="2018-06-27T16:18:24"/>
    <s v="Q4 2019"/>
    <s v="Q4 2019"/>
    <s v="Q1 2020"/>
    <s v="Health Sciences North"/>
    <s v="Jeff"/>
    <s v="Dunn"/>
    <s v="7055237100"/>
    <s v="jdunn@hsnsudbury.ca"/>
    <s v="41 Ramsey Lake Road"/>
    <m/>
    <m/>
    <s v="SUDBURY"/>
    <s v="P3E5J1"/>
    <s v="Health Sciences North"/>
    <s v="Hospital"/>
    <s v="41 Ramsey Lake "/>
    <m/>
    <m/>
    <s v="SUDBURY"/>
    <s v="P3E5J1"/>
    <d v="2018-07-06T00:00:00"/>
    <s v="No"/>
    <m/>
    <m/>
    <m/>
    <m/>
    <m/>
    <m/>
    <m/>
    <m/>
    <n v="66.2"/>
    <n v="576116"/>
    <x v="0"/>
  </r>
  <r>
    <s v="Greater Sudbury Hydro Inc."/>
    <s v="Retrofit"/>
    <n v="196419"/>
    <s v="Pre-Project Review - Application Pre-Approved by LDC"/>
    <n v="4925.8"/>
    <s v="Yes"/>
    <d v="2018-07-05T11:17:47"/>
    <s v="Q3 2019"/>
    <s v="Q3 2019"/>
    <s v="Q4 2019"/>
    <s v="Copper Cliff Curling Club"/>
    <s v="Timothy"/>
    <s v="Lloyd"/>
    <s v="7055629913"/>
    <s v="timothy.r.lloyd@gmail.com"/>
    <s v="39 Veterans Road"/>
    <m/>
    <m/>
    <s v="SUDBURY"/>
    <s v="P0M1N0"/>
    <s v="Copper Cliff Curling Club"/>
    <s v="Other please specify"/>
    <s v="39 Veterans "/>
    <m/>
    <m/>
    <s v="SUDBURY"/>
    <s v="P0M1N0"/>
    <d v="2018-07-31T00:00:00"/>
    <s v="No"/>
    <m/>
    <m/>
    <m/>
    <m/>
    <m/>
    <m/>
    <m/>
    <m/>
    <n v="4.3099999999999996"/>
    <n v="19783.599999999999"/>
    <x v="1"/>
  </r>
  <r>
    <s v="Greater Sudbury Hydro Inc."/>
    <s v="Retrofit"/>
    <n v="196748"/>
    <s v="Pre-Project Review - Application Pre-Approved by LDC"/>
    <n v="2750"/>
    <s v="Yes"/>
    <d v="2018-07-11T13:49:56"/>
    <s v="Q1 2020"/>
    <s v="Q1 2020"/>
    <s v="Q1 2020"/>
    <s v="Sudbury Catholic District School Board"/>
    <s v="James"/>
    <s v="Morgan"/>
    <s v="7056735620"/>
    <s v="james.morgan@sudburycatholicschools.ca"/>
    <s v="165 D'Youville Street"/>
    <m/>
    <m/>
    <s v="SUDBURY"/>
    <s v="P3C5E7"/>
    <s v="Sudbury Catholic District School Board"/>
    <s v="School (K-12)"/>
    <s v="165 A D'Youville "/>
    <m/>
    <m/>
    <s v="SUDBURY"/>
    <s v="P3C5E7"/>
    <d v="2018-07-07T00:00:00"/>
    <s v="No"/>
    <m/>
    <m/>
    <n v="2500"/>
    <n v="250"/>
    <m/>
    <m/>
    <d v="2019-07-01T00:00:00"/>
    <m/>
    <n v="1.56"/>
    <n v="7166.64"/>
    <x v="0"/>
  </r>
  <r>
    <s v="Greater Sudbury Hydro Inc."/>
    <s v="Retrofit"/>
    <n v="197232"/>
    <s v="Pre-Project Review - Application Pre-Approved by LDC"/>
    <n v="836.00000000000011"/>
    <s v="Yes"/>
    <d v="2018-07-20T15:16:46"/>
    <s v="Q2 2019"/>
    <s v="Q2 2019"/>
    <s v="Q3 2019"/>
    <s v="2530717 Ontario Limited"/>
    <s v="Daniel"/>
    <s v="Carnovale"/>
    <s v="7056907944"/>
    <s v="danny.carnovale@gmail.com"/>
    <s v="854 Notre Dame Avenue"/>
    <m/>
    <m/>
    <s v="SUDBURY"/>
    <s v="P3A2T4"/>
    <s v="Brewhouse"/>
    <s v="Commercial Other- Please Specify"/>
    <s v="854 Notre Dame"/>
    <m/>
    <m/>
    <s v="SUDBURY"/>
    <s v="P3A2T4"/>
    <d v="2018-07-27T00:00:00"/>
    <s v="No"/>
    <m/>
    <m/>
    <n v="320"/>
    <n v="516.00000000000011"/>
    <m/>
    <m/>
    <d v="2019-05-01T00:00:00"/>
    <m/>
    <n v="0.8"/>
    <n v="5089"/>
    <x v="1"/>
  </r>
  <r>
    <s v="Greater Sudbury Hydro Inc."/>
    <s v="Retrofit"/>
    <n v="197753"/>
    <s v="Pre-Project Review - Application Pre-Approved by LDC"/>
    <n v="3417.2820000000002"/>
    <s v="Yes"/>
    <d v="2018-08-01T12:06:02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Sudbury Arena"/>
    <s v="Commercial Other- Please Specify"/>
    <s v="240 Elgin"/>
    <m/>
    <m/>
    <s v="SUDBURY"/>
    <s v="P3E3N6"/>
    <d v="2018-08-10T00:00:00"/>
    <s v="No"/>
    <m/>
    <m/>
    <s v="Cancel"/>
    <m/>
    <m/>
    <m/>
    <m/>
    <m/>
    <m/>
    <m/>
    <x v="0"/>
  </r>
  <r>
    <s v="Greater Sudbury Hydro Inc."/>
    <s v="Retrofit"/>
    <n v="198004"/>
    <s v="Pre-Project Review - Application Pre-Approved by LDC"/>
    <n v="725048.50000000012"/>
    <s v="Yes"/>
    <d v="2018-08-08T13:05:39"/>
    <s v="Q4 2020"/>
    <s v="Q2 2021"/>
    <s v="Q2 2021"/>
    <s v="City of Greater Sudbury"/>
    <s v="Sajeev"/>
    <s v="Shivshankaran"/>
    <n v="7056774648"/>
    <s v="sajeev.shivshankaran@greatersudbury.ca"/>
    <s v="200 Brady Street"/>
    <m/>
    <m/>
    <s v="SUDBURY"/>
    <s v="P3A5P3"/>
    <s v="CGS Streetlights HONI"/>
    <s v="Other please specify"/>
    <s v="325 Anderson"/>
    <m/>
    <m/>
    <s v="Lively"/>
    <s v="P3Y1M8"/>
    <d v="2018-08-24T00:00:00"/>
    <s v="No"/>
    <m/>
    <m/>
    <s v="Not Likely"/>
    <m/>
    <m/>
    <m/>
    <m/>
    <m/>
    <n v="0"/>
    <m/>
    <x v="3"/>
  </r>
  <r>
    <s v="Greater Sudbury Hydro Inc."/>
    <s v="Retrofit"/>
    <n v="198247"/>
    <s v="Post-Project Submission - Submitted to LDC for Approval"/>
    <n v="1636.8000000000002"/>
    <s v="Yes"/>
    <d v="2018-08-15T10:46:15"/>
    <s v="Q3 2019"/>
    <s v="Q3 2019"/>
    <s v="Q4 2019"/>
    <s v="Vista Sudbury Hotel"/>
    <s v="Manoj"/>
    <s v="Nair"/>
    <s v="7056751123"/>
    <s v="manoj@radissonsudbury.com"/>
    <s v="85 Ste. Anne Road"/>
    <m/>
    <m/>
    <s v="SUDBURY"/>
    <s v="P3E4S4"/>
    <s v="Radisson Hotel"/>
    <s v="Hotel"/>
    <s v="85 Ste. Anne"/>
    <m/>
    <m/>
    <s v="SUDBURY"/>
    <s v="P3E4S4"/>
    <d v="2018-08-27T00:00:00"/>
    <s v="No"/>
    <m/>
    <m/>
    <n v="1488"/>
    <n v="148.80000000000018"/>
    <m/>
    <d v="2019-04-23T00:00:00"/>
    <d v="2019-04-01T00:00:00"/>
    <m/>
    <n v="0.90200000000000002"/>
    <n v="4144.2470000000003"/>
    <x v="0"/>
  </r>
  <r>
    <s v="Greater Sudbury Hydro Inc."/>
    <s v="Retrofit"/>
    <n v="198308"/>
    <s v="Pre-Project Review - Application Pre-Approved by LDC"/>
    <n v="300.64100000000002"/>
    <s v="Yes"/>
    <d v="2018-08-16T16:26:45"/>
    <s v="Q2 2019"/>
    <s v="Q2 2019"/>
    <s v="Q3 2019"/>
    <s v="Nancy-Jo Demers Dental Hygiene Professional Corporation"/>
    <s v="Nancy-Jo"/>
    <s v="Demers"/>
    <s v="7055868686"/>
    <s v="nancy@expressionsdh.com"/>
    <s v="1313 Lorne Street"/>
    <m/>
    <m/>
    <s v="SUDBURY"/>
    <s v="P3C5M9"/>
    <s v="Expressions Dental Hygiene Clinic"/>
    <s v="Commercial Other- Please Specify"/>
    <s v="1313 Lorne"/>
    <m/>
    <m/>
    <s v="SUDBURY"/>
    <s v="P3C5M9"/>
    <d v="2018-08-24T00:00:00"/>
    <s v="No"/>
    <m/>
    <m/>
    <n v="273.31"/>
    <n v="27.331000000000017"/>
    <m/>
    <m/>
    <d v="2019-05-01T00:00:00"/>
    <m/>
    <n v="0"/>
    <n v="2733.12"/>
    <x v="1"/>
  </r>
  <r>
    <s v="Greater Sudbury Hydro Inc."/>
    <s v="Retrofit"/>
    <n v="198543"/>
    <s v="Pre-Project Review - Application Pre-Approved by LDC"/>
    <n v="6125.9440000000004"/>
    <s v="Yes"/>
    <d v="2018-08-23T11:05:30"/>
    <s v="Q1 2020"/>
    <s v="Q1 2020"/>
    <s v="Q1 2020"/>
    <s v="The Corporation of The Municipality of West Nipissing"/>
    <s v="Jonny"/>
    <s v="Belanger"/>
    <s v="7057532250"/>
    <s v="jbelanger@westnipissing.ca"/>
    <s v="225 Holditch Street"/>
    <m/>
    <m/>
    <s v="Sturgeon Falls"/>
    <s v="P2B1T1"/>
    <s v="Sturgeon Falls Arena"/>
    <s v="Entertainment/Sport"/>
    <s v="219 O'Hara St"/>
    <m/>
    <m/>
    <s v="Sturgeon Falls"/>
    <s v="P2B1A2"/>
    <d v="2018-08-24T00:00:00"/>
    <s v="No"/>
    <m/>
    <m/>
    <m/>
    <m/>
    <m/>
    <m/>
    <m/>
    <m/>
    <n v="0"/>
    <n v="55690.48"/>
    <x v="0"/>
  </r>
  <r>
    <s v="Greater Sudbury Hydro Inc."/>
    <s v="Retrofit"/>
    <n v="198551"/>
    <s v="Pre-Project Review - Application Pre-Approved by LDC"/>
    <n v="1402.5"/>
    <s v="Yes"/>
    <d v="2018-08-23T11:39:48"/>
    <s v="Q3 2019"/>
    <s v="Q3 2019"/>
    <s v="Q4 2019"/>
    <s v="City of Greater Sudbury"/>
    <s v="Sajeev"/>
    <s v="Shivshankaran"/>
    <n v="7056774648"/>
    <s v="sajeev.shivshankaran@greatersudbury.ca"/>
    <s v="200 Brady Street"/>
    <m/>
    <m/>
    <s v="SUDBURY"/>
    <s v="P3A5P3"/>
    <s v="Minto and Shaunessy Parking Lot"/>
    <s v="Commercial Other- Please Specify"/>
    <s v="185 Minto"/>
    <m/>
    <m/>
    <s v="SUDBURY"/>
    <s v="P3A5P3"/>
    <d v="2018-08-24T00:00:00"/>
    <s v="No"/>
    <m/>
    <m/>
    <m/>
    <m/>
    <m/>
    <m/>
    <m/>
    <m/>
    <n v="0"/>
    <n v="14280"/>
    <x v="1"/>
  </r>
  <r>
    <s v="Greater Sudbury Hydro Inc."/>
    <s v="Retrofit"/>
    <n v="198728"/>
    <s v="Pre-Project Review - Application Pre-Approved by LDC"/>
    <n v="3417.2820000000002"/>
    <s v="Yes"/>
    <d v="2018-08-28T10:54:31"/>
    <s v="Q1 2020"/>
    <s v="Q1 2020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Sudbury Arena"/>
    <s v="Entertainment/Sport"/>
    <s v="240 Elgin"/>
    <m/>
    <m/>
    <s v="SUDBURY"/>
    <s v="P3E3N6"/>
    <d v="2018-08-31T00:00:00"/>
    <s v="No"/>
    <m/>
    <m/>
    <n v="3106.62"/>
    <n v="310.66200000000026"/>
    <m/>
    <m/>
    <d v="2019-05-01T00:00:00"/>
    <m/>
    <n v="0"/>
    <n v="31066.22"/>
    <x v="0"/>
  </r>
  <r>
    <s v="Greater Sudbury Hydro Inc."/>
    <s v="Retrofit"/>
    <n v="198733"/>
    <s v="Pre-Project Review - Application Pre-Approved by LDC"/>
    <n v="11979.000000000002"/>
    <s v="Yes"/>
    <d v="2018-08-28T11:41:18"/>
    <s v="Q1 2020"/>
    <s v="Q1 2020"/>
    <s v="Q1 2020"/>
    <s v="William Day Construction Limited"/>
    <s v="Kevin"/>
    <s v="Eady"/>
    <s v="7056821555"/>
    <s v="kevin.eady@daygroup.ca"/>
    <s v="2500 Elm Street"/>
    <s v="PO Box 1060"/>
    <m/>
    <s v="Azilda"/>
    <s v="P0M1B0"/>
    <s v="William Day Construction"/>
    <s v="Warehouse/Wholesale"/>
    <s v="2500 Elm "/>
    <s v="P.O. Box 1060 "/>
    <m/>
    <s v="Azilda"/>
    <s v="P0M1B0"/>
    <d v="2018-09-10T00:00:00"/>
    <s v="No"/>
    <m/>
    <m/>
    <n v="10890"/>
    <n v="1089.0000000000018"/>
    <m/>
    <d v="2019-05-24T00:00:00"/>
    <m/>
    <m/>
    <n v="0"/>
    <n v="121254"/>
    <x v="0"/>
  </r>
  <r>
    <s v="Greater Sudbury Hydro Inc."/>
    <s v="Retrofit"/>
    <n v="198736"/>
    <s v="Pre-Project Review - Application Pre-Approved by LDC"/>
    <n v="458.92"/>
    <s v="Yes"/>
    <d v="2018-08-28T11:45:06"/>
    <s v="Q3 2019"/>
    <s v="Q3 2019"/>
    <s v="Q4 2019"/>
    <s v="Dhineault Food Corp."/>
    <s v="Paul "/>
    <s v="Gaudreault"/>
    <s v="7055865466"/>
    <s v="paul@awsudbury.ca"/>
    <s v="797 Falconbridge Road"/>
    <m/>
    <m/>
    <s v="SUDBURY"/>
    <s v="P3A5K8"/>
    <s v="Dhineault Food Corp - AW"/>
    <s v="Restaurant"/>
    <s v="2404 Long Lake "/>
    <m/>
    <m/>
    <s v="SUDBURY"/>
    <s v="P3E5H5"/>
    <d v="2018-09-20T00:00:00"/>
    <s v="No"/>
    <m/>
    <m/>
    <m/>
    <m/>
    <m/>
    <m/>
    <m/>
    <m/>
    <n v="2.4"/>
    <n v="15219"/>
    <x v="1"/>
  </r>
  <r>
    <s v="Greater Sudbury Hydro Inc."/>
    <s v="Retrofit"/>
    <n v="198945"/>
    <s v="Pre-Project Review - Application Pre-Approved by LDC"/>
    <n v="3080.0000000000005"/>
    <s v="Yes"/>
    <d v="2018-08-31T15:26:24"/>
    <s v="Q1 2020"/>
    <s v="Q1 2020"/>
    <s v="Q2 2020"/>
    <s v="Loblaws INC"/>
    <s v="Vishal"/>
    <s v="Gupta"/>
    <s v="9054592500"/>
    <s v="vishal.gupta@loblaw.ca"/>
    <s v="1 President's Choice Circle"/>
    <m/>
    <m/>
    <s v="Brampton"/>
    <s v="L6Y 5S5"/>
    <s v="RCSS #226"/>
    <s v="Large  Retail"/>
    <s v="1070 Webbwood Drive"/>
    <m/>
    <m/>
    <s v="SUDBURY"/>
    <s v="P3C3B7"/>
    <d v="2018-09-24T00:00:00"/>
    <s v="No"/>
    <m/>
    <m/>
    <m/>
    <m/>
    <m/>
    <m/>
    <m/>
    <m/>
    <n v="2.2959999999999998"/>
    <n v="13933.15"/>
    <x v="0"/>
  </r>
  <r>
    <s v="Greater Sudbury Hydro Inc."/>
    <s v="Retrofit"/>
    <n v="199305"/>
    <s v="Pre-Project Review - Application Pre-Approved by LDC"/>
    <n v="33495"/>
    <s v="Yes"/>
    <d v="2018-09-07T13:31:29"/>
    <s v="Q3 2019"/>
    <s v="Q3 2019"/>
    <s v="Q4 2019"/>
    <s v="Lowe's Companies Canada"/>
    <s v="Greg"/>
    <s v="Osinga"/>
    <s v="9056364809"/>
    <s v="greg.p.osinga@lowes.com"/>
    <s v="5160 Yonge Street"/>
    <s v="Suite 200"/>
    <m/>
    <s v="North York"/>
    <s v="M2N6L9"/>
    <s v="LOWES #3085-SUDBURY"/>
    <s v="Large  Retail"/>
    <s v="LOWES #3085-SUDBURY  1199 MARCUS DRIVE"/>
    <m/>
    <m/>
    <s v="SUDBURY"/>
    <s v="P3B4K6"/>
    <d v="2018-09-19T00:00:00"/>
    <s v="No"/>
    <m/>
    <m/>
    <m/>
    <m/>
    <m/>
    <m/>
    <m/>
    <m/>
    <n v="43.5"/>
    <n v="199839"/>
    <x v="0"/>
  </r>
  <r>
    <s v="Greater Sudbury Hydro Inc."/>
    <s v="Retrofit"/>
    <n v="199348"/>
    <s v="Pre-Project Review - Application Pre-Approved by LDC"/>
    <n v="7625.2000000000007"/>
    <s v="Yes"/>
    <d v="2018-09-07T14:42:47"/>
    <s v="Q4 2020"/>
    <s v="Q4 2020"/>
    <s v="Q1 2021"/>
    <s v="FGL Sports Ltd"/>
    <s v="Fleur"/>
    <s v="Careil"/>
    <s v="4164803033"/>
    <s v="Fleur.Careil@cantire.com"/>
    <s v="2180 Yonge Street"/>
    <m/>
    <m/>
    <s v="Toronto"/>
    <s v="M4P2V8"/>
    <s v="FGL"/>
    <s v="Large  Retail"/>
    <s v="1349 LaSalle Boulevard"/>
    <m/>
    <m/>
    <s v="SUDBURY"/>
    <s v="P3A1Z2"/>
    <d v="2018-11-23T00:00:00"/>
    <s v="No"/>
    <m/>
    <m/>
    <s v="Cancel"/>
    <m/>
    <m/>
    <m/>
    <m/>
    <m/>
    <m/>
    <m/>
    <x v="2"/>
  </r>
  <r>
    <s v="Greater Sudbury Hydro Inc."/>
    <s v="Retrofit"/>
    <n v="199371"/>
    <s v="Pre-Project Review - Application Pre-Approved by LDC"/>
    <n v="12012.000000000002"/>
    <s v="Yes"/>
    <d v="2018-09-07T15:38:56"/>
    <s v="Q3 2019"/>
    <s v="Q3 2019"/>
    <s v="Q4 2019"/>
    <s v="Claim Secure Inc."/>
    <s v="Nicole"/>
    <s v="Proulx"/>
    <s v="7056732541"/>
    <s v="nicole.proulx@claimsecure.com"/>
    <s v="40 Elm Street"/>
    <m/>
    <m/>
    <s v="SUDBURY"/>
    <s v="P3C0A2"/>
    <s v="Office"/>
    <s v="Large Office"/>
    <s v="43 Elm"/>
    <m/>
    <m/>
    <s v="SUDBURY"/>
    <s v="P3C0A2"/>
    <d v="2018-10-01T00:00:00"/>
    <s v="No"/>
    <m/>
    <m/>
    <m/>
    <m/>
    <m/>
    <m/>
    <m/>
    <m/>
    <n v="15.6"/>
    <n v="71666.399999999994"/>
    <x v="1"/>
  </r>
  <r>
    <s v="Greater Sudbury Hydro Inc."/>
    <s v="Retrofit"/>
    <n v="199697"/>
    <s v="Pre-Project Review - Application Pre-Approved by LDC"/>
    <n v="935.00000000000011"/>
    <s v="Yes"/>
    <d v="2018-09-11T12:09:43"/>
    <s v="Q3 2019"/>
    <s v="Q3 2019"/>
    <s v="Q4 2019"/>
    <s v="E.L. DeMattia Invt. Ltd."/>
    <s v="E.L."/>
    <s v="DeMattia"/>
    <s v="7056915703"/>
    <s v="brian@mapleleafmasonrysupply.ca"/>
    <s v="2135 Long Lake Road"/>
    <m/>
    <m/>
    <s v="SUDBURY"/>
    <s v="P3E5H2"/>
    <s v="Maple Leaf Masonry Supply Ltd."/>
    <s v="Warehouse/Wholesale"/>
    <s v="2135 Long Lake"/>
    <m/>
    <m/>
    <s v="SUDBURY"/>
    <s v="P3E5H2"/>
    <d v="2018-09-28T00:00:00"/>
    <s v="No"/>
    <m/>
    <m/>
    <n v="850"/>
    <n v="85.000000000000114"/>
    <m/>
    <d v="2019-05-27T00:00:00"/>
    <d v="2019-05-01T00:00:00"/>
    <m/>
    <n v="0.53"/>
    <n v="2436.66"/>
    <x v="1"/>
  </r>
  <r>
    <s v="Greater Sudbury Hydro Inc."/>
    <s v="Retrofit"/>
    <n v="199713"/>
    <s v="Pre-Project Review - Application Pre-Approved by LDC"/>
    <n v="5704.6"/>
    <s v="Yes"/>
    <d v="2018-09-11T14:31:55"/>
    <s v="Q2 2019"/>
    <s v="Q2 2019"/>
    <s v="Q3 2019"/>
    <s v="TD BANK GROUP"/>
    <s v="TRACEY"/>
    <s v="TIPPINS"/>
    <s v="6135134616"/>
    <s v="Tracey.Tippins@td.com"/>
    <s v="380 Wellington Street"/>
    <s v="10th Floor"/>
    <m/>
    <s v="London"/>
    <s v="N6A4S4"/>
    <s v="TDB0114 OFFICES"/>
    <s v="Small Office"/>
    <s v="43 ELM"/>
    <m/>
    <m/>
    <s v="SUDBURY"/>
    <s v="P3C1S4"/>
    <d v="2018-09-24T08:00:00"/>
    <s v="No"/>
    <m/>
    <m/>
    <m/>
    <m/>
    <m/>
    <m/>
    <m/>
    <m/>
    <n v="9.7200000000000006"/>
    <n v="39070.199000000001"/>
    <x v="1"/>
  </r>
  <r>
    <s v="Greater Sudbury Hydro Inc."/>
    <s v="Retrofit"/>
    <n v="199717"/>
    <s v="Pre-Project Review - Application Pre-Approved by LDC"/>
    <n v="528"/>
    <s v="Yes"/>
    <d v="2018-09-11T14:59:28"/>
    <s v="Q3 2019"/>
    <s v="Q3 2019"/>
    <s v="Q4 2019"/>
    <s v="2530717 Ontario Limited"/>
    <s v="Daniel"/>
    <s v="Carnovale"/>
    <s v="7056907944"/>
    <s v="danny.carnovale@gmail.com"/>
    <s v="854 Notre Dame Avenue"/>
    <m/>
    <m/>
    <s v="SUDBURY"/>
    <s v="P3A2T4"/>
    <s v="Brewhouse"/>
    <s v="Restaurant"/>
    <s v="854 Notre Dame"/>
    <m/>
    <m/>
    <s v="SUDBURY"/>
    <s v="P3A2T4"/>
    <d v="2018-09-21T00:00:00"/>
    <s v="No"/>
    <m/>
    <m/>
    <n v="400"/>
    <n v="128"/>
    <m/>
    <m/>
    <d v="2019-05-01T00:00:00"/>
    <m/>
    <n v="1"/>
    <n v="4088"/>
    <x v="1"/>
  </r>
  <r>
    <s v="Greater Sudbury Hydro Inc."/>
    <s v="Retrofit"/>
    <n v="199740"/>
    <s v="Pre-Project Review - Application Pre-Approved by LDC"/>
    <n v="3608.0000000000005"/>
    <s v="Yes"/>
    <d v="2018-09-11T22:33:36"/>
    <s v="Q3 2019"/>
    <s v="Q3 2019"/>
    <s v="Q4 2019"/>
    <s v="Northern Communications Services Inc."/>
    <s v="Michael"/>
    <s v="Shantz"/>
    <s v="7056736888"/>
    <s v="mshantz@northern911.com"/>
    <s v="230 Alder Street"/>
    <m/>
    <m/>
    <s v="SUDBURY"/>
    <s v="P3C4S2"/>
    <s v="Northern Communication Services Inc"/>
    <s v="Large Office"/>
    <s v="230 Alder"/>
    <m/>
    <m/>
    <s v="SUDBURY"/>
    <s v="P3C4S2"/>
    <d v="2018-09-17T00:00:00"/>
    <s v="No"/>
    <m/>
    <m/>
    <n v="3280"/>
    <n v="328.00000000000045"/>
    <m/>
    <d v="2019-05-24T00:00:00"/>
    <d v="2019-05-01T00:00:00"/>
    <m/>
    <n v="6.7"/>
    <n v="30776.12"/>
    <x v="0"/>
  </r>
  <r>
    <s v="Greater Sudbury Hydro Inc."/>
    <s v="Retrofit"/>
    <n v="199871"/>
    <s v="Pre-Project Review - Application Pre-Approved by LDC"/>
    <n v="1512.5000000000002"/>
    <s v="Yes"/>
    <d v="2018-09-16T10:11:12"/>
    <s v="Q3 2020"/>
    <s v="Q3 2020"/>
    <s v="Q3 2020"/>
    <s v="PHIL JUTRAS AND SON LTD"/>
    <s v="JOE"/>
    <s v="KOVACS"/>
    <s v="7055074530"/>
    <s v="sudbury@jutrasgroup.com"/>
    <s v="2042 The Kingsway"/>
    <m/>
    <m/>
    <s v="SUDBURY"/>
    <s v="P3B4J8"/>
    <s v="Garage"/>
    <s v="Warehouse/Wholesale"/>
    <s v="2042 THE KINGSWAY"/>
    <m/>
    <m/>
    <s v="SUDBURY"/>
    <s v="P3B4J8"/>
    <d v="2018-09-21T00:00:00"/>
    <s v="No"/>
    <m/>
    <m/>
    <m/>
    <m/>
    <m/>
    <m/>
    <m/>
    <m/>
    <n v="0"/>
    <n v="15330"/>
    <x v="1"/>
  </r>
  <r>
    <s v="Greater Sudbury Hydro Inc."/>
    <s v="Retrofit"/>
    <n v="199884"/>
    <s v="Pre-Project Review - Application Pre-Approved by LDC"/>
    <n v="664.40000000000009"/>
    <s v="Yes"/>
    <d v="2018-09-17T11:46:53"/>
    <s v="Q2 2019"/>
    <s v="Q2 2019"/>
    <s v="Q3 2019"/>
    <s v="CUPE 4705"/>
    <s v="Denise"/>
    <s v="Belanger"/>
    <s v="7055604705"/>
    <s v="recordingsecretary_4705@cupesudbury.org"/>
    <s v="41 Veterans Road"/>
    <m/>
    <m/>
    <s v="Copper Cliff"/>
    <s v="P0M1N0"/>
    <s v="CUPE 4705 Office"/>
    <s v="Small Office"/>
    <s v="41 Veterans"/>
    <m/>
    <m/>
    <s v="Copper CLiff"/>
    <s v="P0M1N0"/>
    <d v="2018-09-28T00:00:00"/>
    <s v="No"/>
    <m/>
    <m/>
    <m/>
    <m/>
    <m/>
    <m/>
    <m/>
    <m/>
    <n v="1.5"/>
    <n v="3004"/>
    <x v="1"/>
  </r>
  <r>
    <s v="Greater Sudbury Hydro Inc."/>
    <s v="Retrofit"/>
    <n v="199937"/>
    <s v="Pre-Project Review - Application Pre-Approved by LDC"/>
    <n v="3564.0000000000005"/>
    <s v="Yes"/>
    <d v="2018-09-18T11:12:51"/>
    <s v="Q3 2019"/>
    <s v="Q3 2019"/>
    <s v="Q4 2019"/>
    <s v="City of Greater Sudbury"/>
    <s v="Sajeev"/>
    <s v="Shivshankaran"/>
    <n v="7056774648"/>
    <s v="sajeev.shivshankaran@greatersudbury.ca"/>
    <s v="200 Brady Street"/>
    <m/>
    <m/>
    <s v="SUDBURY"/>
    <s v="P3A5P3"/>
    <s v="McClelland Arena"/>
    <s v="Commercial Other- Please Specify"/>
    <s v="37 Veterans"/>
    <m/>
    <m/>
    <s v="Copper CLiff"/>
    <s v="P0M1N0"/>
    <d v="2018-09-24T00:00:00"/>
    <s v="No"/>
    <m/>
    <m/>
    <n v="3240"/>
    <n v="324.00000000000045"/>
    <m/>
    <d v="2019-05-24T00:00:00"/>
    <d v="2019-05-01T00:00:00"/>
    <m/>
    <n v="8.1"/>
    <n v="52590"/>
    <x v="1"/>
  </r>
  <r>
    <s v="Greater Sudbury Hydro Inc."/>
    <s v="Retrofit"/>
    <n v="201275"/>
    <s v="Pre-Project Review - Application Pre-Approved by LDC"/>
    <n v="748.00000000000011"/>
    <s v="Yes"/>
    <d v="2018-10-24T11:29:29"/>
    <s v="Q3 2019"/>
    <s v="Q3 2019"/>
    <s v="Q4 2019"/>
    <s v="Church of Christ the King"/>
    <s v="Bruce"/>
    <s v="Crichton"/>
    <s v="7056742921"/>
    <s v="crichtonbruce@yahoo.ca"/>
    <s v="21 Ste-Anne, Sudbury"/>
    <m/>
    <m/>
    <s v="SUDBURY"/>
    <s v="P3E4S1"/>
    <s v="Church of Christ the King"/>
    <s v="Place of Worship"/>
    <s v="21 Ste-Anne"/>
    <m/>
    <m/>
    <s v="SUDBURY"/>
    <s v="P3E4S1"/>
    <d v="2018-10-31T00:00:00"/>
    <s v="No"/>
    <m/>
    <m/>
    <s v="Cancel"/>
    <m/>
    <m/>
    <m/>
    <m/>
    <m/>
    <m/>
    <m/>
    <x v="2"/>
  </r>
  <r>
    <s v="Greater Sudbury Hydro Inc."/>
    <s v="Retrofit"/>
    <n v="202070"/>
    <s v="Pre-Project Review - Application Pre-Approved by LDC"/>
    <n v="6336.0000000000009"/>
    <s v="Yes"/>
    <d v="2018-11-14T14:21:07"/>
    <s v="Q3 2019"/>
    <s v="Q3 2019"/>
    <s v="Q3 2019"/>
    <s v="Cambrian Ford Sales Inc."/>
    <s v="Bryan"/>
    <s v="Lafreniere"/>
    <s v="7055603673"/>
    <s v="blafreniere@cambrianford.com"/>
    <s v="1615 Kingsway Boulevard"/>
    <m/>
    <m/>
    <s v="SUDBURY"/>
    <s v="P3A4S9"/>
    <s v="Cambrian Ford"/>
    <s v="Commercial Other- Please Specify"/>
    <s v="1615 Kingsway"/>
    <m/>
    <m/>
    <s v="SUDBURY"/>
    <s v="P3A4S9"/>
    <d v="2018-11-23T00:00:00"/>
    <s v="No"/>
    <m/>
    <m/>
    <m/>
    <m/>
    <m/>
    <m/>
    <m/>
    <m/>
    <n v="4.88"/>
    <n v="21016.312000000002"/>
    <x v="0"/>
  </r>
  <r>
    <s v="Greater Sudbury Hydro Inc."/>
    <s v="Retrofit"/>
    <n v="202141"/>
    <s v="Pre-Project Review - Application Pre-Approved by LDC"/>
    <n v="12892.000000000002"/>
    <s v="Yes"/>
    <d v="2018-11-16T10:15:58"/>
    <s v="Q2 2020"/>
    <s v="Q2 2020"/>
    <s v="Q3 2020"/>
    <s v="Loblaws INC"/>
    <s v="Vishal"/>
    <s v="Gupta"/>
    <s v="9054592500"/>
    <s v="vishal.gupta@loblaw.ca"/>
    <s v="1 President's Choice Circle"/>
    <m/>
    <m/>
    <s v="Brampton"/>
    <s v="L6Y 5S5"/>
    <s v="YIG#1754"/>
    <s v="Large  Retail"/>
    <s v="1836 Regent"/>
    <m/>
    <m/>
    <s v="SUDBURY"/>
    <s v="P3E3Z8"/>
    <d v="2018-11-28T00:00:00"/>
    <s v="No"/>
    <m/>
    <m/>
    <m/>
    <m/>
    <m/>
    <m/>
    <m/>
    <m/>
    <n v="8.0579999999999998"/>
    <n v="48899.404999999999"/>
    <x v="0"/>
  </r>
  <r>
    <s v="Greater Sudbury Hydro Inc."/>
    <s v="Retrofit"/>
    <n v="202169"/>
    <s v="Pre-Project Review - Application Pre-Approved by LDC"/>
    <n v="20086"/>
    <s v="Yes"/>
    <d v="2018-11-18T20:48:02"/>
    <s v="Q3 2020"/>
    <s v="Q3 2020"/>
    <s v="Q3 2020"/>
    <s v="Caruso Club"/>
    <s v="John"/>
    <s v="Cimino"/>
    <s v="7056751357"/>
    <s v="johncimino@carusoclub.com"/>
    <s v="385 Haig Street"/>
    <m/>
    <m/>
    <s v="SUDBURY"/>
    <s v="P3C1C5"/>
    <s v="Caruso Club - Lighting ext"/>
    <s v="Restaurant"/>
    <s v="385 Haig"/>
    <m/>
    <m/>
    <s v="SUDBURY"/>
    <s v="P3C1C5"/>
    <d v="2018-11-26T00:00:00"/>
    <s v="No"/>
    <m/>
    <m/>
    <n v="18112.5"/>
    <n v="1973.5"/>
    <m/>
    <m/>
    <m/>
    <m/>
    <n v="14.44"/>
    <n v="75730.06"/>
    <x v="0"/>
  </r>
  <r>
    <s v="Greater Sudbury Hydro Inc."/>
    <s v="Retrofit"/>
    <n v="202336"/>
    <s v="Pre-Project Review - Application Pre-Approved by LDC"/>
    <n v="1078"/>
    <s v="Yes"/>
    <d v="2018-11-21T16:03:05"/>
    <s v="Q1 2020"/>
    <s v="Q1 2020"/>
    <s v="Q2 2020"/>
    <s v="Leuschen Transportation"/>
    <s v="Charles"/>
    <s v="Breault"/>
    <s v="7056740708"/>
    <s v="cbreault@ridestc.com"/>
    <s v="1299 Lorne Street"/>
    <m/>
    <m/>
    <s v="SUDBURY"/>
    <s v="P3C5M9"/>
    <s v="Leuschen Transportation"/>
    <s v="Commercial Other- Please Specify"/>
    <s v="1299 Lorne "/>
    <m/>
    <m/>
    <s v="SUDBURY"/>
    <s v="P3C5M9"/>
    <d v="2018-11-26T00:00:00"/>
    <s v="No"/>
    <m/>
    <m/>
    <m/>
    <m/>
    <m/>
    <m/>
    <m/>
    <m/>
    <n v="0"/>
    <n v="2394"/>
    <x v="0"/>
  </r>
  <r>
    <s v="Greater Sudbury Hydro Inc."/>
    <s v="Retrofit"/>
    <n v="202357"/>
    <s v="Post-Project Submission - Submitted to LDC for Approval"/>
    <n v="799.7"/>
    <s v="Yes"/>
    <d v="2018-11-22T14:25:40"/>
    <s v="Q1 2020"/>
    <s v="Q1 2020"/>
    <s v="Q1 2020"/>
    <s v="John David Anderson Ltd. "/>
    <s v="J.J."/>
    <s v="Anderson"/>
    <s v="7056734008"/>
    <s v="dqkingsway@gmail.com"/>
    <s v="1033 Lorne Street"/>
    <m/>
    <m/>
    <s v="SUDBURY"/>
    <s v="P3C4S4"/>
    <s v="John David Anderson Ltd. "/>
    <s v="Small Office"/>
    <s v="1033 Lorne"/>
    <m/>
    <m/>
    <s v="SUDBURY"/>
    <s v="P3C4S4"/>
    <d v="2018-12-01T00:00:00"/>
    <s v="No"/>
    <m/>
    <m/>
    <n v="702"/>
    <n v="97.700000000000045"/>
    <m/>
    <m/>
    <m/>
    <m/>
    <n v="0.65"/>
    <n v="3093.77"/>
    <x v="1"/>
  </r>
  <r>
    <s v="Greater Sudbury Hydro Inc."/>
    <s v="Retrofit"/>
    <n v="202405"/>
    <s v="Pre-Project Review - Application Pre-Approved by LDC"/>
    <n v="3362.7000000000003"/>
    <s v="Yes"/>
    <d v="2018-11-23T15:40:10"/>
    <s v="Q3 2020"/>
    <s v="Q3 2020"/>
    <s v="Q3 2020"/>
    <s v="Tofstal Inc."/>
    <s v="Tracy"/>
    <s v="Rochon"/>
    <s v="7056753598"/>
    <s v="tracy@ybsa.ca"/>
    <s v="255 Larch Street"/>
    <m/>
    <m/>
    <s v="SUDBURY"/>
    <s v="P3B1M2"/>
    <s v="YBSA Office"/>
    <s v="Small Office"/>
    <s v="255 Larch"/>
    <m/>
    <m/>
    <s v="SUDBURY"/>
    <s v="P3B1M2"/>
    <d v="2018-11-30T00:00:00"/>
    <s v="No"/>
    <m/>
    <m/>
    <m/>
    <m/>
    <m/>
    <m/>
    <m/>
    <m/>
    <n v="1.88"/>
    <n v="8467"/>
    <x v="1"/>
  </r>
  <r>
    <s v="Greater Sudbury Hydro Inc."/>
    <s v="Retrofit"/>
    <n v="202444"/>
    <s v="Post-Project Submission - Sent to Participant for Review"/>
    <n v="3531.0000000000005"/>
    <s v="Yes"/>
    <d v="2018-11-26T16:10:21"/>
    <s v="Q3 2019"/>
    <s v="Q3 2019"/>
    <s v="Q4 2019"/>
    <s v="1854131 Ontario Inc. "/>
    <s v="Melanie "/>
    <s v="Tremblay"/>
    <s v="7055611336"/>
    <s v="mtremblay@dalron.com"/>
    <s v="130 Elm Street"/>
    <s v="Suite 100"/>
    <m/>
    <s v="SUDBURY"/>
    <s v="P3C1T6"/>
    <s v="1854131 Ontario Inc. "/>
    <s v="Small Retail"/>
    <s v="945 Cambrian Heights"/>
    <m/>
    <m/>
    <s v="SUDBURY"/>
    <s v="P3C5M6"/>
    <d v="2018-11-30T00:00:00"/>
    <s v="No"/>
    <m/>
    <m/>
    <m/>
    <m/>
    <m/>
    <m/>
    <m/>
    <m/>
    <n v="8.18"/>
    <n v="29576.16"/>
    <x v="1"/>
  </r>
  <r>
    <s v="Greater Sudbury Hydro Inc."/>
    <s v="Retrofit"/>
    <n v="202468"/>
    <s v="Pre-Project Review - Application Pre-Approved by LDC"/>
    <n v="4603.5"/>
    <s v="Yes"/>
    <d v="2018-11-27T10:45:07"/>
    <s v="Q2 2020"/>
    <s v="Q2 2020"/>
    <s v="Q3 2020"/>
    <s v="Glad Tiding Church Sudbury"/>
    <s v="Jessica"/>
    <s v="Manuel"/>
    <s v="7055224523"/>
    <s v="jessica@gtsudbury.ca"/>
    <s v="1101 Regent Street"/>
    <m/>
    <m/>
    <s v="SUDBURY"/>
    <s v="P3E5P8"/>
    <s v="Glad Tiding Church"/>
    <s v="Place of Worship"/>
    <s v="1101 Regent"/>
    <m/>
    <m/>
    <s v="SUDBURY"/>
    <s v="P3E5P8"/>
    <d v="2018-11-28T00:00:00"/>
    <s v="No"/>
    <m/>
    <m/>
    <m/>
    <m/>
    <m/>
    <m/>
    <m/>
    <m/>
    <n v="8.4"/>
    <n v="52222.6"/>
    <x v="0"/>
  </r>
  <r>
    <s v="Greater Sudbury Hydro Inc."/>
    <s v="Retrofit"/>
    <n v="203164"/>
    <s v="Pre-Project Review - Application Pre-Approved by LDC"/>
    <n v="1227.4900000000002"/>
    <s v="Yes"/>
    <d v="2018-12-17T12:01:19"/>
    <s v="Q3 2020"/>
    <s v="Q3 2020"/>
    <s v="Q4 2020"/>
    <s v="43 Elm Street Inc."/>
    <s v="Jim"/>
    <s v="Smith"/>
    <s v="7055611139"/>
    <s v="jsmith@dalron.com"/>
    <s v="43 Elm Street"/>
    <m/>
    <m/>
    <s v="SUDBURY"/>
    <s v="P3E4R7"/>
    <s v="43 Elm Street Inc."/>
    <s v="Large Office"/>
    <s v="43 Elm"/>
    <s v="Suite 100"/>
    <m/>
    <s v="SUDBURY"/>
    <s v="P3C1T6"/>
    <d v="2018-12-31T00:00:00"/>
    <s v="No"/>
    <m/>
    <m/>
    <m/>
    <m/>
    <m/>
    <m/>
    <m/>
    <m/>
    <n v="0"/>
    <n v="22318"/>
    <x v="1"/>
  </r>
  <r>
    <s v="Greater Sudbury Hydro Inc."/>
    <s v="Retrofit"/>
    <n v="203639"/>
    <s v="Pre-Project Review - Application Pre-Approved by LDC"/>
    <n v="3148.42"/>
    <s v="Yes"/>
    <d v="2019-01-07T16:14:55"/>
    <s v="Q1 2020"/>
    <s v="Q1 2020"/>
    <s v="Q1 2020"/>
    <s v="Habitat Boreal"/>
    <s v="Karen"/>
    <s v="Maki"/>
    <s v="7055660000"/>
    <s v="habitatboreal@vianet.ca"/>
    <s v="2146 Highgate Road"/>
    <m/>
    <m/>
    <s v="SUDBURY"/>
    <s v="P3B4H4"/>
    <s v="Habitat Boreal"/>
    <s v="Social Housing Provider"/>
    <s v="7-2146 Highgate"/>
    <m/>
    <m/>
    <s v="SUDBURY"/>
    <s v="P3B4H4"/>
    <d v="2019-02-07T00:00:00"/>
    <s v="No"/>
    <m/>
    <m/>
    <m/>
    <m/>
    <m/>
    <m/>
    <m/>
    <m/>
    <n v="0.18"/>
    <n v="19428.919999999998"/>
    <x v="1"/>
  </r>
  <r>
    <s v="Greater Sudbury Hydro Inc."/>
    <s v="Retrofit"/>
    <n v="203713"/>
    <s v="Pre-Project Review - Application Pre-Approved by LDC"/>
    <n v="4111.8"/>
    <s v="Yes"/>
    <d v="2019-01-09T13:14:50"/>
    <s v="Q2 2020"/>
    <s v="Q2 2020"/>
    <s v="Q3 2020"/>
    <s v="Weir Canada"/>
    <s v="Gary "/>
    <s v="Locking"/>
    <s v="7052620509"/>
    <s v="gary.locking@mail.weir"/>
    <s v="1739 Old Falconbridge Road"/>
    <m/>
    <m/>
    <s v="SUDBURY"/>
    <s v="P3A4R7"/>
    <s v="Weir Minerals Canada"/>
    <s v="Warehouse/Wholesale"/>
    <s v="1739 Old Falconbridge"/>
    <m/>
    <m/>
    <s v="SUDBURY"/>
    <s v="P3A4R7"/>
    <d v="2019-02-01T00:00:00"/>
    <s v="No"/>
    <m/>
    <m/>
    <n v="3738"/>
    <n v="373.80000000000018"/>
    <m/>
    <m/>
    <m/>
    <m/>
    <n v="7.68"/>
    <n v="37587.67"/>
    <x v="1"/>
  </r>
  <r>
    <s v="Greater Sudbury Hydro Inc."/>
    <s v="Retrofit"/>
    <n v="203721"/>
    <s v="Pre-Project Review - Application Pre-Approved by LDC"/>
    <n v="2333.1000000000004"/>
    <s v="Yes"/>
    <d v="2019-01-09T14:20:37"/>
    <s v="Q2 2020"/>
    <s v="Q2 2020"/>
    <s v="Q3 2020"/>
    <s v="Airco Holdings"/>
    <s v="Peter"/>
    <s v="Richter"/>
    <s v="7056732210"/>
    <s v="chip@airco-limited.com"/>
    <s v="1510 Old Falconbridge Road"/>
    <m/>
    <m/>
    <s v="SUDBURY"/>
    <s v="P3A4N8"/>
    <s v="MTR Construction"/>
    <s v="Small Office"/>
    <s v="2113 Lasalle "/>
    <m/>
    <m/>
    <s v="SUDBURY"/>
    <s v="P3A2A3"/>
    <d v="2019-01-21T00:00:00"/>
    <s v="No"/>
    <m/>
    <m/>
    <m/>
    <m/>
    <m/>
    <m/>
    <m/>
    <m/>
    <n v="3.44"/>
    <n v="14607.99"/>
    <x v="1"/>
  </r>
  <r>
    <s v="Greater Sudbury Hydro Inc."/>
    <s v="Retrofit"/>
    <n v="204063"/>
    <s v="Pre-Project Review - Application Pre-Approved by LDC"/>
    <n v="3629.4500000000003"/>
    <s v="Yes"/>
    <d v="2019-01-21T12:57:26"/>
    <s v="Q1 2020"/>
    <s v="Q1 2020"/>
    <s v="Q1 2020"/>
    <s v="Prism Cooperative Homes Inc."/>
    <s v="George"/>
    <s v="McMillan"/>
    <s v="7055245900"/>
    <s v="gmcmillan@personainternet.com"/>
    <s v="775 Cambrian Heights Drive"/>
    <m/>
    <m/>
    <s v="SUDBURY"/>
    <s v="P3C5R8"/>
    <s v="Prism Cooperative Homes"/>
    <s v="Social Housing Provider"/>
    <s v="775 Cambrian Heights"/>
    <m/>
    <m/>
    <s v="SUDBURY"/>
    <s v="P3C5R8"/>
    <d v="2019-01-28T00:00:00"/>
    <s v="No"/>
    <m/>
    <m/>
    <m/>
    <m/>
    <m/>
    <m/>
    <m/>
    <m/>
    <n v="1.6"/>
    <n v="31602"/>
    <x v="1"/>
  </r>
  <r>
    <s v="Greater Sudbury Hydro Inc."/>
    <s v="Retrofit"/>
    <n v="204184"/>
    <s v="Pre-Project Review - Application Pre-Approved by LDC"/>
    <n v="1650.0000000000002"/>
    <s v="Yes"/>
    <d v="2019-01-23T14:44:27"/>
    <s v="Q3 2019"/>
    <s v="Q3 2019"/>
    <s v="Q4 2019"/>
    <s v="The Royal Canadian Legion Branch 336"/>
    <s v="Ties"/>
    <s v="Van Dam"/>
    <s v="7056932114"/>
    <s v="rclbr336@persona.ca"/>
    <s v="66 Edison Road"/>
    <m/>
    <m/>
    <s v="Falconbridge"/>
    <s v="P0M1S0"/>
    <s v="The Royal Canadian Legion Branch 336"/>
    <s v="Commercial Other- Please Specify"/>
    <s v="66 Edison"/>
    <m/>
    <m/>
    <s v="Falconbridge"/>
    <s v="P0M1S0"/>
    <d v="2019-02-01T00:00:00"/>
    <s v="No"/>
    <m/>
    <m/>
    <n v="950"/>
    <n v="700.00000000000023"/>
    <m/>
    <m/>
    <d v="2019-07-01T00:00:00"/>
    <m/>
    <n v="0.59"/>
    <n v="2723.32"/>
    <x v="1"/>
  </r>
  <r>
    <s v="Greater Sudbury Hydro Inc."/>
    <s v="Retrofit"/>
    <n v="204290"/>
    <s v="Pre-Project Review - Application Pre-Approved by LDC"/>
    <n v="1672.0000000000002"/>
    <s v="Yes"/>
    <d v="2019-01-25T13:06:44"/>
    <s v="Q2 2020"/>
    <s v="Q2 2020"/>
    <s v="Q3 2020"/>
    <s v="The Sherwin-Williams Company - The Americas Group"/>
    <s v="Matthew"/>
    <s v="France"/>
    <s v="2163445629"/>
    <s v="matthew.j.france@sherwin.com"/>
    <s v="4440 Warrensville Ctr Road"/>
    <m/>
    <m/>
    <s v="Warrensville Heights"/>
    <n v="44128"/>
    <s v="SW8735"/>
    <s v="Small Retail"/>
    <s v="68 LORNE STREET"/>
    <m/>
    <m/>
    <s v="SUDBURY"/>
    <s v="P3C4N8"/>
    <d v="2019-02-01T00:00:00"/>
    <s v="No"/>
    <m/>
    <m/>
    <m/>
    <m/>
    <m/>
    <m/>
    <m/>
    <m/>
    <n v="3.8"/>
    <n v="16487"/>
    <x v="1"/>
  </r>
  <r>
    <s v="Greater Sudbury Hydro Inc."/>
    <s v="Retrofit"/>
    <n v="204718"/>
    <s v="Pre-Project Review - Application Pre-Approved by LDC"/>
    <n v="3710.3"/>
    <s v="Yes"/>
    <d v="2019-02-06T09:24:05"/>
    <s v="Q2 2020"/>
    <s v="Q2 2020"/>
    <s v="Q3 2020"/>
    <s v="Sudbury Prosthetic and Orthotic Design Ltd. "/>
    <s v="Dan"/>
    <s v="Mead"/>
    <s v="7056709990"/>
    <s v="dan.mead@sudburypando.com"/>
    <s v="1340 Kelly Lake Road"/>
    <m/>
    <m/>
    <s v="SUDBURY"/>
    <s v="P3E5P4"/>
    <s v="Sudbury Prosthetic and Orthotic Design Ltd. "/>
    <s v="Large Office"/>
    <s v="1340 Kelly Lake "/>
    <m/>
    <m/>
    <s v="SUDBURY"/>
    <s v="P3E5P4"/>
    <d v="2019-02-18T00:00:00"/>
    <s v="No"/>
    <m/>
    <m/>
    <m/>
    <m/>
    <m/>
    <m/>
    <m/>
    <m/>
    <n v="2.13"/>
    <n v="14588.74"/>
    <x v="1"/>
  </r>
  <r>
    <s v="Greater Sudbury Hydro Inc."/>
    <s v="Retrofit"/>
    <n v="204735"/>
    <s v="Pre-Project Review - Application Pre-Approved by LDC"/>
    <n v="5500"/>
    <s v="Yes"/>
    <d v="2019-02-06T11:18:17"/>
    <s v="Q1 2020"/>
    <s v="Q1 2020"/>
    <s v="Q2 2020"/>
    <s v="JASON FURLOTTE"/>
    <s v="JASON"/>
    <s v="FURLOTTE"/>
    <s v="7059198026"/>
    <s v="shinyarmour1@yahoo.ca"/>
    <s v="293 Willow Street"/>
    <m/>
    <m/>
    <s v="SUDBURY"/>
    <s v="P3C1K2"/>
    <s v="293 Willow Street"/>
    <s v="Warehouse/Wholesale"/>
    <s v="293 Willow"/>
    <m/>
    <m/>
    <s v="SUDBURY"/>
    <s v="P3C1K2"/>
    <d v="2019-02-15T00:00:00"/>
    <s v="No"/>
    <m/>
    <m/>
    <m/>
    <m/>
    <m/>
    <m/>
    <m/>
    <m/>
    <n v="3.12"/>
    <n v="14333.28"/>
    <x v="1"/>
  </r>
  <r>
    <s v="Greater Sudbury Hydro Inc."/>
    <s v="Retrofit"/>
    <n v="204924"/>
    <s v="Pre-Project Review - Application Pre-Approved by LDC"/>
    <n v="4072.6950000000002"/>
    <s v="Yes"/>
    <d v="2019-02-11T17:44:47"/>
    <s v="Q3 2019"/>
    <s v="Q3 2019"/>
    <s v="Q4 2019"/>
    <s v="Weston Bakeries Ltd."/>
    <s v="John"/>
    <s v="Ireland"/>
    <s v="7056734185"/>
    <s v="john.ireland@westonbakeries.com"/>
    <s v="695 Martindale Road"/>
    <m/>
    <m/>
    <s v="SUDBURY"/>
    <s v="P3E4H6"/>
    <s v="Weston Bakeries"/>
    <s v="Food and Beverage"/>
    <s v="695 Martindale"/>
    <m/>
    <m/>
    <s v="SUDBURY"/>
    <s v="P3E4H6"/>
    <d v="2019-02-15T00:00:00"/>
    <s v="No"/>
    <m/>
    <m/>
    <m/>
    <m/>
    <m/>
    <m/>
    <m/>
    <m/>
    <n v="8.5"/>
    <n v="74049"/>
    <x v="0"/>
  </r>
  <r>
    <s v="Greater Sudbury Hydro Inc."/>
    <s v="Retrofit"/>
    <n v="204931"/>
    <s v="Post-Project Submission - Saved as Draft"/>
    <n v="1826.0000000000002"/>
    <s v="Yes"/>
    <d v="2019-02-12T10:23:10"/>
    <s v="Q1 2020"/>
    <s v="Q1 2020"/>
    <s v="Q1 2020"/>
    <s v="Weston Bakeries Ltd."/>
    <s v="John"/>
    <s v="Ireland"/>
    <s v="7056734185"/>
    <s v="john.ireland@westonbakeries.com"/>
    <s v="695 Martindale Road"/>
    <m/>
    <m/>
    <s v="SUDBURY"/>
    <s v="P3E4H6"/>
    <s v="Weston Bakeries"/>
    <s v="Food and Beverage"/>
    <s v="695 Martindale "/>
    <m/>
    <m/>
    <s v="SUDBURY"/>
    <s v="P3E4H6"/>
    <d v="2019-02-15T00:00:00"/>
    <s v="No"/>
    <m/>
    <m/>
    <m/>
    <m/>
    <m/>
    <m/>
    <m/>
    <m/>
    <n v="3.8"/>
    <n v="33288"/>
    <x v="0"/>
  </r>
  <r>
    <s v="Greater Sudbury Hydro Inc."/>
    <s v="Retrofit"/>
    <n v="204958"/>
    <s v="Pre-Project Review - Application Pre-Approved by LDC"/>
    <n v="3777.7960000000003"/>
    <s v="Yes"/>
    <d v="2019-02-13T09:00:16"/>
    <s v="Q3 2020"/>
    <s v="Q3 2020"/>
    <s v="Q4 2020"/>
    <s v="Sudbury Developmental Services"/>
    <s v="Mila"/>
    <s v="Wong"/>
    <s v="7056741451"/>
    <s v="mcwong@cgsds.ca"/>
    <s v="245 Mountain Street"/>
    <m/>
    <m/>
    <s v="SUDBURY"/>
    <s v="P3B2T8"/>
    <s v="Sudbury Developmental Services"/>
    <s v="Social Housing Provider"/>
    <s v="685 Notre Dame"/>
    <m/>
    <m/>
    <s v="SUDBURY"/>
    <s v="P3A2T2"/>
    <d v="2019-02-15T00:00:00"/>
    <s v="No"/>
    <m/>
    <m/>
    <n v="3434.36"/>
    <n v="343.43600000000015"/>
    <m/>
    <m/>
    <d v="2019-06-01T00:00:00"/>
    <m/>
    <n v="5.17"/>
    <n v="17649.78"/>
    <x v="1"/>
  </r>
  <r>
    <s v="Greater Sudbury Hydro Inc."/>
    <s v="Retrofit"/>
    <n v="205499"/>
    <s v="Pre-Project Review - Application Pre-Approved by LDC"/>
    <n v="583"/>
    <s v="Yes"/>
    <d v="2019-03-01T13:59:28"/>
    <s v="Q2 2020"/>
    <s v="Q2 2020"/>
    <s v="Q3 2020"/>
    <s v="Bellmedia Inc."/>
    <s v="Alain"/>
    <s v="Vincent"/>
    <s v="7056748301"/>
    <s v="alain.vincent@bellmedia.ca"/>
    <s v="699 Frood Road"/>
    <m/>
    <m/>
    <s v="SUDBURY"/>
    <s v="P3C5A3"/>
    <s v="Bell Media"/>
    <s v="Small Office"/>
    <s v="699 Frood "/>
    <m/>
    <m/>
    <s v="SUDBURY"/>
    <s v="P3C5A3"/>
    <d v="2019-03-15T00:00:00"/>
    <s v="No"/>
    <m/>
    <m/>
    <m/>
    <m/>
    <m/>
    <m/>
    <m/>
    <m/>
    <n v="0.80800000000000005"/>
    <n v="6078.24"/>
    <x v="0"/>
  </r>
  <r>
    <s v="Greater Sudbury Hydro Inc."/>
    <s v="Retrofit"/>
    <n v="205576"/>
    <s v="Pre-Project Review - Application Pre-Approved by LDC"/>
    <n v="2074.6000000000004"/>
    <s v="Yes"/>
    <d v="2019-03-05T10:05:31"/>
    <s v="Q3 2020"/>
    <s v="Q3 2020"/>
    <s v="Q4 2020"/>
    <s v="Sudbury Orthodontics"/>
    <s v="David"/>
    <s v="D'Aloisio"/>
    <s v="7056716261"/>
    <s v="dave@thesmilecentre.ca"/>
    <s v="250 Notre Dame Avenue"/>
    <m/>
    <m/>
    <s v="SUDBURY"/>
    <s v="P3C5K5"/>
    <s v="Sudbury Orthodontics"/>
    <s v="Small Office"/>
    <s v="250 Notre Dame"/>
    <m/>
    <m/>
    <s v="SUDBURY"/>
    <s v="P3C5K5"/>
    <d v="2019-03-11T00:00:00"/>
    <s v="No"/>
    <m/>
    <m/>
    <n v="1901"/>
    <n v="173.60000000000036"/>
    <m/>
    <m/>
    <d v="2019-06-01T00:00:00"/>
    <m/>
    <n v="3.37"/>
    <n v="11047.96"/>
    <x v="1"/>
  </r>
  <r>
    <s v="Greater Sudbury Hydro Inc."/>
    <s v="Retrofit"/>
    <n v="205649"/>
    <s v="Pre-Project Review - Application Pre-Approved by LDC"/>
    <n v="6610.648000000001"/>
    <s v="Yes"/>
    <d v="2019-03-06T12:58:45"/>
    <s v="Q3 2020"/>
    <s v="Q3 2020"/>
    <s v="Q3 2020"/>
    <s v="Health Sciences North"/>
    <s v="Jeff"/>
    <s v="Dunn"/>
    <s v="7055237100"/>
    <s v="jdunn@hsnsudbury.ca"/>
    <s v="41 Ramsey Lake Road"/>
    <m/>
    <m/>
    <s v="SUDBURY"/>
    <s v="P3E5J1"/>
    <s v="Health Sciences North"/>
    <s v="Hospital"/>
    <s v="41 Ramsey Lake "/>
    <m/>
    <m/>
    <s v="SUDBURY"/>
    <s v="P3E5J1"/>
    <d v="2019-03-18T00:00:00"/>
    <s v="No"/>
    <m/>
    <m/>
    <m/>
    <m/>
    <m/>
    <m/>
    <m/>
    <m/>
    <n v="0"/>
    <n v="60096.76"/>
    <x v="0"/>
  </r>
  <r>
    <s v="Greater Sudbury Hydro Inc."/>
    <s v="Retrofit"/>
    <n v="205685"/>
    <s v="Pre-Project Review - Application Pre-Approved by LDC"/>
    <n v="660"/>
    <s v="Yes"/>
    <d v="2019-03-07T09:52:42"/>
    <s v="Q3 2020"/>
    <s v="Q3 2020"/>
    <s v="Q4 2020"/>
    <s v="Borealis"/>
    <s v="Maureen"/>
    <s v="Clement"/>
    <s v="7052220108"/>
    <s v="info@borealislighttherapy.com"/>
    <s v="754 Falconbridge Road"/>
    <m/>
    <m/>
    <s v="SUDBURY"/>
    <s v="P3A5K8"/>
    <s v="Borealis"/>
    <s v="Industrial Strip Mall/Unit"/>
    <s v="754 Falconbridge rd"/>
    <s v="unit 6a"/>
    <m/>
    <s v="SUDBURY"/>
    <s v="P3A5K8"/>
    <d v="2019-03-11T08:00:00"/>
    <s v="No"/>
    <m/>
    <m/>
    <s v="Cancel"/>
    <m/>
    <m/>
    <m/>
    <m/>
    <m/>
    <m/>
    <m/>
    <x v="2"/>
  </r>
  <r>
    <s v="Greater Sudbury Hydro Inc."/>
    <s v="Retrofit"/>
    <n v="205734"/>
    <s v="Pre-Project Review - Application Pre-Approved by LDC"/>
    <n v="2596"/>
    <s v="Yes"/>
    <d v="2019-03-07T20:47:09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194 Kingsway "/>
    <m/>
    <m/>
    <s v="SUDBURY"/>
    <s v="P3B2E8"/>
    <d v="2019-04-15T00:00:00"/>
    <s v="No"/>
    <m/>
    <m/>
    <m/>
    <m/>
    <m/>
    <m/>
    <m/>
    <m/>
    <n v="1.4690000000000001"/>
    <n v="6700.808"/>
    <x v="0"/>
  </r>
  <r>
    <s v="Greater Sudbury Hydro Inc."/>
    <s v="Retrofit"/>
    <n v="205735"/>
    <s v="Pre-Project Review - Application Pre-Approved by LDC"/>
    <n v="1837.0000000000002"/>
    <s v="Yes"/>
    <d v="2019-03-07T20:54:25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194 Kingsway "/>
    <m/>
    <m/>
    <s v="SUDBURY"/>
    <s v="P3B2E8"/>
    <d v="2019-04-15T00:00:00"/>
    <s v="No"/>
    <m/>
    <m/>
    <m/>
    <m/>
    <m/>
    <m/>
    <m/>
    <m/>
    <n v="0"/>
    <n v="18702.599999999999"/>
    <x v="0"/>
  </r>
  <r>
    <s v="Greater Sudbury Hydro Inc."/>
    <s v="Retrofit"/>
    <n v="205737"/>
    <s v="Pre-Project Review - Application Pre-Approved by LDC"/>
    <n v="2640"/>
    <s v="Yes"/>
    <d v="2019-03-07T21:01:19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914 Newgate"/>
    <m/>
    <m/>
    <s v="SUDBURY"/>
    <s v="P3A5J9"/>
    <d v="2019-04-22T00:00:00"/>
    <s v="No"/>
    <m/>
    <m/>
    <m/>
    <m/>
    <m/>
    <m/>
    <m/>
    <m/>
    <n v="1.4870000000000001"/>
    <n v="6831.7370000000001"/>
    <x v="0"/>
  </r>
  <r>
    <s v="Greater Sudbury Hydro Inc."/>
    <s v="Retrofit"/>
    <n v="205738"/>
    <s v="Pre-Project Review - Application Pre-Approved by LDC"/>
    <n v="2112"/>
    <s v="Yes"/>
    <d v="2019-03-07T21:07:00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914 Newgate"/>
    <m/>
    <m/>
    <s v="SUDBURY"/>
    <s v="P3A5J9"/>
    <d v="2019-04-22T00:00:00"/>
    <s v="No"/>
    <m/>
    <m/>
    <m/>
    <m/>
    <m/>
    <m/>
    <m/>
    <m/>
    <n v="0"/>
    <n v="21289.8"/>
    <x v="0"/>
  </r>
  <r>
    <s v="Greater Sudbury Hydro Inc."/>
    <s v="Retrofit"/>
    <n v="205739"/>
    <s v="Pre-Project Review - Application Pre-Approved by LDC"/>
    <n v="1540.0000000000002"/>
    <s v="Yes"/>
    <d v="2019-03-07T21:12:50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740 Regent"/>
    <m/>
    <m/>
    <s v="SUDBURY"/>
    <s v="P3E3Z8"/>
    <d v="2019-04-29T00:00:00"/>
    <s v="No"/>
    <m/>
    <m/>
    <m/>
    <m/>
    <m/>
    <m/>
    <m/>
    <m/>
    <n v="0.85799999999999998"/>
    <n v="3941.652"/>
    <x v="0"/>
  </r>
  <r>
    <s v="Greater Sudbury Hydro Inc."/>
    <s v="Retrofit"/>
    <n v="205740"/>
    <s v="Pre-Project Review - Application Pre-Approved by LDC"/>
    <n v="1534.5000000000002"/>
    <s v="Yes"/>
    <d v="2019-03-07T21:21:17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740 Regent"/>
    <m/>
    <m/>
    <s v="SUDBURY"/>
    <s v="P3E3Z8"/>
    <d v="2019-04-29T00:00:00"/>
    <s v="No"/>
    <m/>
    <m/>
    <m/>
    <m/>
    <m/>
    <m/>
    <m/>
    <m/>
    <n v="0"/>
    <n v="15456"/>
    <x v="0"/>
  </r>
  <r>
    <s v="Greater Sudbury Hydro Inc."/>
    <s v="Retrofit"/>
    <n v="205943"/>
    <s v="Pre-Project Review - Application Pre-Approved by LDC"/>
    <n v="2295.7000000000003"/>
    <s v="Yes"/>
    <d v="2019-03-13T17:00:41"/>
    <s v="Q2 2020"/>
    <s v="Q2 2020"/>
    <s v="Q3 2020"/>
    <s v="1854108 Ontario Limited"/>
    <s v="Cliff"/>
    <s v="Richardson"/>
    <s v="7055618711"/>
    <s v="apts@hotmail.ca"/>
    <s v="71 Nepahwin Avenue"/>
    <m/>
    <m/>
    <s v="SUDBURY"/>
    <s v="P3E2H5"/>
    <s v="1250 Lasalle Boulevard"/>
    <s v="Large  Retail"/>
    <s v="1250 Lasalle"/>
    <m/>
    <m/>
    <s v="SUDBURY"/>
    <s v="P3A3M5"/>
    <d v="2018-08-07T00:00:00"/>
    <s v="No"/>
    <m/>
    <m/>
    <n v="2087"/>
    <n v="208.70000000000027"/>
    <m/>
    <m/>
    <m/>
    <m/>
    <n v="1.25"/>
    <n v="10663.41"/>
    <x v="1"/>
  </r>
  <r>
    <s v="Greater Sudbury Hydro Inc."/>
    <s v="Retrofit"/>
    <n v="206002"/>
    <s v="Pre-Project Review - Application Pre-Approved by LDC"/>
    <n v="715.00000000000011"/>
    <s v="Yes"/>
    <d v="2019-03-15T16:00:44"/>
    <s v="Q2 2020"/>
    <s v="Q2 2020"/>
    <s v="Q3 2020"/>
    <s v="1582610 Ontario Inc."/>
    <s v="Andrea"/>
    <s v="Guinard"/>
    <s v="7055229998"/>
    <s v="ronbrunette@vianet.ca"/>
    <s v="1893 Regent Street"/>
    <m/>
    <m/>
    <s v="SUDBURY"/>
    <s v="P3E3Z7"/>
    <s v="Heatwave Tanning Salon"/>
    <s v="Small Retail"/>
    <s v="893 Notre Dame"/>
    <m/>
    <m/>
    <s v="SUDBURY"/>
    <s v="P3A2T6"/>
    <d v="2019-03-22T00:00:00"/>
    <s v="No"/>
    <m/>
    <m/>
    <m/>
    <m/>
    <m/>
    <m/>
    <m/>
    <m/>
    <n v="0.40600000000000003"/>
    <n v="1863.326"/>
    <x v="1"/>
  </r>
  <r>
    <s v="Greater Sudbury Hydro Inc."/>
    <s v="Retrofit"/>
    <n v="206131"/>
    <s v="Pre-Project Application - Submitted to LDC for Pre-Approval"/>
    <n v="24417.47"/>
    <s v="Yes"/>
    <d v="2019-03-20T13:26:18"/>
    <s v="Q3 2020"/>
    <s v="Q3 2020"/>
    <s v="Q3 2020"/>
    <s v="City of Greater Sudbury"/>
    <s v="Sajeev"/>
    <s v="Shivshankaran"/>
    <n v="7056774648"/>
    <s v="sajeev.shivshankaran@greatersudbury.ca"/>
    <s v="200 Brady Street"/>
    <m/>
    <m/>
    <s v="SUDBURY"/>
    <s v="P3A5P3"/>
    <s v="City of Greater Sudbury"/>
    <s v="Other please specify"/>
    <s v="1271 Kelly Lake"/>
    <m/>
    <m/>
    <s v="SUDBURY"/>
    <s v="P3E5P4"/>
    <d v="2019-03-21T00:00:00"/>
    <s v="No"/>
    <m/>
    <m/>
    <m/>
    <m/>
    <m/>
    <m/>
    <m/>
    <m/>
    <n v="0"/>
    <n v="221977"/>
    <x v="1"/>
  </r>
  <r>
    <s v="Greater Sudbury Hydro Inc."/>
    <s v="Retrofit"/>
    <n v="206166"/>
    <s v="Pre-Project Application - Submitted to LDC for Pre-Approval"/>
    <n v="1045"/>
    <s v="Yes"/>
    <d v="2019-03-20T16:27:16"/>
    <s v="Q4 2019"/>
    <s v="Q4 2019"/>
    <s v="Q1 2020"/>
    <s v="ConverGen Inc."/>
    <s v="James"/>
    <s v="Walker"/>
    <s v="7056757536"/>
    <s v="james.walker@gsuinc.ca"/>
    <s v="500 Regent Street"/>
    <m/>
    <m/>
    <s v="SUDBURY"/>
    <s v="P3E3Y2"/>
    <s v="ConverGen Inc."/>
    <s v="Small Office"/>
    <s v="111-359 Riverside"/>
    <m/>
    <m/>
    <s v="SUDBURY"/>
    <s v="P3E1H5"/>
    <d v="2019-04-08T00:00:00"/>
    <s v="No"/>
    <m/>
    <m/>
    <m/>
    <m/>
    <m/>
    <m/>
    <m/>
    <m/>
    <n v="0.59299999999999997"/>
    <n v="2723.3229999999999"/>
    <x v="1"/>
  </r>
  <r>
    <s v="Greater Sudbury Hydro Inc."/>
    <s v="Retrofit"/>
    <n v="206217"/>
    <s v="Pre-Project Application - Submitted to LDC for Pre-Approval"/>
    <n v="5057.8"/>
    <s v="Yes"/>
    <d v="2019-03-22T10:13:11"/>
    <s v="Q3 2019"/>
    <s v="Q3 2019"/>
    <s v="Q4 2019"/>
    <s v="Norcon Development Group Ltd."/>
    <s v="John"/>
    <s v="Nipius"/>
    <s v="7055608743"/>
    <s v="jnipius@tribury.com"/>
    <s v="1549 Fairburn Avenue"/>
    <m/>
    <m/>
    <s v="SUDBURY"/>
    <s v="P3A1N6"/>
    <s v="Norcon Development Group Ltd."/>
    <s v="Large Office"/>
    <s v="531 Notre Dame"/>
    <m/>
    <m/>
    <s v="SUDBURY"/>
    <s v="P3C5L1"/>
    <d v="2019-04-01T00:00:00"/>
    <s v="No"/>
    <m/>
    <m/>
    <m/>
    <m/>
    <m/>
    <m/>
    <m/>
    <m/>
    <n v="3.278"/>
    <n v="15060.050999999999"/>
    <x v="1"/>
  </r>
  <r>
    <s v="Greater Sudbury Hydro Inc."/>
    <s v="Retrofit"/>
    <n v="206603"/>
    <s v="Pre-Project Application - Submitted to LDC for Pre-Approval"/>
    <n v="1610.4"/>
    <s v="Yes"/>
    <d v="2019-03-27T16:52:14"/>
    <s v="Q3 2020"/>
    <s v="Q3 2020"/>
    <s v="Q4 2020"/>
    <s v="RHP TRAINING CENTRE INC"/>
    <s v="Marc"/>
    <s v="Savard"/>
    <s v="7055239427"/>
    <s v="m.savard@rhptraining.com"/>
    <s v="1351 Kelly Lake Road"/>
    <s v="Unit F"/>
    <m/>
    <s v="SUDBURY"/>
    <s v="P3E5P5"/>
    <s v="RHP TRAINING CENTRE INC"/>
    <s v="Entertainment/Sport"/>
    <s v="F-1351 Kelly Lake"/>
    <m/>
    <m/>
    <s v="SUDBURY"/>
    <s v="P3E5P5"/>
    <d v="2019-04-01T00:00:00"/>
    <s v="No"/>
    <m/>
    <m/>
    <m/>
    <m/>
    <m/>
    <m/>
    <m/>
    <m/>
    <n v="3.66"/>
    <n v="16814.400000000001"/>
    <x v="0"/>
  </r>
  <r>
    <s v="Greater Sudbury Hydro Inc."/>
    <s v="Retrofit"/>
    <n v="206635"/>
    <s v="Pre-Project Application - Submitted to LDC for Pre-Approval"/>
    <n v="4433"/>
    <s v="Yes"/>
    <d v="2019-03-28T08:46:03"/>
    <s v="Q1 2020"/>
    <s v="Q1 2020"/>
    <s v="Q1 2020"/>
    <s v="Elsa Anzil Elm Street Ltd. "/>
    <s v="Frank"/>
    <s v="Anzil"/>
    <s v="7056710175"/>
    <s v="frankanzil@gmail.com"/>
    <s v="146 Elm Street"/>
    <s v="Unit A"/>
    <m/>
    <s v="SUDBURY"/>
    <s v="P3C1T7"/>
    <s v="Elsa Anzil Elm Street Ltd. "/>
    <s v="Large Office"/>
    <s v="144-146 Elm "/>
    <m/>
    <m/>
    <s v="SUDBURY"/>
    <s v="P3C1T7"/>
    <d v="2019-04-08T00:00:00"/>
    <s v="No"/>
    <m/>
    <m/>
    <m/>
    <m/>
    <m/>
    <m/>
    <m/>
    <m/>
    <n v="2.5390000000000001"/>
    <n v="11663.246999999999"/>
    <x v="1"/>
  </r>
  <r>
    <s v="Greater Sudbury Hydro Inc."/>
    <s v="Retrofit"/>
    <n v="206767"/>
    <s v="Pre-Project Review - Application Pre-Approved by LDC"/>
    <n v="2285.8000000000002"/>
    <s v="Yes"/>
    <d v="2019-03-28T00:00:00"/>
    <s v="Q2 2020"/>
    <s v="Q2 2020"/>
    <s v="Q3 2020"/>
    <s v="Coldwell Banker"/>
    <s v="Douglas"/>
    <s v="Marsh"/>
    <n v="7055666111"/>
    <s v="drdrake15@hotmail.com"/>
    <s v="1090 Lasalle Boulevard"/>
    <m/>
    <m/>
    <s v="SUDBURY"/>
    <s v="P3A1X9"/>
    <s v="Coldwell Banker"/>
    <s v="Small Office"/>
    <s v="1090 Lasalle Boulevard"/>
    <m/>
    <m/>
    <s v="SUDBURY"/>
    <s v="P3A1X9"/>
    <d v="2019-04-08T00:00:00"/>
    <s v="No"/>
    <m/>
    <m/>
    <n v="2210"/>
    <n v="75.800000000000182"/>
    <m/>
    <d v="2019-05-24T00:00:00"/>
    <d v="2019-05-01T00:00:00"/>
    <m/>
    <n v="1.37"/>
    <n v="6302.05"/>
    <x v="1"/>
  </r>
  <r>
    <s v="Greater Sudbury Hydro Inc."/>
    <s v="Retrofit"/>
    <n v="207113"/>
    <s v="Pre-Project Review - Application Pre-Approved by LDC"/>
    <n v="1320"/>
    <s v="Yes"/>
    <d v="2019-03-29T00:00:00"/>
    <s v="Q4 2020"/>
    <s v="Q4 2020"/>
    <s v="Q1 2021"/>
    <s v="Mid North Motors Sudbury Ltd"/>
    <s v="Chris"/>
    <s v="Scagnetti"/>
    <n v="7055602100"/>
    <s v="cscagnetti@midnorthmotors.com"/>
    <s v="2100 Kingsway Boulevard"/>
    <m/>
    <m/>
    <s v="SUDBURY"/>
    <s v="P3B2G2"/>
    <s v="Mid North Motors Sudbury"/>
    <s v="Large Office"/>
    <s v="2100 Kingsway Boulevard"/>
    <m/>
    <m/>
    <s v="SUDBURY"/>
    <s v="P3A2G2"/>
    <d v="2019-04-08T00:00:00"/>
    <s v="No"/>
    <m/>
    <m/>
    <n v="1200"/>
    <n v="120"/>
    <m/>
    <d v="2019-05-24T00:00:00"/>
    <m/>
    <m/>
    <n v="3"/>
    <n v="13782"/>
    <x v="0"/>
  </r>
  <r>
    <s v="Greater Sudbury Hydro Inc. "/>
    <s v="Small Business Lighting"/>
    <s v="GSH-2019-004"/>
    <s v="Work Order Signed"/>
    <n v="1078"/>
    <s v="Yes"/>
    <d v="2019-02-05T00:00:00"/>
    <s v="Q2 2019"/>
    <s v="Q2 2019"/>
    <s v="Q2 2019"/>
    <s v="La Moda Hair Studio"/>
    <s v="Lianne "/>
    <s v="Depatie"/>
    <n v="7055232400"/>
    <s v="lamodahairstudio@hotmail.com"/>
    <s v="2029 Long Lake Road"/>
    <m/>
    <m/>
    <s v="SUDBURY"/>
    <s v="P3E 4M8"/>
    <s v="La Moda Hair Studio"/>
    <s v="Beauty Parlors"/>
    <s v="2029 Long Lake Road"/>
    <m/>
    <m/>
    <s v="SUDBURY"/>
    <s v="P3E 4M8"/>
    <d v="2019-02-05T00:00:00"/>
    <s v="No"/>
    <m/>
    <m/>
    <n v="1078"/>
    <n v="0"/>
    <m/>
    <m/>
    <d v="2019-04-01T00:00:00"/>
    <m/>
    <m/>
    <n v="3743.48"/>
    <x v="1"/>
  </r>
  <r>
    <s v="Greater Sudbury Hydro Inc. "/>
    <s v="Small Business Lighting"/>
    <s v="GSH-2019-005"/>
    <s v="Work Order Signed"/>
    <n v="1820"/>
    <s v="Yes"/>
    <d v="2019-02-05T00:00:00"/>
    <s v="Q2 2019"/>
    <s v="Q2 2019"/>
    <s v="Q2 2019"/>
    <s v="Show Room Shine"/>
    <s v="Owen"/>
    <s v="Martin"/>
    <n v="7055247469"/>
    <s v="N/A"/>
    <s v="868 Falconbridge Road"/>
    <s v="Unit 2"/>
    <m/>
    <s v="SUDBURY"/>
    <s v="P3A 5K7"/>
    <s v="Show Room Shine"/>
    <s v="Automobile Repair Shop"/>
    <s v="868 Falconbridge Road"/>
    <s v="Unit 2"/>
    <m/>
    <s v="SUDBURY"/>
    <s v="P3A 5K7"/>
    <d v="2019-02-05T00:00:00"/>
    <s v="No"/>
    <m/>
    <m/>
    <n v="1820"/>
    <n v="0"/>
    <m/>
    <m/>
    <d v="2019-04-01T00:00:00"/>
    <m/>
    <n v="1.37"/>
    <n v="1820"/>
    <x v="1"/>
  </r>
  <r>
    <s v="Greater Sudbury Hydro Inc. "/>
    <s v="Small Business Lighting"/>
    <s v="GSH-2019-009"/>
    <s v="Work Order Signed"/>
    <n v="787"/>
    <s v="Yes"/>
    <d v="2019-02-12T00:00:00"/>
    <s v="Q2 2019"/>
    <s v="Q2 2019"/>
    <s v="Q2 2019"/>
    <s v="Homelife Green Team Reality Inc."/>
    <s v="Jesse"/>
    <s v="Martel"/>
    <n v="7055624547"/>
    <s v="twism182@hotmail.com"/>
    <s v="765 Barrydowne Road"/>
    <s v="Unit 201"/>
    <m/>
    <s v="SUDBURY"/>
    <s v="P3A 3T6"/>
    <s v="Homelife Green Team Reality Inc."/>
    <s v="Offices (small suite)"/>
    <s v="765 Barrydowne Road"/>
    <s v="Unit 201"/>
    <m/>
    <s v="SUDBURY"/>
    <s v="P3A 3T6"/>
    <d v="2019-02-12T00:00:00"/>
    <s v="No"/>
    <m/>
    <m/>
    <n v="787"/>
    <n v="0"/>
    <m/>
    <m/>
    <d v="2019-04-01T00:00:00"/>
    <m/>
    <n v="0.79"/>
    <n v="2233.79"/>
    <x v="1"/>
  </r>
  <r>
    <s v="Greater Sudbury Hydro Inc. "/>
    <s v="Small Business Lighting"/>
    <s v="GSH-2019-010"/>
    <s v="Work Order Signed"/>
    <n v="1982"/>
    <s v="Yes"/>
    <d v="2019-02-25T00:00:00"/>
    <s v="Q2 2019"/>
    <s v="Q2 2019"/>
    <s v="Q2 2019"/>
    <s v="St. Alban's Church"/>
    <s v="Gil"/>
    <s v="Hartley"/>
    <n v="7056907428"/>
    <s v="hartley.g.d1@gmail.com"/>
    <s v="34 Dennie Street"/>
    <m/>
    <m/>
    <s v="Capreol"/>
    <s v="P0M 1H0"/>
    <s v="St. Alban's Church"/>
    <s v="Places of Worship"/>
    <s v="34 Dennie Street"/>
    <m/>
    <m/>
    <s v="Capreol"/>
    <s v="P0M 1H0"/>
    <d v="2019-02-25T00:00:00"/>
    <s v="No"/>
    <m/>
    <m/>
    <n v="1982"/>
    <n v="0"/>
    <m/>
    <m/>
    <d v="2019-04-01T00:00:00"/>
    <m/>
    <n v="1.77"/>
    <n v="5001.3"/>
    <x v="1"/>
  </r>
  <r>
    <s v="Greater Sudbury Hydro Inc. "/>
    <s v="Small Business Lighting"/>
    <s v="GSH-2019-012"/>
    <s v="Work Order Signed"/>
    <n v="1850"/>
    <s v="Yes"/>
    <d v="2019-03-04T00:00:00"/>
    <s v="Q2 2019"/>
    <s v="Q2 2019"/>
    <s v="Q2 2019"/>
    <s v="Soucie Salo Safety"/>
    <s v="Ashley"/>
    <s v="Mcrae"/>
    <n v="7056748092"/>
    <s v="ashley@souciesalosafety.com"/>
    <s v="1300 Lorne Street"/>
    <m/>
    <m/>
    <s v="SUDBURY"/>
    <s v="P3C 5N1"/>
    <s v="Soucie Salo Safety"/>
    <s v="Warehouses"/>
    <s v="1300 Lorne Street"/>
    <m/>
    <m/>
    <s v="SUDBURY"/>
    <s v="P3C 5N1"/>
    <d v="2019-03-04T00:00:00"/>
    <s v="No"/>
    <m/>
    <m/>
    <n v="1950"/>
    <n v="-100"/>
    <m/>
    <m/>
    <d v="2019-04-01T00:00:00"/>
    <m/>
    <n v="0"/>
    <n v="10012.68"/>
    <x v="1"/>
  </r>
  <r>
    <s v="Greater Sudbury Hydro Inc. "/>
    <s v="Small Business Lighting"/>
    <s v="GSH-2019-015"/>
    <s v="Work Order Signed"/>
    <n v="2015"/>
    <s v="Yes"/>
    <d v="2019-03-18T00:00:00"/>
    <s v="Q2 2019"/>
    <s v="Q2 2019"/>
    <s v="Q2 2019"/>
    <s v="Kitchen Bits"/>
    <s v="Heather"/>
    <s v="Scott"/>
    <n v="7056743743"/>
    <s v="heather@kitchenbits.ca"/>
    <s v="1390 Kingsway Avenue"/>
    <m/>
    <m/>
    <s v="SUDBURY"/>
    <s v="P3B 0A3"/>
    <s v="Kitchen Bits"/>
    <s v="Small Retail Stores"/>
    <s v="1390 Kingsway Avenue"/>
    <m/>
    <m/>
    <s v="SUDBURY"/>
    <s v="P3B 0A3"/>
    <d v="2019-03-18T00:00:00"/>
    <s v="No"/>
    <m/>
    <m/>
    <n v="2015"/>
    <n v="0"/>
    <m/>
    <m/>
    <m/>
    <m/>
    <n v="1.45"/>
    <n v="4075.02"/>
    <x v="1"/>
  </r>
  <r>
    <s v="Greater Sudbury Hydro Inc. "/>
    <s v="Audit Funding"/>
    <s v="GSH-Audit-2016-002"/>
    <s v="Application Pre-Approved"/>
    <n v="3475"/>
    <s v="Yes"/>
    <d v="2016-11-14T00:00:00"/>
    <s v="Q2 2019"/>
    <s v="Q2 2019"/>
    <s v="Q3 2019"/>
    <s v="Sudbury Catholic District School Board"/>
    <s v="RIchard"/>
    <s v="Driscoll"/>
    <s v="7056735620 ext 415"/>
    <s v="richard.driscoll@sudburycatholicschools.ca"/>
    <s v="165 D'Youville Street"/>
    <m/>
    <m/>
    <s v="SUDBURY"/>
    <s v="P3C5E7"/>
    <s v="Holy Cross Elementary School"/>
    <s v="School (K-12)"/>
    <s v="2997 Algonquin Road"/>
    <m/>
    <m/>
    <s v="SUDBURY"/>
    <s v="P3E4X5"/>
    <d v="2016-11-14T00:00:00"/>
    <s v="No"/>
    <m/>
    <m/>
    <m/>
    <m/>
    <m/>
    <m/>
    <m/>
    <m/>
    <m/>
    <m/>
    <x v="2"/>
  </r>
  <r>
    <s v="Greater Sudbury Hydro Inc. "/>
    <s v="Audit Funding"/>
    <s v="GSH-Audit-2017-001"/>
    <s v="Application Pre-Approved"/>
    <n v="3044.29"/>
    <s v="Yes"/>
    <d v="2017-12-19T00:00:00"/>
    <s v="Q2 2019"/>
    <s v="Q2 2019"/>
    <s v="Q2 2019"/>
    <s v="Jones Lang Lasalle Real Estate Services Inc."/>
    <s v="David"/>
    <s v="Faltenhine"/>
    <n v="4164625120"/>
    <s v="david.faltenhine@jll.com"/>
    <s v="969 Eastern Avenue"/>
    <m/>
    <m/>
    <s v="Toronto"/>
    <s v="M5A 1A5"/>
    <s v="MPP Sudbury"/>
    <s v="Mail Processing Facility"/>
    <s v="1790 Lasalle Boulevard"/>
    <m/>
    <m/>
    <s v="SUDBURY"/>
    <s v="P3A 2A0"/>
    <d v="2017-11-06T00:00:00"/>
    <s v="No"/>
    <m/>
    <m/>
    <n v="3044.29"/>
    <n v="0"/>
    <m/>
    <d v="2019-04-23T00:00:00"/>
    <d v="2019-04-01T00:00:00"/>
    <m/>
    <m/>
    <m/>
    <x v="2"/>
  </r>
  <r>
    <s v="Greater Sudbury Hydro Inc. "/>
    <s v="Audit Funding"/>
    <s v="GSH-Audit-2019-001"/>
    <s v="Application Pre-Approved"/>
    <n v="3199"/>
    <s v="Yes"/>
    <d v="2019-01-02T00:00:00"/>
    <s v="Q2 2020"/>
    <s v="Q2 2020"/>
    <s v="Q2 2020"/>
    <s v="Health Sciences North"/>
    <s v="Pat"/>
    <s v="Tessier"/>
    <s v="7055237100 ext: 3127"/>
    <s v="ptessier@hsnsudbury.ca"/>
    <s v="41 Ramsey Lake Road"/>
    <m/>
    <m/>
    <s v="SUDBURY"/>
    <s v="P3E 2H2"/>
    <s v="Health Science North - Research Institute "/>
    <s v="Hospitals"/>
    <s v="56 Walford Road"/>
    <m/>
    <m/>
    <s v="SUDBURY"/>
    <s v="P3E 2H2"/>
    <d v="2019-01-02T00:00:00"/>
    <s v="No"/>
    <m/>
    <m/>
    <m/>
    <m/>
    <m/>
    <m/>
    <m/>
    <m/>
    <m/>
    <m/>
    <x v="2"/>
  </r>
  <r>
    <s v="Greater Sudbury Hydro Inc."/>
    <s v="Audit Funding"/>
    <s v="GSH-Audit-2019-002"/>
    <s v="Application Pre-Approved"/>
    <n v="7498.5"/>
    <s v="Yes"/>
    <d v="2019-03-08T00:00:00"/>
    <s v="Q3 2019"/>
    <s v="Q3 2019"/>
    <s v="Q3 2019"/>
    <s v="MILITF HOOPP REALTY INC."/>
    <s v="David"/>
    <s v="Murray"/>
    <s v="7055669080 ext 226"/>
    <s v="dmurray@morguard.com"/>
    <s v="1033 Barrydowne Road"/>
    <s v="Unit 200"/>
    <m/>
    <s v="SUDBURY"/>
    <s v="P3A4E9"/>
    <s v="New Sudbury Centre"/>
    <s v="Large Retail"/>
    <s v="1033 Barrydowne Road"/>
    <m/>
    <m/>
    <s v="SUDBURY"/>
    <s v="P3A4E9"/>
    <d v="2019-04-04T00:00:00"/>
    <s v="No"/>
    <m/>
    <m/>
    <m/>
    <m/>
    <m/>
    <m/>
    <m/>
    <m/>
    <m/>
    <m/>
    <x v="2"/>
  </r>
  <r>
    <s v="Greater Sudbury Hydro Inc."/>
    <s v="HPNC"/>
    <s v="GSH-HPNC-2015-001"/>
    <s v="Application Pre-Approved"/>
    <n v="30936"/>
    <s v="Yes"/>
    <d v="2015-10-29T00:00:00"/>
    <s v="Q4 2019"/>
    <s v="Q4 2019"/>
    <s v="Q1 2020"/>
    <s v="Health Sciences North"/>
    <s v="Pat"/>
    <s v="Tessier"/>
    <s v="7055237100 ext: 3127"/>
    <s v="ptessier@hsnsudbury.ca"/>
    <s v="41 Ramsey Lake Road"/>
    <m/>
    <m/>
    <s v="SUDBURY"/>
    <s v="P3E 2H2"/>
    <s v="HSN Advanced Medical Research Institute of Canada"/>
    <s v="Hospitals"/>
    <s v="56 Walford Road"/>
    <m/>
    <m/>
    <s v="SUDBURY"/>
    <s v="P3E 2H2"/>
    <d v="2015-11-01T00:00:00"/>
    <s v="Yes"/>
    <m/>
    <m/>
    <m/>
    <m/>
    <m/>
    <m/>
    <m/>
    <m/>
    <n v="19.09"/>
    <n v="92319.5"/>
    <x v="0"/>
  </r>
  <r>
    <s v="Greater Sudbury Hydro Inc. "/>
    <s v="HPNC"/>
    <s v="GSH-HPNC-2018-001"/>
    <s v="Application Pre-Approved"/>
    <n v="1510"/>
    <s v="Yes"/>
    <d v="2019-02-02T00:00:00"/>
    <s v="Q3 2020"/>
    <s v="Q3 2020"/>
    <s v="Q3 2020"/>
    <s v="Laurentian University"/>
    <s v="Celine "/>
    <s v="Beaupre"/>
    <n v="7056751151"/>
    <s v="cbeaupre@laurentian.ca"/>
    <s v="935 Ramsey Lake Road"/>
    <m/>
    <m/>
    <s v="SUDBURY"/>
    <s v="P3E 2C6"/>
    <s v="Laurentian University Student Centre"/>
    <s v="Schools"/>
    <s v="935 Ramsey Lake Road"/>
    <m/>
    <m/>
    <s v="SUDBURY"/>
    <s v="P3E 2C6"/>
    <d v="2019-02-02T00:00:00"/>
    <s v="No"/>
    <m/>
    <m/>
    <m/>
    <m/>
    <m/>
    <m/>
    <m/>
    <m/>
    <n v="3.75"/>
    <n v="16185"/>
    <x v="0"/>
  </r>
  <r>
    <s v="Greater Sudbury Hydro Inc."/>
    <s v="HPNC"/>
    <s v="GSH-HPNC-2018-001"/>
    <s v="Application Pre-Approved"/>
    <n v="3006"/>
    <s v="Yes"/>
    <d v="2018-06-27T00:00:00"/>
    <s v="Q4 2019"/>
    <s v="Q4 2019"/>
    <s v="Q1 2020"/>
    <s v="Maison de Soins Palliatifs de Sudbury Hospice"/>
    <s v="Leo"/>
    <s v="Therrien"/>
    <n v="7056749252"/>
    <s v="info@maisonsudburyhospice.org"/>
    <s v="1028 South Bay Road"/>
    <m/>
    <m/>
    <s v="SUDBURY"/>
    <s v="P3E6J7"/>
    <s v="Sudbury Hospice"/>
    <s v="Hospitals"/>
    <s v="1028 South Bay Road"/>
    <m/>
    <m/>
    <s v="SUDBURY"/>
    <s v="P3E6J7"/>
    <d v="2018-07-23T00:00:00"/>
    <s v="No"/>
    <m/>
    <m/>
    <m/>
    <m/>
    <m/>
    <m/>
    <m/>
    <m/>
    <n v="6.9399999999999995"/>
    <n v="60113"/>
    <x v="1"/>
  </r>
  <r>
    <s v="Hydro One Networks Inc."/>
    <s v="Retrofit"/>
    <n v="147382"/>
    <m/>
    <m/>
    <m/>
    <m/>
    <m/>
    <m/>
    <m/>
    <m/>
    <m/>
    <m/>
    <m/>
    <m/>
    <s v="2100 Algonquin Rd Road"/>
    <m/>
    <m/>
    <s v="SUDBURY"/>
    <m/>
    <m/>
    <m/>
    <m/>
    <m/>
    <m/>
    <m/>
    <m/>
    <m/>
    <m/>
    <m/>
    <m/>
    <m/>
    <m/>
    <m/>
    <m/>
    <m/>
    <m/>
    <n v="28.3"/>
    <n v="194601"/>
    <x v="0"/>
  </r>
  <r>
    <s v="Hydro One Networks Inc."/>
    <s v="Retrofit"/>
    <n v="172487"/>
    <m/>
    <m/>
    <m/>
    <m/>
    <m/>
    <m/>
    <m/>
    <m/>
    <m/>
    <m/>
    <m/>
    <m/>
    <s v="1015 the Kingsway Highway"/>
    <m/>
    <m/>
    <s v="SUDBURY"/>
    <m/>
    <m/>
    <m/>
    <m/>
    <m/>
    <m/>
    <m/>
    <m/>
    <m/>
    <m/>
    <m/>
    <m/>
    <m/>
    <m/>
    <m/>
    <m/>
    <m/>
    <m/>
    <n v="9.4186999999999994"/>
    <n v="52664.749600000003"/>
    <x v="0"/>
  </r>
  <r>
    <s v="Hydro One Networks Inc."/>
    <s v="Retrofit"/>
    <n v="172487"/>
    <m/>
    <m/>
    <m/>
    <m/>
    <m/>
    <m/>
    <m/>
    <m/>
    <m/>
    <m/>
    <m/>
    <m/>
    <s v="1015 the Kingsway Highway"/>
    <m/>
    <m/>
    <s v="SUDBURY"/>
    <m/>
    <m/>
    <m/>
    <m/>
    <m/>
    <m/>
    <m/>
    <m/>
    <m/>
    <m/>
    <m/>
    <m/>
    <m/>
    <m/>
    <m/>
    <m/>
    <m/>
    <m/>
    <n v="9.4186999999999994"/>
    <n v="52664.749600000003"/>
    <x v="0"/>
  </r>
  <r>
    <s v="Toronto Hydro-Electric System Limited"/>
    <s v="Retrofit"/>
    <n v="182200"/>
    <m/>
    <m/>
    <m/>
    <m/>
    <m/>
    <m/>
    <m/>
    <m/>
    <m/>
    <m/>
    <m/>
    <m/>
    <s v="Walmart #1105-SUDBURY   LED Exterior   2416 Long Lake Rd Road"/>
    <m/>
    <m/>
    <s v="SUDBURY"/>
    <m/>
    <m/>
    <m/>
    <m/>
    <m/>
    <m/>
    <m/>
    <m/>
    <m/>
    <m/>
    <m/>
    <m/>
    <m/>
    <m/>
    <m/>
    <m/>
    <m/>
    <m/>
    <m/>
    <n v="1192375"/>
    <x v="0"/>
  </r>
  <r>
    <s v="Alectra Utilities Corporation"/>
    <s v="Retrofit"/>
    <n v="184898"/>
    <m/>
    <m/>
    <m/>
    <m/>
    <m/>
    <m/>
    <m/>
    <m/>
    <m/>
    <m/>
    <m/>
    <m/>
    <s v="Shoppers Drug Mart #670-TLED  1349 LASALLE BLVD Boulevard"/>
    <m/>
    <m/>
    <s v="SUDBURY"/>
    <m/>
    <m/>
    <m/>
    <m/>
    <m/>
    <m/>
    <m/>
    <m/>
    <m/>
    <m/>
    <m/>
    <m/>
    <m/>
    <m/>
    <m/>
    <m/>
    <m/>
    <m/>
    <n v="36.799999999999997"/>
    <n v="253151"/>
    <x v="0"/>
  </r>
  <r>
    <s v="Alectra Utilities Corporation"/>
    <s v="Retrofit"/>
    <n v="195459"/>
    <m/>
    <m/>
    <m/>
    <m/>
    <m/>
    <m/>
    <m/>
    <m/>
    <m/>
    <m/>
    <m/>
    <m/>
    <s v="359 Riverside Drive"/>
    <m/>
    <m/>
    <s v="SUDBURY"/>
    <m/>
    <m/>
    <m/>
    <m/>
    <m/>
    <m/>
    <m/>
    <m/>
    <m/>
    <m/>
    <m/>
    <m/>
    <m/>
    <m/>
    <m/>
    <m/>
    <m/>
    <m/>
    <n v="73.400000000000006"/>
    <n v="337199.6"/>
    <x v="1"/>
  </r>
  <r>
    <s v="Alectra Utilities Corporation"/>
    <s v="Retrofit"/>
    <n v="195459"/>
    <m/>
    <m/>
    <m/>
    <m/>
    <m/>
    <m/>
    <m/>
    <m/>
    <m/>
    <m/>
    <m/>
    <m/>
    <s v="1899 Lasalle Boulevard"/>
    <m/>
    <m/>
    <s v="SUDBURY"/>
    <m/>
    <m/>
    <m/>
    <m/>
    <m/>
    <m/>
    <m/>
    <m/>
    <m/>
    <m/>
    <m/>
    <m/>
    <m/>
    <m/>
    <m/>
    <m/>
    <m/>
    <m/>
    <n v="73.400000000000006"/>
    <n v="337199.6"/>
    <x v="1"/>
  </r>
  <r>
    <s v="Toronto Hydro-Electric System Limited"/>
    <s v="Retrofit"/>
    <n v="197902"/>
    <m/>
    <m/>
    <m/>
    <m/>
    <m/>
    <m/>
    <m/>
    <m/>
    <m/>
    <m/>
    <m/>
    <m/>
    <s v="2208 Lasalle Boulevard Boulevard"/>
    <m/>
    <m/>
    <s v="Sudbary"/>
    <m/>
    <m/>
    <m/>
    <m/>
    <m/>
    <m/>
    <m/>
    <m/>
    <m/>
    <m/>
    <m/>
    <m/>
    <m/>
    <m/>
    <m/>
    <m/>
    <m/>
    <m/>
    <n v="8.1044999999999998"/>
    <n v="6745.45"/>
    <x v="0"/>
  </r>
  <r>
    <s v="Alectra Utilities Corporation"/>
    <s v="Retrofit"/>
    <n v="199267"/>
    <m/>
    <m/>
    <m/>
    <m/>
    <m/>
    <m/>
    <m/>
    <m/>
    <m/>
    <m/>
    <m/>
    <m/>
    <s v="1607 Lasalle Blvd Boulevard"/>
    <m/>
    <m/>
    <s v="SUDBURY"/>
    <m/>
    <m/>
    <m/>
    <m/>
    <m/>
    <m/>
    <m/>
    <m/>
    <m/>
    <m/>
    <m/>
    <m/>
    <m/>
    <m/>
    <m/>
    <m/>
    <m/>
    <m/>
    <n v="85.7"/>
    <n v="393705.8"/>
    <x v="0"/>
  </r>
  <r>
    <s v="Alectra Utilities Corporation"/>
    <s v="Retrofit"/>
    <n v="199267"/>
    <m/>
    <m/>
    <m/>
    <m/>
    <m/>
    <m/>
    <m/>
    <m/>
    <m/>
    <m/>
    <m/>
    <m/>
    <s v="1010 Lorne Street Street"/>
    <m/>
    <m/>
    <s v="SUDBURY"/>
    <m/>
    <m/>
    <m/>
    <m/>
    <m/>
    <m/>
    <m/>
    <m/>
    <m/>
    <m/>
    <m/>
    <m/>
    <m/>
    <m/>
    <m/>
    <m/>
    <m/>
    <m/>
    <n v="85.7"/>
    <n v="393705.8"/>
    <x v="0"/>
  </r>
  <r>
    <s v="Veridian Connections Inc."/>
    <s v="Retrofit"/>
    <n v="202050"/>
    <m/>
    <m/>
    <m/>
    <m/>
    <m/>
    <m/>
    <m/>
    <m/>
    <m/>
    <m/>
    <m/>
    <m/>
    <s v="1933 Regent Street"/>
    <m/>
    <m/>
    <s v="SUDBURY"/>
    <m/>
    <m/>
    <m/>
    <m/>
    <m/>
    <m/>
    <m/>
    <m/>
    <m/>
    <m/>
    <m/>
    <m/>
    <m/>
    <m/>
    <m/>
    <m/>
    <m/>
    <m/>
    <n v="195.60640000000001"/>
    <n v="872524.6324"/>
    <x v="1"/>
  </r>
  <r>
    <s v="Toronto Hydro-Electric System Limited"/>
    <s v="Retrofit"/>
    <n v="206012"/>
    <m/>
    <m/>
    <m/>
    <m/>
    <m/>
    <m/>
    <m/>
    <m/>
    <m/>
    <m/>
    <m/>
    <m/>
    <s v="1094 Barrydowne Road"/>
    <m/>
    <m/>
    <s v="SUDBURY"/>
    <m/>
    <m/>
    <m/>
    <m/>
    <m/>
    <m/>
    <m/>
    <m/>
    <m/>
    <m/>
    <m/>
    <m/>
    <m/>
    <m/>
    <m/>
    <m/>
    <m/>
    <m/>
    <n v="12.7455"/>
    <n v="9747.4500000000007"/>
    <x v="1"/>
  </r>
  <r>
    <s v="North Bay Hydro Distribution Limited"/>
    <s v="Retrofit"/>
    <n v="207136"/>
    <m/>
    <m/>
    <m/>
    <m/>
    <m/>
    <m/>
    <m/>
    <m/>
    <m/>
    <m/>
    <m/>
    <m/>
    <s v="85 Front Street"/>
    <m/>
    <m/>
    <s v="Sturgeon Falls"/>
    <m/>
    <m/>
    <m/>
    <m/>
    <m/>
    <m/>
    <m/>
    <m/>
    <m/>
    <m/>
    <m/>
    <m/>
    <m/>
    <m/>
    <m/>
    <m/>
    <m/>
    <m/>
    <n v="2.5556999999999999"/>
    <n v="11578.6314"/>
    <x v="1"/>
  </r>
  <r>
    <s v="Hydro One Networks Inc."/>
    <s v="Retrofit"/>
    <n v="207284"/>
    <m/>
    <m/>
    <m/>
    <m/>
    <m/>
    <m/>
    <m/>
    <m/>
    <m/>
    <m/>
    <m/>
    <m/>
    <s v="1399 Marcus Dr Unit 2 Drive"/>
    <m/>
    <m/>
    <s v="SUDBURY"/>
    <m/>
    <m/>
    <m/>
    <m/>
    <m/>
    <m/>
    <m/>
    <m/>
    <m/>
    <m/>
    <m/>
    <m/>
    <m/>
    <m/>
    <m/>
    <m/>
    <m/>
    <m/>
    <n v="311.7"/>
    <n v="1719987"/>
    <x v="0"/>
  </r>
  <r>
    <s v="Alectra Utilities Corporation"/>
    <s v="Retrofit"/>
    <n v="206599"/>
    <m/>
    <m/>
    <m/>
    <m/>
    <m/>
    <m/>
    <m/>
    <m/>
    <m/>
    <m/>
    <m/>
    <m/>
    <s v="747 Notre Dame Avenue Avenue"/>
    <m/>
    <m/>
    <s v="SUDBURY"/>
    <m/>
    <m/>
    <m/>
    <m/>
    <m/>
    <m/>
    <m/>
    <m/>
    <m/>
    <m/>
    <m/>
    <m/>
    <m/>
    <m/>
    <m/>
    <m/>
    <m/>
    <m/>
    <n v="202.55"/>
    <n v="930514.7"/>
    <x v="0"/>
  </r>
  <r>
    <s v="Alectra Utilities Corporation"/>
    <s v="Retrofit"/>
    <n v="206748"/>
    <m/>
    <m/>
    <m/>
    <m/>
    <m/>
    <m/>
    <m/>
    <m/>
    <m/>
    <m/>
    <m/>
    <m/>
    <s v="1425 The Kingsway Avenue Avenue"/>
    <m/>
    <m/>
    <s v="SUDBURY"/>
    <m/>
    <m/>
    <m/>
    <m/>
    <m/>
    <m/>
    <m/>
    <m/>
    <m/>
    <m/>
    <m/>
    <m/>
    <m/>
    <m/>
    <m/>
    <m/>
    <m/>
    <m/>
    <n v="172.71"/>
    <n v="791379.54"/>
    <x v="0"/>
  </r>
  <r>
    <s v="Alectra Utilities Corporation"/>
    <s v="Retrofit"/>
    <n v="207099"/>
    <m/>
    <m/>
    <m/>
    <m/>
    <m/>
    <m/>
    <m/>
    <m/>
    <m/>
    <m/>
    <m/>
    <m/>
    <s v="1607 Lasalle Boulevard"/>
    <m/>
    <m/>
    <s v="SUDBURY"/>
    <m/>
    <m/>
    <m/>
    <m/>
    <m/>
    <m/>
    <m/>
    <m/>
    <m/>
    <m/>
    <m/>
    <m/>
    <m/>
    <m/>
    <m/>
    <m/>
    <m/>
    <m/>
    <m/>
    <n v="670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808E52-E421-43DA-A72A-CA06F4F63825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8" firstHeaderRow="0" firstDataRow="1" firstDataCol="1"/>
  <pivotFields count="40">
    <pivotField showAll="0"/>
    <pivotField showAll="0"/>
    <pivotField showAll="0"/>
    <pivotField showAll="0"/>
    <pivotField numFmtId="44"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5">
        <item x="1"/>
        <item x="0"/>
        <item x="3"/>
        <item x="2"/>
        <item t="default"/>
      </items>
    </pivotField>
  </pivotFields>
  <rowFields count="1">
    <field x="39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kW" fld="37" baseField="0" baseItem="0"/>
    <dataField name="Sum of kWh" fld="38" baseField="0" baseItem="0"/>
  </dataFields>
  <formats count="3">
    <format dxfId="2">
      <pivotArea collapsedLevelsAreSubtotals="1" fieldPosition="0">
        <references count="1">
          <reference field="39" count="0"/>
        </references>
      </pivotArea>
    </format>
    <format dxfId="1">
      <pivotArea grandRow="1" outline="0" collapsedLevelsAreSubtotals="1" fieldPosition="0"/>
    </format>
    <format dxfId="0">
      <pivotArea collapsedLevelsAreSubtotals="1" fieldPosition="0">
        <references count="2">
          <reference field="4294967294" count="1" selected="0">
            <x v="1"/>
          </reference>
          <reference field="39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0CEE-8FB5-4BE4-8678-6ED1EE7F569E}">
  <dimension ref="A3:C8"/>
  <sheetViews>
    <sheetView workbookViewId="0">
      <selection activeCell="D15" sqref="D15"/>
    </sheetView>
  </sheetViews>
  <sheetFormatPr defaultRowHeight="15" x14ac:dyDescent="0.25"/>
  <cols>
    <col min="1" max="1" width="13.140625" bestFit="1" customWidth="1"/>
    <col min="2" max="2" width="10.5703125" bestFit="1" customWidth="1"/>
    <col min="3" max="3" width="14.28515625" bestFit="1" customWidth="1"/>
  </cols>
  <sheetData>
    <row r="3" spans="1:3" x14ac:dyDescent="0.25">
      <c r="A3" s="15" t="s">
        <v>101</v>
      </c>
      <c r="B3" t="s">
        <v>99</v>
      </c>
      <c r="C3" t="s">
        <v>100</v>
      </c>
    </row>
    <row r="4" spans="1:3" x14ac:dyDescent="0.25">
      <c r="A4" s="16" t="s">
        <v>40</v>
      </c>
      <c r="B4" s="17">
        <v>618.72059999999999</v>
      </c>
      <c r="C4" s="17">
        <v>3474865.5127999997</v>
      </c>
    </row>
    <row r="5" spans="1:3" x14ac:dyDescent="0.25">
      <c r="A5" s="16" t="s">
        <v>32</v>
      </c>
      <c r="B5" s="17">
        <v>1349.03396</v>
      </c>
      <c r="C5" s="17">
        <v>10340568.744399998</v>
      </c>
    </row>
    <row r="6" spans="1:3" x14ac:dyDescent="0.25">
      <c r="A6" s="16" t="s">
        <v>67</v>
      </c>
      <c r="B6" s="17">
        <v>0</v>
      </c>
      <c r="C6" s="17"/>
    </row>
    <row r="7" spans="1:3" x14ac:dyDescent="0.25">
      <c r="A7" s="16" t="s">
        <v>102</v>
      </c>
      <c r="B7" s="17"/>
      <c r="C7" s="17"/>
    </row>
    <row r="8" spans="1:3" x14ac:dyDescent="0.25">
      <c r="A8" s="16" t="s">
        <v>103</v>
      </c>
      <c r="B8" s="17">
        <v>1967.7545599999999</v>
      </c>
      <c r="C8" s="17">
        <v>13815434.257199999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CD28-7C09-4D40-BFFC-99C9941AB68E}">
  <sheetPr codeName="Sheet2">
    <tabColor rgb="FF002060"/>
  </sheetPr>
  <dimension ref="A1:AF186"/>
  <sheetViews>
    <sheetView tabSelected="1" zoomScale="120" zoomScaleNormal="120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P1" sqref="P1:P1048576"/>
    </sheetView>
  </sheetViews>
  <sheetFormatPr defaultColWidth="18.85546875" defaultRowHeight="15" x14ac:dyDescent="0.25"/>
  <cols>
    <col min="1" max="1" width="17.42578125" customWidth="1"/>
    <col min="2" max="2" width="11.42578125" customWidth="1"/>
    <col min="3" max="3" width="11.28515625" style="10" customWidth="1"/>
    <col min="4" max="4" width="46" customWidth="1"/>
    <col min="5" max="5" width="23.42578125" style="14" customWidth="1"/>
    <col min="6" max="6" width="23.42578125" style="12" customWidth="1"/>
    <col min="7" max="7" width="15.140625" style="11" customWidth="1"/>
    <col min="8" max="8" width="18" style="11" customWidth="1"/>
    <col min="9" max="9" width="16.140625" style="11" customWidth="1"/>
    <col min="10" max="10" width="22.5703125" style="12" customWidth="1"/>
    <col min="11" max="11" width="24.7109375" style="12" customWidth="1"/>
    <col min="12" max="12" width="21.5703125" customWidth="1"/>
    <col min="13" max="13" width="21.5703125" style="12" customWidth="1"/>
    <col min="14" max="14" width="21.5703125" style="11" customWidth="1"/>
    <col min="15" max="15" width="21.5703125" style="12" customWidth="1"/>
    <col min="16" max="16" width="12.140625" customWidth="1"/>
    <col min="17" max="17" width="18.85546875" customWidth="1"/>
    <col min="18" max="18" width="12.5703125" customWidth="1"/>
    <col min="19" max="19" width="13.85546875" customWidth="1"/>
    <col min="20" max="20" width="15.85546875" customWidth="1"/>
    <col min="21" max="21" width="6.5703125" customWidth="1"/>
    <col min="22" max="22" width="7.5703125" customWidth="1"/>
    <col min="23" max="23" width="4.28515625" style="12" customWidth="1"/>
    <col min="24" max="24" width="16.85546875" style="13" bestFit="1" customWidth="1"/>
    <col min="25" max="25" width="19.5703125" bestFit="1" customWidth="1"/>
  </cols>
  <sheetData>
    <row r="1" spans="1:25" s="8" customFormat="1" ht="37.15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4"/>
      <c r="I1" s="4" t="s">
        <v>7</v>
      </c>
      <c r="J1" s="1" t="s">
        <v>8</v>
      </c>
      <c r="K1" s="1" t="s">
        <v>9</v>
      </c>
      <c r="L1" s="5" t="s">
        <v>10</v>
      </c>
      <c r="M1" s="5" t="s">
        <v>11</v>
      </c>
      <c r="N1" s="6" t="s">
        <v>12</v>
      </c>
      <c r="O1" s="5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7" t="s">
        <v>22</v>
      </c>
      <c r="Y1" s="1" t="s">
        <v>23</v>
      </c>
    </row>
    <row r="2" spans="1:25" x14ac:dyDescent="0.25">
      <c r="A2" s="26" t="s">
        <v>24</v>
      </c>
      <c r="B2" s="26" t="s">
        <v>25</v>
      </c>
      <c r="C2" s="27">
        <v>148266</v>
      </c>
      <c r="D2" s="26" t="s">
        <v>35</v>
      </c>
      <c r="E2" s="28">
        <f>1508.05*1.1</f>
        <v>1658.855</v>
      </c>
      <c r="F2" s="29" t="s">
        <v>27</v>
      </c>
      <c r="G2" s="30">
        <v>42244.549155092594</v>
      </c>
      <c r="H2" s="31">
        <f t="shared" ref="H2:H20" si="0">VALUE(RIGHT(I2,4))</f>
        <v>2019</v>
      </c>
      <c r="I2" s="30" t="s">
        <v>38</v>
      </c>
      <c r="J2" s="29" t="s">
        <v>38</v>
      </c>
      <c r="K2" s="29" t="s">
        <v>39</v>
      </c>
      <c r="L2" s="26" t="s">
        <v>36</v>
      </c>
      <c r="M2" s="29" t="s">
        <v>37</v>
      </c>
      <c r="N2" s="30">
        <v>42240</v>
      </c>
      <c r="O2" s="29" t="s">
        <v>34</v>
      </c>
      <c r="P2" s="26"/>
      <c r="Q2" s="26"/>
      <c r="R2" s="26"/>
      <c r="S2" s="26"/>
      <c r="T2" s="26"/>
      <c r="U2" s="26"/>
      <c r="V2" s="26"/>
      <c r="W2" s="29">
        <v>3.5</v>
      </c>
      <c r="X2" s="33">
        <v>30161</v>
      </c>
      <c r="Y2" s="26" t="s">
        <v>32</v>
      </c>
    </row>
    <row r="3" spans="1:25" x14ac:dyDescent="0.25">
      <c r="A3" s="26" t="s">
        <v>24</v>
      </c>
      <c r="B3" s="26" t="s">
        <v>25</v>
      </c>
      <c r="C3" s="27">
        <v>159558</v>
      </c>
      <c r="D3" s="34" t="s">
        <v>35</v>
      </c>
      <c r="E3" s="28">
        <f>598.35*1.1</f>
        <v>658.18500000000006</v>
      </c>
      <c r="F3" s="29" t="s">
        <v>27</v>
      </c>
      <c r="G3" s="30">
        <v>42489</v>
      </c>
      <c r="H3" s="31">
        <f t="shared" si="0"/>
        <v>2019</v>
      </c>
      <c r="I3" s="30" t="s">
        <v>28</v>
      </c>
      <c r="J3" s="29" t="s">
        <v>28</v>
      </c>
      <c r="K3" s="29" t="s">
        <v>29</v>
      </c>
      <c r="L3" s="26" t="s">
        <v>41</v>
      </c>
      <c r="M3" s="29" t="s">
        <v>45</v>
      </c>
      <c r="N3" s="30">
        <v>42492</v>
      </c>
      <c r="O3" s="29" t="s">
        <v>34</v>
      </c>
      <c r="P3" s="26"/>
      <c r="Q3" s="26">
        <v>598.29999999999995</v>
      </c>
      <c r="R3" s="35">
        <f>E3-Q3</f>
        <v>59.885000000000105</v>
      </c>
      <c r="S3" s="26"/>
      <c r="T3" s="26"/>
      <c r="U3" s="36">
        <v>43647</v>
      </c>
      <c r="V3" s="26"/>
      <c r="W3" s="29">
        <v>1.4</v>
      </c>
      <c r="X3" s="33">
        <v>11966</v>
      </c>
      <c r="Y3" s="26" t="s">
        <v>40</v>
      </c>
    </row>
    <row r="4" spans="1:25" x14ac:dyDescent="0.25">
      <c r="A4" s="26" t="s">
        <v>24</v>
      </c>
      <c r="B4" s="26" t="s">
        <v>25</v>
      </c>
      <c r="C4" s="27">
        <v>159559</v>
      </c>
      <c r="D4" s="26" t="s">
        <v>26</v>
      </c>
      <c r="E4" s="28">
        <f>2791.6*1.1</f>
        <v>3070.76</v>
      </c>
      <c r="F4" s="29" t="s">
        <v>27</v>
      </c>
      <c r="G4" s="30">
        <v>42489.52815972222</v>
      </c>
      <c r="H4" s="31">
        <f t="shared" si="0"/>
        <v>2019</v>
      </c>
      <c r="I4" s="30" t="s">
        <v>28</v>
      </c>
      <c r="J4" s="29" t="s">
        <v>28</v>
      </c>
      <c r="K4" s="29" t="s">
        <v>29</v>
      </c>
      <c r="L4" s="26" t="s">
        <v>41</v>
      </c>
      <c r="M4" s="29" t="s">
        <v>45</v>
      </c>
      <c r="N4" s="30">
        <v>42485</v>
      </c>
      <c r="O4" s="29" t="s">
        <v>34</v>
      </c>
      <c r="P4" s="26"/>
      <c r="Q4" s="26">
        <v>2608.6</v>
      </c>
      <c r="R4" s="35">
        <f>E4-Q4</f>
        <v>462.16000000000031</v>
      </c>
      <c r="S4" s="26"/>
      <c r="T4" s="26"/>
      <c r="U4" s="36">
        <v>43647</v>
      </c>
      <c r="V4" s="26"/>
      <c r="W4" s="29">
        <v>0</v>
      </c>
      <c r="X4" s="33">
        <v>25400</v>
      </c>
      <c r="Y4" s="26" t="s">
        <v>40</v>
      </c>
    </row>
    <row r="5" spans="1:25" x14ac:dyDescent="0.25">
      <c r="A5" s="26" t="s">
        <v>24</v>
      </c>
      <c r="B5" s="26" t="s">
        <v>25</v>
      </c>
      <c r="C5" s="27">
        <v>159683</v>
      </c>
      <c r="D5" s="34" t="s">
        <v>43</v>
      </c>
      <c r="E5" s="28">
        <f>3856.6*1.1</f>
        <v>4242.26</v>
      </c>
      <c r="F5" s="29" t="s">
        <v>27</v>
      </c>
      <c r="G5" s="30">
        <v>42493</v>
      </c>
      <c r="H5" s="31">
        <f t="shared" si="0"/>
        <v>2019</v>
      </c>
      <c r="I5" s="30" t="s">
        <v>38</v>
      </c>
      <c r="J5" s="29" t="s">
        <v>38</v>
      </c>
      <c r="K5" s="29" t="s">
        <v>39</v>
      </c>
      <c r="L5" s="26" t="s">
        <v>46</v>
      </c>
      <c r="M5" s="29" t="s">
        <v>37</v>
      </c>
      <c r="N5" s="30">
        <v>42492</v>
      </c>
      <c r="O5" s="29" t="s">
        <v>34</v>
      </c>
      <c r="P5" s="26"/>
      <c r="Q5" s="26">
        <v>3856.6</v>
      </c>
      <c r="R5" s="35">
        <f>E5-Q5</f>
        <v>385.66000000000031</v>
      </c>
      <c r="S5" s="26"/>
      <c r="T5" s="26"/>
      <c r="U5" s="36">
        <v>43617</v>
      </c>
      <c r="V5" s="26"/>
      <c r="W5" s="29">
        <v>0</v>
      </c>
      <c r="X5" s="33">
        <v>77132</v>
      </c>
      <c r="Y5" s="26" t="s">
        <v>40</v>
      </c>
    </row>
    <row r="6" spans="1:25" x14ac:dyDescent="0.25">
      <c r="A6" s="26" t="s">
        <v>24</v>
      </c>
      <c r="B6" s="26" t="s">
        <v>25</v>
      </c>
      <c r="C6" s="27">
        <v>162298</v>
      </c>
      <c r="D6" s="26" t="s">
        <v>35</v>
      </c>
      <c r="E6" s="28">
        <f>3402*1.1</f>
        <v>3742.2000000000003</v>
      </c>
      <c r="F6" s="29" t="s">
        <v>27</v>
      </c>
      <c r="G6" s="30">
        <v>42537.521967592591</v>
      </c>
      <c r="H6" s="31">
        <v>2020</v>
      </c>
      <c r="I6" s="30" t="s">
        <v>28</v>
      </c>
      <c r="J6" s="29" t="s">
        <v>28</v>
      </c>
      <c r="K6" s="29" t="s">
        <v>29</v>
      </c>
      <c r="L6" s="26" t="s">
        <v>51</v>
      </c>
      <c r="M6" s="29" t="s">
        <v>52</v>
      </c>
      <c r="N6" s="30">
        <v>42552</v>
      </c>
      <c r="O6" s="29" t="s">
        <v>34</v>
      </c>
      <c r="P6" s="26"/>
      <c r="Q6" s="26"/>
      <c r="R6" s="26"/>
      <c r="S6" s="26"/>
      <c r="T6" s="26"/>
      <c r="U6" s="26"/>
      <c r="V6" s="26"/>
      <c r="W6" s="29">
        <v>1.232</v>
      </c>
      <c r="X6" s="33">
        <v>3563.6</v>
      </c>
      <c r="Y6" s="26" t="s">
        <v>40</v>
      </c>
    </row>
    <row r="7" spans="1:25" x14ac:dyDescent="0.25">
      <c r="A7" s="26" t="s">
        <v>24</v>
      </c>
      <c r="B7" s="26" t="s">
        <v>25</v>
      </c>
      <c r="C7" s="27">
        <v>164017</v>
      </c>
      <c r="D7" s="26" t="s">
        <v>35</v>
      </c>
      <c r="E7" s="28">
        <f>4750*1.1</f>
        <v>5225</v>
      </c>
      <c r="F7" s="29" t="s">
        <v>27</v>
      </c>
      <c r="G7" s="30">
        <v>42555.407777777778</v>
      </c>
      <c r="H7" s="31">
        <f t="shared" si="0"/>
        <v>2019</v>
      </c>
      <c r="I7" s="30" t="s">
        <v>39</v>
      </c>
      <c r="J7" s="29" t="s">
        <v>39</v>
      </c>
      <c r="K7" s="29" t="s">
        <v>28</v>
      </c>
      <c r="L7" s="26" t="s">
        <v>56</v>
      </c>
      <c r="M7" s="29" t="s">
        <v>37</v>
      </c>
      <c r="N7" s="30">
        <v>42566</v>
      </c>
      <c r="O7" s="29" t="s">
        <v>34</v>
      </c>
      <c r="P7" s="26"/>
      <c r="Q7" s="26"/>
      <c r="R7" s="26"/>
      <c r="S7" s="26"/>
      <c r="T7" s="26"/>
      <c r="U7" s="26"/>
      <c r="V7" s="26"/>
      <c r="W7" s="29">
        <v>21.966000000000001</v>
      </c>
      <c r="X7" s="33">
        <v>98847</v>
      </c>
      <c r="Y7" s="26" t="s">
        <v>40</v>
      </c>
    </row>
    <row r="8" spans="1:25" x14ac:dyDescent="0.25">
      <c r="A8" s="26" t="s">
        <v>24</v>
      </c>
      <c r="B8" s="26" t="s">
        <v>25</v>
      </c>
      <c r="C8" s="27">
        <v>164390</v>
      </c>
      <c r="D8" s="26" t="s">
        <v>26</v>
      </c>
      <c r="E8" s="28">
        <f>7564.76*1.1</f>
        <v>8321.2360000000008</v>
      </c>
      <c r="F8" s="29" t="s">
        <v>27</v>
      </c>
      <c r="G8" s="30">
        <v>42564.811423611107</v>
      </c>
      <c r="H8" s="31">
        <f t="shared" si="0"/>
        <v>2019</v>
      </c>
      <c r="I8" s="30" t="s">
        <v>28</v>
      </c>
      <c r="J8" s="29" t="s">
        <v>28</v>
      </c>
      <c r="K8" s="29" t="s">
        <v>29</v>
      </c>
      <c r="L8" s="26" t="s">
        <v>42</v>
      </c>
      <c r="M8" s="29" t="s">
        <v>30</v>
      </c>
      <c r="N8" s="30">
        <v>42571</v>
      </c>
      <c r="O8" s="29" t="s">
        <v>34</v>
      </c>
      <c r="P8" s="26"/>
      <c r="Q8" s="26">
        <v>5383.48</v>
      </c>
      <c r="R8" s="35">
        <f>E8-Q8</f>
        <v>2937.7560000000012</v>
      </c>
      <c r="S8" s="26"/>
      <c r="T8" s="26"/>
      <c r="U8" s="36">
        <v>43617</v>
      </c>
      <c r="V8" s="26"/>
      <c r="W8" s="29">
        <v>0</v>
      </c>
      <c r="X8" s="33">
        <v>53834.83</v>
      </c>
      <c r="Y8" s="26" t="s">
        <v>32</v>
      </c>
    </row>
    <row r="9" spans="1:25" x14ac:dyDescent="0.25">
      <c r="A9" s="26" t="s">
        <v>24</v>
      </c>
      <c r="B9" s="26" t="s">
        <v>25</v>
      </c>
      <c r="C9" s="27">
        <v>164391</v>
      </c>
      <c r="D9" s="26" t="s">
        <v>26</v>
      </c>
      <c r="E9" s="28">
        <f>7564.76*1.1</f>
        <v>8321.2360000000008</v>
      </c>
      <c r="F9" s="29" t="s">
        <v>27</v>
      </c>
      <c r="G9" s="30">
        <v>42564.829270833332</v>
      </c>
      <c r="H9" s="31">
        <f t="shared" si="0"/>
        <v>2020</v>
      </c>
      <c r="I9" s="30" t="s">
        <v>57</v>
      </c>
      <c r="J9" s="29" t="s">
        <v>57</v>
      </c>
      <c r="K9" s="29" t="s">
        <v>58</v>
      </c>
      <c r="L9" s="26" t="s">
        <v>42</v>
      </c>
      <c r="M9" s="29" t="s">
        <v>30</v>
      </c>
      <c r="N9" s="30">
        <v>42791</v>
      </c>
      <c r="O9" s="29" t="s">
        <v>34</v>
      </c>
      <c r="P9" s="26"/>
      <c r="Q9" s="26"/>
      <c r="R9" s="26"/>
      <c r="S9" s="26"/>
      <c r="T9" s="26"/>
      <c r="U9" s="26"/>
      <c r="V9" s="26"/>
      <c r="W9" s="29">
        <v>0</v>
      </c>
      <c r="X9" s="33">
        <v>61694.57</v>
      </c>
      <c r="Y9" s="26" t="s">
        <v>32</v>
      </c>
    </row>
    <row r="10" spans="1:25" x14ac:dyDescent="0.25">
      <c r="A10" s="26" t="s">
        <v>24</v>
      </c>
      <c r="B10" s="26" t="s">
        <v>25</v>
      </c>
      <c r="C10" s="27">
        <v>164933</v>
      </c>
      <c r="D10" s="26" t="s">
        <v>35</v>
      </c>
      <c r="E10" s="28">
        <f>7470.4*1.1</f>
        <v>8217.44</v>
      </c>
      <c r="F10" s="29" t="s">
        <v>27</v>
      </c>
      <c r="G10" s="30">
        <v>42584.552337962959</v>
      </c>
      <c r="H10" s="31">
        <f t="shared" si="0"/>
        <v>2019</v>
      </c>
      <c r="I10" s="30" t="s">
        <v>28</v>
      </c>
      <c r="J10" s="29" t="s">
        <v>28</v>
      </c>
      <c r="K10" s="29" t="s">
        <v>29</v>
      </c>
      <c r="L10" s="26" t="s">
        <v>59</v>
      </c>
      <c r="M10" s="29" t="s">
        <v>60</v>
      </c>
      <c r="N10" s="30">
        <v>42580</v>
      </c>
      <c r="O10" s="29" t="s">
        <v>34</v>
      </c>
      <c r="P10" s="26"/>
      <c r="Q10" s="37">
        <v>7480</v>
      </c>
      <c r="R10" s="26"/>
      <c r="S10" s="26"/>
      <c r="T10" s="38">
        <v>43609</v>
      </c>
      <c r="U10" s="26"/>
      <c r="V10" s="26"/>
      <c r="W10" s="29">
        <v>18.7</v>
      </c>
      <c r="X10" s="33">
        <v>97339</v>
      </c>
      <c r="Y10" s="26" t="s">
        <v>32</v>
      </c>
    </row>
    <row r="11" spans="1:25" x14ac:dyDescent="0.25">
      <c r="A11" s="26" t="s">
        <v>24</v>
      </c>
      <c r="B11" s="26" t="s">
        <v>25</v>
      </c>
      <c r="C11" s="27">
        <v>165441</v>
      </c>
      <c r="D11" s="26" t="s">
        <v>35</v>
      </c>
      <c r="E11" s="28">
        <f>1300.28*1.1</f>
        <v>1430.308</v>
      </c>
      <c r="F11" s="29" t="s">
        <v>27</v>
      </c>
      <c r="G11" s="30">
        <v>42598.749456018515</v>
      </c>
      <c r="H11" s="31">
        <f t="shared" si="0"/>
        <v>2019</v>
      </c>
      <c r="I11" s="30" t="s">
        <v>28</v>
      </c>
      <c r="J11" s="29" t="s">
        <v>28</v>
      </c>
      <c r="K11" s="29" t="s">
        <v>29</v>
      </c>
      <c r="L11" s="26" t="s">
        <v>44</v>
      </c>
      <c r="M11" s="29" t="s">
        <v>37</v>
      </c>
      <c r="N11" s="30">
        <v>42604</v>
      </c>
      <c r="O11" s="29" t="s">
        <v>34</v>
      </c>
      <c r="P11" s="26"/>
      <c r="Q11" s="26"/>
      <c r="R11" s="26"/>
      <c r="S11" s="26"/>
      <c r="T11" s="26"/>
      <c r="U11" s="26"/>
      <c r="V11" s="26"/>
      <c r="W11" s="29">
        <v>1.3120000000000001</v>
      </c>
      <c r="X11" s="33">
        <v>19445.580000000002</v>
      </c>
      <c r="Y11" s="26" t="s">
        <v>40</v>
      </c>
    </row>
    <row r="12" spans="1:25" x14ac:dyDescent="0.25">
      <c r="A12" s="26" t="s">
        <v>24</v>
      </c>
      <c r="B12" s="26" t="s">
        <v>25</v>
      </c>
      <c r="C12" s="27">
        <v>166458</v>
      </c>
      <c r="D12" s="26" t="s">
        <v>50</v>
      </c>
      <c r="E12" s="28">
        <f>(3672.98+8056.8+8056.8+6009.41)*1.1</f>
        <v>28375.589000000004</v>
      </c>
      <c r="F12" s="29" t="s">
        <v>27</v>
      </c>
      <c r="G12" s="30">
        <v>42632.446840277778</v>
      </c>
      <c r="H12" s="31">
        <f t="shared" si="0"/>
        <v>2020</v>
      </c>
      <c r="I12" s="30" t="s">
        <v>57</v>
      </c>
      <c r="J12" s="29" t="s">
        <v>57</v>
      </c>
      <c r="K12" s="29" t="s">
        <v>58</v>
      </c>
      <c r="L12" s="26" t="s">
        <v>49</v>
      </c>
      <c r="M12" s="29" t="s">
        <v>61</v>
      </c>
      <c r="N12" s="30">
        <v>42634</v>
      </c>
      <c r="O12" s="29" t="s">
        <v>34</v>
      </c>
      <c r="P12" s="26"/>
      <c r="Q12" s="26"/>
      <c r="R12" s="26"/>
      <c r="S12" s="26"/>
      <c r="T12" s="26"/>
      <c r="U12" s="26"/>
      <c r="V12" s="26"/>
      <c r="W12" s="29">
        <v>0</v>
      </c>
      <c r="X12" s="33">
        <v>254905</v>
      </c>
      <c r="Y12" s="26" t="s">
        <v>32</v>
      </c>
    </row>
    <row r="13" spans="1:25" x14ac:dyDescent="0.25">
      <c r="A13" s="26" t="s">
        <v>24</v>
      </c>
      <c r="B13" s="26" t="s">
        <v>25</v>
      </c>
      <c r="C13" s="27">
        <v>168152</v>
      </c>
      <c r="D13" s="26" t="s">
        <v>35</v>
      </c>
      <c r="E13" s="28">
        <f>708.25*1.1</f>
        <v>779.07500000000005</v>
      </c>
      <c r="F13" s="29" t="s">
        <v>27</v>
      </c>
      <c r="G13" s="30">
        <v>42670.597025462965</v>
      </c>
      <c r="H13" s="31">
        <v>2019</v>
      </c>
      <c r="I13" s="30" t="s">
        <v>28</v>
      </c>
      <c r="J13" s="29" t="s">
        <v>28</v>
      </c>
      <c r="K13" s="29" t="s">
        <v>29</v>
      </c>
      <c r="L13" s="26" t="s">
        <v>51</v>
      </c>
      <c r="M13" s="29" t="s">
        <v>37</v>
      </c>
      <c r="N13" s="30">
        <v>42671</v>
      </c>
      <c r="O13" s="29" t="s">
        <v>34</v>
      </c>
      <c r="P13" s="26"/>
      <c r="Q13" s="26"/>
      <c r="R13" s="26"/>
      <c r="S13" s="26"/>
      <c r="T13" s="26"/>
      <c r="U13" s="26"/>
      <c r="V13" s="26"/>
      <c r="W13" s="29">
        <v>0</v>
      </c>
      <c r="X13" s="33">
        <v>14164.92</v>
      </c>
      <c r="Y13" s="26" t="s">
        <v>40</v>
      </c>
    </row>
    <row r="14" spans="1:25" x14ac:dyDescent="0.25">
      <c r="A14" s="26" t="s">
        <v>24</v>
      </c>
      <c r="B14" s="26" t="s">
        <v>25</v>
      </c>
      <c r="C14" s="27">
        <v>170550</v>
      </c>
      <c r="D14" s="26" t="s">
        <v>35</v>
      </c>
      <c r="E14" s="28">
        <f>1870*1.1</f>
        <v>2057</v>
      </c>
      <c r="F14" s="29" t="s">
        <v>27</v>
      </c>
      <c r="G14" s="30">
        <v>42720.363136574073</v>
      </c>
      <c r="H14" s="31">
        <f t="shared" si="0"/>
        <v>2019</v>
      </c>
      <c r="I14" s="30" t="s">
        <v>38</v>
      </c>
      <c r="J14" s="29" t="s">
        <v>38</v>
      </c>
      <c r="K14" s="29" t="s">
        <v>39</v>
      </c>
      <c r="L14" s="26" t="s">
        <v>62</v>
      </c>
      <c r="M14" s="29" t="s">
        <v>37</v>
      </c>
      <c r="N14" s="30">
        <v>42723</v>
      </c>
      <c r="O14" s="29" t="s">
        <v>34</v>
      </c>
      <c r="P14" s="26"/>
      <c r="Q14" s="37">
        <v>1870</v>
      </c>
      <c r="R14" s="26"/>
      <c r="S14" s="26"/>
      <c r="T14" s="38">
        <v>43609</v>
      </c>
      <c r="U14" s="26"/>
      <c r="V14" s="26"/>
      <c r="W14" s="29">
        <v>0</v>
      </c>
      <c r="X14" s="33">
        <v>20706</v>
      </c>
      <c r="Y14" s="26" t="s">
        <v>40</v>
      </c>
    </row>
    <row r="15" spans="1:25" x14ac:dyDescent="0.25">
      <c r="A15" s="26" t="s">
        <v>24</v>
      </c>
      <c r="B15" s="26" t="s">
        <v>25</v>
      </c>
      <c r="C15" s="27">
        <v>170576</v>
      </c>
      <c r="D15" s="26" t="s">
        <v>35</v>
      </c>
      <c r="E15" s="28">
        <f>600*1.1</f>
        <v>660</v>
      </c>
      <c r="F15" s="29" t="s">
        <v>27</v>
      </c>
      <c r="G15" s="30">
        <v>42720.592835648145</v>
      </c>
      <c r="H15" s="31">
        <f t="shared" si="0"/>
        <v>2019</v>
      </c>
      <c r="I15" s="30" t="s">
        <v>28</v>
      </c>
      <c r="J15" s="29" t="s">
        <v>28</v>
      </c>
      <c r="K15" s="29" t="s">
        <v>29</v>
      </c>
      <c r="L15" s="26" t="s">
        <v>62</v>
      </c>
      <c r="M15" s="29" t="s">
        <v>37</v>
      </c>
      <c r="N15" s="30">
        <v>42723</v>
      </c>
      <c r="O15" s="29" t="s">
        <v>34</v>
      </c>
      <c r="P15" s="26"/>
      <c r="Q15" s="26">
        <v>600</v>
      </c>
      <c r="R15" s="26"/>
      <c r="S15" s="26"/>
      <c r="T15" s="38">
        <v>43609</v>
      </c>
      <c r="U15" s="26"/>
      <c r="V15" s="26"/>
      <c r="W15" s="29">
        <v>0</v>
      </c>
      <c r="X15" s="33">
        <v>6720</v>
      </c>
      <c r="Y15" s="26" t="s">
        <v>40</v>
      </c>
    </row>
    <row r="16" spans="1:25" x14ac:dyDescent="0.25">
      <c r="A16" s="26" t="s">
        <v>24</v>
      </c>
      <c r="B16" s="26" t="s">
        <v>25</v>
      </c>
      <c r="C16" s="27">
        <v>173121</v>
      </c>
      <c r="D16" s="26" t="s">
        <v>35</v>
      </c>
      <c r="E16" s="28">
        <f>2420*1.1</f>
        <v>2662</v>
      </c>
      <c r="F16" s="29" t="s">
        <v>27</v>
      </c>
      <c r="G16" s="30">
        <v>42790.574340277773</v>
      </c>
      <c r="H16" s="31">
        <f t="shared" si="0"/>
        <v>2019</v>
      </c>
      <c r="I16" s="30" t="s">
        <v>28</v>
      </c>
      <c r="J16" s="29" t="s">
        <v>28</v>
      </c>
      <c r="K16" s="29" t="s">
        <v>29</v>
      </c>
      <c r="L16" s="26" t="s">
        <v>36</v>
      </c>
      <c r="M16" s="29" t="s">
        <v>37</v>
      </c>
      <c r="N16" s="30">
        <v>42797</v>
      </c>
      <c r="O16" s="29" t="s">
        <v>34</v>
      </c>
      <c r="P16" s="26"/>
      <c r="Q16" s="26"/>
      <c r="R16" s="26"/>
      <c r="S16" s="26"/>
      <c r="T16" s="26"/>
      <c r="U16" s="26"/>
      <c r="V16" s="26"/>
      <c r="W16" s="29">
        <v>0</v>
      </c>
      <c r="X16" s="33">
        <v>27048</v>
      </c>
      <c r="Y16" s="26" t="s">
        <v>32</v>
      </c>
    </row>
    <row r="17" spans="1:25" x14ac:dyDescent="0.25">
      <c r="A17" s="26" t="s">
        <v>24</v>
      </c>
      <c r="B17" s="26" t="s">
        <v>25</v>
      </c>
      <c r="C17" s="27">
        <v>176746</v>
      </c>
      <c r="D17" s="26" t="s">
        <v>35</v>
      </c>
      <c r="E17" s="28">
        <f>(7190+525)*1.1</f>
        <v>8486.5</v>
      </c>
      <c r="F17" s="29" t="s">
        <v>27</v>
      </c>
      <c r="G17" s="30">
        <v>42859.492060185185</v>
      </c>
      <c r="H17" s="31">
        <f t="shared" si="0"/>
        <v>2019</v>
      </c>
      <c r="I17" s="30" t="s">
        <v>28</v>
      </c>
      <c r="J17" s="29" t="s">
        <v>28</v>
      </c>
      <c r="K17" s="29" t="s">
        <v>29</v>
      </c>
      <c r="L17" s="26" t="s">
        <v>51</v>
      </c>
      <c r="M17" s="29" t="s">
        <v>37</v>
      </c>
      <c r="N17" s="30">
        <v>42867</v>
      </c>
      <c r="O17" s="29" t="s">
        <v>34</v>
      </c>
      <c r="P17" s="26"/>
      <c r="Q17" s="26"/>
      <c r="R17" s="26"/>
      <c r="S17" s="26"/>
      <c r="T17" s="26"/>
      <c r="U17" s="26"/>
      <c r="V17" s="26"/>
      <c r="W17" s="29">
        <v>10.125</v>
      </c>
      <c r="X17" s="33">
        <v>52038.807999999997</v>
      </c>
      <c r="Y17" s="26" t="s">
        <v>40</v>
      </c>
    </row>
    <row r="18" spans="1:25" x14ac:dyDescent="0.25">
      <c r="A18" s="26" t="s">
        <v>24</v>
      </c>
      <c r="B18" s="26" t="s">
        <v>25</v>
      </c>
      <c r="C18" s="27">
        <v>176759</v>
      </c>
      <c r="D18" s="26" t="s">
        <v>35</v>
      </c>
      <c r="E18" s="28">
        <f>570*1.1</f>
        <v>627</v>
      </c>
      <c r="F18" s="29" t="s">
        <v>27</v>
      </c>
      <c r="G18" s="30">
        <v>42859.575891203705</v>
      </c>
      <c r="H18" s="31">
        <f t="shared" si="0"/>
        <v>2019</v>
      </c>
      <c r="I18" s="30" t="s">
        <v>28</v>
      </c>
      <c r="J18" s="29" t="s">
        <v>28</v>
      </c>
      <c r="K18" s="29" t="s">
        <v>29</v>
      </c>
      <c r="L18" s="26" t="s">
        <v>55</v>
      </c>
      <c r="M18" s="29" t="s">
        <v>37</v>
      </c>
      <c r="N18" s="30">
        <v>42874</v>
      </c>
      <c r="O18" s="29" t="s">
        <v>34</v>
      </c>
      <c r="P18" s="26"/>
      <c r="Q18" s="37">
        <v>570</v>
      </c>
      <c r="R18" s="35">
        <f>E18-Q18</f>
        <v>57</v>
      </c>
      <c r="S18" s="38">
        <v>43573</v>
      </c>
      <c r="T18" s="38">
        <v>43578</v>
      </c>
      <c r="U18" s="36">
        <v>43556</v>
      </c>
      <c r="V18" s="26"/>
      <c r="W18" s="29"/>
      <c r="X18" s="33"/>
      <c r="Y18" s="26"/>
    </row>
    <row r="19" spans="1:25" x14ac:dyDescent="0.25">
      <c r="A19" s="26" t="s">
        <v>24</v>
      </c>
      <c r="B19" s="26" t="s">
        <v>25</v>
      </c>
      <c r="C19" s="27">
        <v>177160</v>
      </c>
      <c r="D19" s="26" t="s">
        <v>63</v>
      </c>
      <c r="E19" s="28">
        <f>1882*1.1</f>
        <v>2070.2000000000003</v>
      </c>
      <c r="F19" s="29" t="s">
        <v>27</v>
      </c>
      <c r="G19" s="30">
        <v>42867.397407407407</v>
      </c>
      <c r="H19" s="31">
        <v>2020</v>
      </c>
      <c r="I19" s="30" t="s">
        <v>38</v>
      </c>
      <c r="J19" s="29" t="s">
        <v>38</v>
      </c>
      <c r="K19" s="29" t="s">
        <v>39</v>
      </c>
      <c r="L19" s="26" t="s">
        <v>31</v>
      </c>
      <c r="M19" s="29" t="s">
        <v>30</v>
      </c>
      <c r="N19" s="30">
        <v>42887</v>
      </c>
      <c r="O19" s="29" t="s">
        <v>34</v>
      </c>
      <c r="P19" s="26"/>
      <c r="Q19" s="26"/>
      <c r="R19" s="26"/>
      <c r="S19" s="26"/>
      <c r="T19" s="26"/>
      <c r="U19" s="26"/>
      <c r="V19" s="26"/>
      <c r="W19" s="29">
        <v>4.3600000000000003</v>
      </c>
      <c r="X19" s="33">
        <v>19950.98</v>
      </c>
      <c r="Y19" s="26" t="s">
        <v>40</v>
      </c>
    </row>
    <row r="20" spans="1:25" x14ac:dyDescent="0.25">
      <c r="A20" s="26" t="s">
        <v>24</v>
      </c>
      <c r="B20" s="26" t="s">
        <v>25</v>
      </c>
      <c r="C20" s="27">
        <v>178024</v>
      </c>
      <c r="D20" s="26" t="s">
        <v>35</v>
      </c>
      <c r="E20" s="28">
        <f>2936*1.1</f>
        <v>3229.6000000000004</v>
      </c>
      <c r="F20" s="29" t="s">
        <v>27</v>
      </c>
      <c r="G20" s="30">
        <v>42884.911458333328</v>
      </c>
      <c r="H20" s="31">
        <f t="shared" si="0"/>
        <v>2019</v>
      </c>
      <c r="I20" s="30" t="s">
        <v>38</v>
      </c>
      <c r="J20" s="29" t="s">
        <v>38</v>
      </c>
      <c r="K20" s="29" t="s">
        <v>39</v>
      </c>
      <c r="L20" s="26" t="s">
        <v>31</v>
      </c>
      <c r="M20" s="29" t="s">
        <v>30</v>
      </c>
      <c r="N20" s="30">
        <v>42915</v>
      </c>
      <c r="O20" s="29" t="s">
        <v>34</v>
      </c>
      <c r="P20" s="26"/>
      <c r="Q20" s="37">
        <v>2280</v>
      </c>
      <c r="R20" s="35">
        <f>E20-Q20</f>
        <v>949.60000000000036</v>
      </c>
      <c r="S20" s="26"/>
      <c r="T20" s="38">
        <v>43609</v>
      </c>
      <c r="U20" s="36">
        <v>43586</v>
      </c>
      <c r="V20" s="26"/>
      <c r="W20" s="29">
        <v>4.78</v>
      </c>
      <c r="X20" s="33">
        <v>19996.52</v>
      </c>
      <c r="Y20" s="26" t="s">
        <v>32</v>
      </c>
    </row>
    <row r="21" spans="1:25" x14ac:dyDescent="0.25">
      <c r="A21" s="26" t="s">
        <v>24</v>
      </c>
      <c r="B21" s="26" t="s">
        <v>25</v>
      </c>
      <c r="C21" s="27">
        <v>182757</v>
      </c>
      <c r="D21" s="26" t="s">
        <v>35</v>
      </c>
      <c r="E21" s="28">
        <f>7816*1.1</f>
        <v>8597.6</v>
      </c>
      <c r="F21" s="29" t="s">
        <v>27</v>
      </c>
      <c r="G21" s="30">
        <v>42984.643020833333</v>
      </c>
      <c r="H21" s="31">
        <f t="shared" ref="H21:H47" si="1">VALUE(RIGHT(I21,4))</f>
        <v>2020</v>
      </c>
      <c r="I21" s="30" t="s">
        <v>29</v>
      </c>
      <c r="J21" s="30" t="s">
        <v>29</v>
      </c>
      <c r="K21" s="29" t="s">
        <v>29</v>
      </c>
      <c r="L21" s="26" t="s">
        <v>64</v>
      </c>
      <c r="M21" s="29" t="s">
        <v>37</v>
      </c>
      <c r="N21" s="30">
        <v>43007</v>
      </c>
      <c r="O21" s="29" t="s">
        <v>34</v>
      </c>
      <c r="P21" s="26"/>
      <c r="Q21" s="26"/>
      <c r="R21" s="26"/>
      <c r="S21" s="26"/>
      <c r="T21" s="26"/>
      <c r="U21" s="26"/>
      <c r="V21" s="26"/>
      <c r="W21" s="29">
        <v>20.116</v>
      </c>
      <c r="X21" s="33">
        <v>78550.176000000007</v>
      </c>
      <c r="Y21" s="26" t="s">
        <v>32</v>
      </c>
    </row>
    <row r="22" spans="1:25" x14ac:dyDescent="0.25">
      <c r="A22" s="26" t="s">
        <v>24</v>
      </c>
      <c r="B22" s="26" t="s">
        <v>25</v>
      </c>
      <c r="C22" s="27">
        <v>186235</v>
      </c>
      <c r="D22" s="26" t="s">
        <v>35</v>
      </c>
      <c r="E22" s="28">
        <f>403.78*1.1</f>
        <v>444.15800000000002</v>
      </c>
      <c r="F22" s="29" t="s">
        <v>27</v>
      </c>
      <c r="G22" s="30">
        <v>43054.42350694444</v>
      </c>
      <c r="H22" s="31">
        <f t="shared" si="1"/>
        <v>2020</v>
      </c>
      <c r="I22" s="30" t="s">
        <v>29</v>
      </c>
      <c r="J22" s="30" t="s">
        <v>29</v>
      </c>
      <c r="K22" s="29" t="s">
        <v>29</v>
      </c>
      <c r="L22" s="26" t="s">
        <v>36</v>
      </c>
      <c r="M22" s="29" t="s">
        <v>37</v>
      </c>
      <c r="N22" s="30">
        <v>43070</v>
      </c>
      <c r="O22" s="29" t="s">
        <v>34</v>
      </c>
      <c r="P22" s="26"/>
      <c r="Q22" s="26"/>
      <c r="R22" s="26"/>
      <c r="S22" s="26"/>
      <c r="T22" s="26"/>
      <c r="U22" s="26"/>
      <c r="V22" s="26"/>
      <c r="W22" s="29">
        <v>0</v>
      </c>
      <c r="X22" s="33">
        <v>4037.8519999999999</v>
      </c>
      <c r="Y22" s="26" t="s">
        <v>32</v>
      </c>
    </row>
    <row r="23" spans="1:25" x14ac:dyDescent="0.25">
      <c r="A23" s="26" t="s">
        <v>24</v>
      </c>
      <c r="B23" s="26" t="s">
        <v>25</v>
      </c>
      <c r="C23" s="27">
        <v>187907</v>
      </c>
      <c r="D23" s="26" t="s">
        <v>35</v>
      </c>
      <c r="E23" s="28">
        <f>980*1.1</f>
        <v>1078</v>
      </c>
      <c r="F23" s="29" t="s">
        <v>27</v>
      </c>
      <c r="G23" s="30">
        <v>43086.467164351852</v>
      </c>
      <c r="H23" s="31">
        <v>2019</v>
      </c>
      <c r="I23" s="30" t="s">
        <v>29</v>
      </c>
      <c r="J23" s="30" t="s">
        <v>29</v>
      </c>
      <c r="K23" s="29" t="s">
        <v>29</v>
      </c>
      <c r="L23" s="26" t="s">
        <v>41</v>
      </c>
      <c r="M23" s="29" t="s">
        <v>37</v>
      </c>
      <c r="N23" s="30">
        <v>43097</v>
      </c>
      <c r="O23" s="29" t="s">
        <v>34</v>
      </c>
      <c r="P23" s="26"/>
      <c r="Q23" s="26"/>
      <c r="R23" s="26"/>
      <c r="S23" s="26"/>
      <c r="T23" s="26"/>
      <c r="U23" s="26"/>
      <c r="V23" s="26"/>
      <c r="W23" s="29">
        <v>0</v>
      </c>
      <c r="X23" s="33">
        <v>10911.6</v>
      </c>
      <c r="Y23" s="26" t="s">
        <v>32</v>
      </c>
    </row>
    <row r="24" spans="1:25" x14ac:dyDescent="0.25">
      <c r="A24" s="26" t="s">
        <v>24</v>
      </c>
      <c r="B24" s="26" t="s">
        <v>25</v>
      </c>
      <c r="C24" s="27">
        <v>190753</v>
      </c>
      <c r="D24" s="26" t="s">
        <v>50</v>
      </c>
      <c r="E24" s="28">
        <f>9102.37*1.1</f>
        <v>10012.607000000002</v>
      </c>
      <c r="F24" s="29" t="s">
        <v>27</v>
      </c>
      <c r="G24" s="30">
        <v>43160.613900462959</v>
      </c>
      <c r="H24" s="31">
        <f t="shared" si="1"/>
        <v>2020</v>
      </c>
      <c r="I24" s="30" t="s">
        <v>57</v>
      </c>
      <c r="J24" s="29" t="s">
        <v>57</v>
      </c>
      <c r="K24" s="29" t="s">
        <v>58</v>
      </c>
      <c r="L24" s="26" t="s">
        <v>36</v>
      </c>
      <c r="M24" s="29" t="s">
        <v>37</v>
      </c>
      <c r="N24" s="30">
        <v>43182</v>
      </c>
      <c r="O24" s="29" t="s">
        <v>34</v>
      </c>
      <c r="P24" s="26"/>
      <c r="Q24" s="26">
        <v>9102.3700000000008</v>
      </c>
      <c r="R24" s="35">
        <f>E24-Q24</f>
        <v>910.23700000000099</v>
      </c>
      <c r="S24" s="26"/>
      <c r="T24" s="38">
        <v>43578</v>
      </c>
      <c r="U24" s="36">
        <v>43556</v>
      </c>
      <c r="V24" s="26"/>
      <c r="W24" s="29">
        <v>0</v>
      </c>
      <c r="X24" s="33">
        <v>71023.7</v>
      </c>
      <c r="Y24" s="26" t="s">
        <v>32</v>
      </c>
    </row>
    <row r="25" spans="1:25" x14ac:dyDescent="0.25">
      <c r="A25" s="26" t="s">
        <v>24</v>
      </c>
      <c r="B25" s="26" t="s">
        <v>25</v>
      </c>
      <c r="C25" s="27">
        <v>191027</v>
      </c>
      <c r="D25" s="26" t="s">
        <v>35</v>
      </c>
      <c r="E25" s="28">
        <f>6405.1*1.1</f>
        <v>7045.6100000000006</v>
      </c>
      <c r="F25" s="29" t="s">
        <v>27</v>
      </c>
      <c r="G25" s="30">
        <v>43166.552662037036</v>
      </c>
      <c r="H25" s="31">
        <f t="shared" si="1"/>
        <v>2020</v>
      </c>
      <c r="I25" s="30" t="s">
        <v>29</v>
      </c>
      <c r="J25" s="30" t="s">
        <v>29</v>
      </c>
      <c r="K25" s="29" t="s">
        <v>29</v>
      </c>
      <c r="L25" s="26" t="s">
        <v>36</v>
      </c>
      <c r="M25" s="29" t="s">
        <v>37</v>
      </c>
      <c r="N25" s="30">
        <v>43133</v>
      </c>
      <c r="O25" s="29" t="s">
        <v>34</v>
      </c>
      <c r="P25" s="26"/>
      <c r="Q25" s="26"/>
      <c r="R25" s="26"/>
      <c r="S25" s="26"/>
      <c r="T25" s="26"/>
      <c r="U25" s="26"/>
      <c r="V25" s="26"/>
      <c r="W25" s="29">
        <v>0</v>
      </c>
      <c r="X25" s="33">
        <v>64051.05</v>
      </c>
      <c r="Y25" s="26" t="s">
        <v>32</v>
      </c>
    </row>
    <row r="26" spans="1:25" x14ac:dyDescent="0.25">
      <c r="A26" s="26" t="s">
        <v>24</v>
      </c>
      <c r="B26" s="26" t="s">
        <v>25</v>
      </c>
      <c r="C26" s="27">
        <v>191271</v>
      </c>
      <c r="D26" s="26" t="s">
        <v>35</v>
      </c>
      <c r="E26" s="28">
        <f>1400*1.1</f>
        <v>1540.0000000000002</v>
      </c>
      <c r="F26" s="29" t="s">
        <v>27</v>
      </c>
      <c r="G26" s="30">
        <v>43172.394594907404</v>
      </c>
      <c r="H26" s="31">
        <f t="shared" si="1"/>
        <v>2019</v>
      </c>
      <c r="I26" s="30" t="s">
        <v>39</v>
      </c>
      <c r="J26" s="29" t="s">
        <v>39</v>
      </c>
      <c r="K26" s="29" t="s">
        <v>28</v>
      </c>
      <c r="L26" s="26" t="s">
        <v>53</v>
      </c>
      <c r="M26" s="29" t="s">
        <v>37</v>
      </c>
      <c r="N26" s="30">
        <v>43189</v>
      </c>
      <c r="O26" s="29" t="s">
        <v>34</v>
      </c>
      <c r="P26" s="26"/>
      <c r="Q26" s="26">
        <v>1400</v>
      </c>
      <c r="R26" s="35">
        <f>E26-Q26</f>
        <v>140.00000000000023</v>
      </c>
      <c r="S26" s="26"/>
      <c r="T26" s="26"/>
      <c r="U26" s="36">
        <v>43586</v>
      </c>
      <c r="V26" s="26"/>
      <c r="W26" s="29">
        <v>0</v>
      </c>
      <c r="X26" s="33">
        <v>16346.4</v>
      </c>
      <c r="Y26" s="26" t="s">
        <v>40</v>
      </c>
    </row>
    <row r="27" spans="1:25" x14ac:dyDescent="0.25">
      <c r="A27" s="26" t="s">
        <v>24</v>
      </c>
      <c r="B27" s="26" t="s">
        <v>25</v>
      </c>
      <c r="C27" s="27">
        <v>193428</v>
      </c>
      <c r="D27" s="26" t="s">
        <v>35</v>
      </c>
      <c r="E27" s="28">
        <f>3220*1.1</f>
        <v>3542.0000000000005</v>
      </c>
      <c r="F27" s="29" t="s">
        <v>27</v>
      </c>
      <c r="G27" s="30">
        <v>43221.508125</v>
      </c>
      <c r="H27" s="31">
        <f t="shared" si="1"/>
        <v>2019</v>
      </c>
      <c r="I27" s="30" t="s">
        <v>38</v>
      </c>
      <c r="J27" s="29" t="s">
        <v>38</v>
      </c>
      <c r="K27" s="29" t="s">
        <v>39</v>
      </c>
      <c r="L27" s="26" t="s">
        <v>44</v>
      </c>
      <c r="M27" s="29" t="s">
        <v>37</v>
      </c>
      <c r="N27" s="30">
        <v>43252</v>
      </c>
      <c r="O27" s="29" t="s">
        <v>34</v>
      </c>
      <c r="P27" s="26"/>
      <c r="Q27" s="26"/>
      <c r="R27" s="26"/>
      <c r="S27" s="26"/>
      <c r="T27" s="26"/>
      <c r="U27" s="26"/>
      <c r="V27" s="26"/>
      <c r="W27" s="29">
        <v>3.96</v>
      </c>
      <c r="X27" s="33">
        <v>15906.98</v>
      </c>
      <c r="Y27" s="26" t="s">
        <v>40</v>
      </c>
    </row>
    <row r="28" spans="1:25" x14ac:dyDescent="0.25">
      <c r="A28" s="26" t="s">
        <v>24</v>
      </c>
      <c r="B28" s="26" t="s">
        <v>25</v>
      </c>
      <c r="C28" s="27">
        <v>193522</v>
      </c>
      <c r="D28" s="26" t="s">
        <v>50</v>
      </c>
      <c r="E28" s="28">
        <f>25847.9*1.1</f>
        <v>28432.690000000002</v>
      </c>
      <c r="F28" s="29" t="s">
        <v>27</v>
      </c>
      <c r="G28" s="30">
        <v>43223.439722222218</v>
      </c>
      <c r="H28" s="31">
        <f t="shared" si="1"/>
        <v>2020</v>
      </c>
      <c r="I28" s="30" t="s">
        <v>29</v>
      </c>
      <c r="J28" s="30" t="s">
        <v>29</v>
      </c>
      <c r="K28" s="29" t="s">
        <v>29</v>
      </c>
      <c r="L28" s="26" t="s">
        <v>66</v>
      </c>
      <c r="M28" s="29" t="s">
        <v>37</v>
      </c>
      <c r="N28" s="30">
        <v>43312</v>
      </c>
      <c r="O28" s="29" t="s">
        <v>34</v>
      </c>
      <c r="P28" s="26"/>
      <c r="Q28" s="26">
        <v>28432.69</v>
      </c>
      <c r="R28" s="35">
        <f>E28-Q28</f>
        <v>0</v>
      </c>
      <c r="S28" s="26"/>
      <c r="T28" s="38">
        <v>43609</v>
      </c>
      <c r="U28" s="36">
        <v>43586</v>
      </c>
      <c r="V28" s="26"/>
      <c r="W28" s="29">
        <v>0</v>
      </c>
      <c r="X28" s="33">
        <v>358630</v>
      </c>
      <c r="Y28" s="26" t="s">
        <v>32</v>
      </c>
    </row>
    <row r="29" spans="1:25" x14ac:dyDescent="0.25">
      <c r="A29" s="26" t="s">
        <v>24</v>
      </c>
      <c r="B29" s="26" t="s">
        <v>25</v>
      </c>
      <c r="C29" s="27">
        <v>193916</v>
      </c>
      <c r="D29" s="26" t="s">
        <v>35</v>
      </c>
      <c r="E29" s="28">
        <f>4954*1.1</f>
        <v>5449.4000000000005</v>
      </c>
      <c r="F29" s="29" t="s">
        <v>27</v>
      </c>
      <c r="G29" s="30">
        <v>43231.497835648144</v>
      </c>
      <c r="H29" s="31">
        <f t="shared" si="1"/>
        <v>2019</v>
      </c>
      <c r="I29" s="30" t="s">
        <v>39</v>
      </c>
      <c r="J29" s="29" t="s">
        <v>39</v>
      </c>
      <c r="K29" s="29" t="s">
        <v>28</v>
      </c>
      <c r="L29" s="26" t="s">
        <v>66</v>
      </c>
      <c r="M29" s="29" t="s">
        <v>37</v>
      </c>
      <c r="N29" s="30">
        <v>43245</v>
      </c>
      <c r="O29" s="29" t="s">
        <v>34</v>
      </c>
      <c r="P29" s="26"/>
      <c r="Q29" s="26">
        <v>4954</v>
      </c>
      <c r="R29" s="35">
        <f>E29-Q29</f>
        <v>495.40000000000055</v>
      </c>
      <c r="S29" s="26"/>
      <c r="T29" s="26"/>
      <c r="U29" s="36">
        <v>43647</v>
      </c>
      <c r="V29" s="26"/>
      <c r="W29" s="29">
        <v>2.92</v>
      </c>
      <c r="X29" s="33">
        <v>19200.41</v>
      </c>
      <c r="Y29" s="26" t="s">
        <v>32</v>
      </c>
    </row>
    <row r="30" spans="1:25" x14ac:dyDescent="0.25">
      <c r="A30" s="26" t="s">
        <v>24</v>
      </c>
      <c r="B30" s="26" t="s">
        <v>25</v>
      </c>
      <c r="C30" s="27">
        <v>194425</v>
      </c>
      <c r="D30" s="26" t="s">
        <v>35</v>
      </c>
      <c r="E30" s="28">
        <f>3396*1.1</f>
        <v>3735.6000000000004</v>
      </c>
      <c r="F30" s="29" t="s">
        <v>27</v>
      </c>
      <c r="G30" s="30">
        <v>43243.394074074073</v>
      </c>
      <c r="H30" s="31">
        <f t="shared" si="1"/>
        <v>2020</v>
      </c>
      <c r="I30" s="30" t="s">
        <v>48</v>
      </c>
      <c r="J30" s="30" t="s">
        <v>48</v>
      </c>
      <c r="K30" s="30" t="s">
        <v>48</v>
      </c>
      <c r="L30" s="26" t="s">
        <v>44</v>
      </c>
      <c r="M30" s="29" t="s">
        <v>37</v>
      </c>
      <c r="N30" s="30">
        <v>43245</v>
      </c>
      <c r="O30" s="29" t="s">
        <v>34</v>
      </c>
      <c r="P30" s="26"/>
      <c r="Q30" s="26"/>
      <c r="R30" s="26"/>
      <c r="S30" s="26"/>
      <c r="T30" s="26"/>
      <c r="U30" s="26"/>
      <c r="V30" s="26"/>
      <c r="W30" s="29">
        <v>2.95</v>
      </c>
      <c r="X30" s="33">
        <v>13535.76</v>
      </c>
      <c r="Y30" s="26" t="s">
        <v>40</v>
      </c>
    </row>
    <row r="31" spans="1:25" x14ac:dyDescent="0.25">
      <c r="A31" s="26" t="s">
        <v>24</v>
      </c>
      <c r="B31" s="26" t="s">
        <v>25</v>
      </c>
      <c r="C31" s="27">
        <v>195186</v>
      </c>
      <c r="D31" s="26" t="s">
        <v>35</v>
      </c>
      <c r="E31" s="28">
        <f>1535.65*1.1</f>
        <v>1689.2150000000001</v>
      </c>
      <c r="F31" s="29" t="s">
        <v>27</v>
      </c>
      <c r="G31" s="30">
        <v>43259.485266203701</v>
      </c>
      <c r="H31" s="31">
        <f t="shared" si="1"/>
        <v>2019</v>
      </c>
      <c r="I31" s="30" t="s">
        <v>38</v>
      </c>
      <c r="J31" s="29" t="s">
        <v>38</v>
      </c>
      <c r="K31" s="29" t="s">
        <v>39</v>
      </c>
      <c r="L31" s="26" t="s">
        <v>36</v>
      </c>
      <c r="M31" s="29" t="s">
        <v>37</v>
      </c>
      <c r="N31" s="30">
        <v>43281</v>
      </c>
      <c r="O31" s="29" t="s">
        <v>34</v>
      </c>
      <c r="P31" s="26"/>
      <c r="Q31" s="26">
        <v>1383.65</v>
      </c>
      <c r="R31" s="35">
        <f>E31-Q31</f>
        <v>305.56500000000005</v>
      </c>
      <c r="S31" s="26"/>
      <c r="T31" s="26"/>
      <c r="U31" s="36">
        <v>43586</v>
      </c>
      <c r="V31" s="26"/>
      <c r="W31" s="29">
        <v>3.2</v>
      </c>
      <c r="X31" s="33">
        <v>27673</v>
      </c>
      <c r="Y31" s="26" t="s">
        <v>32</v>
      </c>
    </row>
    <row r="32" spans="1:25" x14ac:dyDescent="0.25">
      <c r="A32" s="26" t="s">
        <v>24</v>
      </c>
      <c r="B32" s="26" t="s">
        <v>25</v>
      </c>
      <c r="C32" s="27">
        <v>196748</v>
      </c>
      <c r="D32" s="26" t="s">
        <v>35</v>
      </c>
      <c r="E32" s="28">
        <f>2500*1.1</f>
        <v>2750</v>
      </c>
      <c r="F32" s="29" t="s">
        <v>27</v>
      </c>
      <c r="G32" s="30">
        <v>43292.576342592591</v>
      </c>
      <c r="H32" s="31">
        <f t="shared" si="1"/>
        <v>2020</v>
      </c>
      <c r="I32" s="30" t="s">
        <v>29</v>
      </c>
      <c r="J32" s="30" t="s">
        <v>29</v>
      </c>
      <c r="K32" s="29" t="s">
        <v>29</v>
      </c>
      <c r="L32" s="26" t="s">
        <v>66</v>
      </c>
      <c r="M32" s="29" t="s">
        <v>37</v>
      </c>
      <c r="N32" s="30">
        <v>43288</v>
      </c>
      <c r="O32" s="29" t="s">
        <v>34</v>
      </c>
      <c r="P32" s="26"/>
      <c r="Q32" s="26">
        <v>2500</v>
      </c>
      <c r="R32" s="35">
        <f>E32-Q32</f>
        <v>250</v>
      </c>
      <c r="S32" s="26"/>
      <c r="T32" s="26"/>
      <c r="U32" s="36">
        <v>43647</v>
      </c>
      <c r="V32" s="26"/>
      <c r="W32" s="29">
        <v>1.56</v>
      </c>
      <c r="X32" s="33">
        <v>7166.64</v>
      </c>
      <c r="Y32" s="26" t="s">
        <v>32</v>
      </c>
    </row>
    <row r="33" spans="1:25" x14ac:dyDescent="0.25">
      <c r="A33" s="26" t="s">
        <v>24</v>
      </c>
      <c r="B33" s="26" t="s">
        <v>25</v>
      </c>
      <c r="C33" s="27">
        <v>197232</v>
      </c>
      <c r="D33" s="26" t="s">
        <v>35</v>
      </c>
      <c r="E33" s="28">
        <f>760*1.1</f>
        <v>836.00000000000011</v>
      </c>
      <c r="F33" s="29" t="s">
        <v>27</v>
      </c>
      <c r="G33" s="30">
        <v>43301.636643518519</v>
      </c>
      <c r="H33" s="31">
        <f t="shared" si="1"/>
        <v>2019</v>
      </c>
      <c r="I33" s="30" t="s">
        <v>38</v>
      </c>
      <c r="J33" s="29" t="s">
        <v>38</v>
      </c>
      <c r="K33" s="29" t="s">
        <v>39</v>
      </c>
      <c r="L33" s="26" t="s">
        <v>53</v>
      </c>
      <c r="M33" s="29" t="s">
        <v>37</v>
      </c>
      <c r="N33" s="30">
        <v>43308</v>
      </c>
      <c r="O33" s="29" t="s">
        <v>34</v>
      </c>
      <c r="P33" s="26"/>
      <c r="Q33" s="26">
        <v>320</v>
      </c>
      <c r="R33" s="35">
        <f>E33-Q33</f>
        <v>516.00000000000011</v>
      </c>
      <c r="S33" s="26"/>
      <c r="T33" s="26"/>
      <c r="U33" s="36">
        <v>43586</v>
      </c>
      <c r="V33" s="26"/>
      <c r="W33" s="29">
        <v>0.8</v>
      </c>
      <c r="X33" s="33">
        <v>5089</v>
      </c>
      <c r="Y33" s="26" t="s">
        <v>40</v>
      </c>
    </row>
    <row r="34" spans="1:25" x14ac:dyDescent="0.25">
      <c r="A34" s="26" t="s">
        <v>24</v>
      </c>
      <c r="B34" s="26" t="s">
        <v>25</v>
      </c>
      <c r="C34" s="27">
        <v>198308</v>
      </c>
      <c r="D34" s="26" t="s">
        <v>35</v>
      </c>
      <c r="E34" s="28">
        <f>273.31*1.1</f>
        <v>300.64100000000002</v>
      </c>
      <c r="F34" s="29" t="s">
        <v>27</v>
      </c>
      <c r="G34" s="30">
        <v>43328.685243055552</v>
      </c>
      <c r="H34" s="31">
        <f t="shared" si="1"/>
        <v>2019</v>
      </c>
      <c r="I34" s="30" t="s">
        <v>38</v>
      </c>
      <c r="J34" s="29" t="s">
        <v>38</v>
      </c>
      <c r="K34" s="29" t="s">
        <v>39</v>
      </c>
      <c r="L34" s="26" t="s">
        <v>53</v>
      </c>
      <c r="M34" s="29" t="s">
        <v>37</v>
      </c>
      <c r="N34" s="30">
        <v>43336</v>
      </c>
      <c r="O34" s="29" t="s">
        <v>34</v>
      </c>
      <c r="P34" s="26"/>
      <c r="Q34" s="26">
        <v>273.31</v>
      </c>
      <c r="R34" s="35">
        <f>E34-Q34</f>
        <v>27.331000000000017</v>
      </c>
      <c r="S34" s="26"/>
      <c r="T34" s="26"/>
      <c r="U34" s="36">
        <v>43586</v>
      </c>
      <c r="V34" s="26"/>
      <c r="W34" s="29">
        <v>0</v>
      </c>
      <c r="X34" s="33">
        <v>2733.12</v>
      </c>
      <c r="Y34" s="26" t="s">
        <v>40</v>
      </c>
    </row>
    <row r="35" spans="1:25" x14ac:dyDescent="0.25">
      <c r="A35" s="26" t="s">
        <v>24</v>
      </c>
      <c r="B35" s="26" t="s">
        <v>25</v>
      </c>
      <c r="C35" s="27">
        <v>198543</v>
      </c>
      <c r="D35" s="26" t="s">
        <v>35</v>
      </c>
      <c r="E35" s="28">
        <f>5569.04*1.1</f>
        <v>6125.9440000000004</v>
      </c>
      <c r="F35" s="29" t="s">
        <v>27</v>
      </c>
      <c r="G35" s="30">
        <v>43335.462152777778</v>
      </c>
      <c r="H35" s="31">
        <v>2019</v>
      </c>
      <c r="I35" s="30" t="s">
        <v>29</v>
      </c>
      <c r="J35" s="30" t="s">
        <v>29</v>
      </c>
      <c r="K35" s="29" t="s">
        <v>29</v>
      </c>
      <c r="L35" s="26" t="s">
        <v>56</v>
      </c>
      <c r="M35" s="29" t="s">
        <v>45</v>
      </c>
      <c r="N35" s="30">
        <v>43336</v>
      </c>
      <c r="O35" s="29" t="s">
        <v>34</v>
      </c>
      <c r="P35" s="26"/>
      <c r="Q35" s="26"/>
      <c r="R35" s="35"/>
      <c r="S35" s="26"/>
      <c r="T35" s="26"/>
      <c r="U35" s="26"/>
      <c r="V35" s="26"/>
      <c r="W35" s="29">
        <v>0</v>
      </c>
      <c r="X35" s="33">
        <v>55690.48</v>
      </c>
      <c r="Y35" s="26" t="s">
        <v>32</v>
      </c>
    </row>
    <row r="36" spans="1:25" x14ac:dyDescent="0.25">
      <c r="A36" s="26" t="s">
        <v>24</v>
      </c>
      <c r="B36" s="26" t="s">
        <v>25</v>
      </c>
      <c r="C36" s="27">
        <v>198551</v>
      </c>
      <c r="D36" s="26" t="s">
        <v>35</v>
      </c>
      <c r="E36" s="28">
        <f>1275*1.1</f>
        <v>1402.5</v>
      </c>
      <c r="F36" s="29" t="s">
        <v>27</v>
      </c>
      <c r="G36" s="30">
        <v>43335.485972222217</v>
      </c>
      <c r="H36" s="31">
        <f t="shared" si="1"/>
        <v>2019</v>
      </c>
      <c r="I36" s="30" t="s">
        <v>39</v>
      </c>
      <c r="J36" s="29" t="s">
        <v>39</v>
      </c>
      <c r="K36" s="29" t="s">
        <v>28</v>
      </c>
      <c r="L36" s="26" t="s">
        <v>53</v>
      </c>
      <c r="M36" s="29" t="s">
        <v>37</v>
      </c>
      <c r="N36" s="30">
        <v>43336</v>
      </c>
      <c r="O36" s="29" t="s">
        <v>34</v>
      </c>
      <c r="P36" s="26"/>
      <c r="Q36" s="26"/>
      <c r="R36" s="35"/>
      <c r="S36" s="26"/>
      <c r="T36" s="26"/>
      <c r="U36" s="26"/>
      <c r="V36" s="26"/>
      <c r="W36" s="29">
        <v>0</v>
      </c>
      <c r="X36" s="33">
        <v>14280</v>
      </c>
      <c r="Y36" s="26" t="s">
        <v>40</v>
      </c>
    </row>
    <row r="37" spans="1:25" x14ac:dyDescent="0.25">
      <c r="A37" s="26" t="s">
        <v>24</v>
      </c>
      <c r="B37" s="26" t="s">
        <v>25</v>
      </c>
      <c r="C37" s="27">
        <v>198728</v>
      </c>
      <c r="D37" s="26" t="s">
        <v>35</v>
      </c>
      <c r="E37" s="28">
        <f>3106.62*1.1</f>
        <v>3417.2820000000002</v>
      </c>
      <c r="F37" s="29" t="s">
        <v>27</v>
      </c>
      <c r="G37" s="30">
        <v>43340.454525462963</v>
      </c>
      <c r="H37" s="31">
        <f t="shared" si="1"/>
        <v>2020</v>
      </c>
      <c r="I37" s="30" t="s">
        <v>29</v>
      </c>
      <c r="J37" s="30" t="s">
        <v>29</v>
      </c>
      <c r="K37" s="29" t="s">
        <v>29</v>
      </c>
      <c r="L37" s="26" t="s">
        <v>56</v>
      </c>
      <c r="M37" s="29" t="s">
        <v>37</v>
      </c>
      <c r="N37" s="30">
        <v>43343</v>
      </c>
      <c r="O37" s="29" t="s">
        <v>34</v>
      </c>
      <c r="P37" s="26"/>
      <c r="Q37" s="26">
        <v>3106.62</v>
      </c>
      <c r="R37" s="35">
        <f>E37-Q37</f>
        <v>310.66200000000026</v>
      </c>
      <c r="S37" s="26"/>
      <c r="T37" s="26"/>
      <c r="U37" s="36">
        <v>43586</v>
      </c>
      <c r="V37" s="26"/>
      <c r="W37" s="29">
        <v>0</v>
      </c>
      <c r="X37" s="33">
        <v>31066.22</v>
      </c>
      <c r="Y37" s="26" t="s">
        <v>32</v>
      </c>
    </row>
    <row r="38" spans="1:25" x14ac:dyDescent="0.25">
      <c r="A38" s="26" t="s">
        <v>24</v>
      </c>
      <c r="B38" s="26" t="s">
        <v>25</v>
      </c>
      <c r="C38" s="27">
        <v>198733</v>
      </c>
      <c r="D38" s="26" t="s">
        <v>35</v>
      </c>
      <c r="E38" s="28">
        <f>10890*1.1</f>
        <v>11979.000000000002</v>
      </c>
      <c r="F38" s="29" t="s">
        <v>27</v>
      </c>
      <c r="G38" s="30">
        <v>43340.487013888887</v>
      </c>
      <c r="H38" s="31">
        <f t="shared" si="1"/>
        <v>2020</v>
      </c>
      <c r="I38" s="30" t="s">
        <v>29</v>
      </c>
      <c r="J38" s="30" t="s">
        <v>29</v>
      </c>
      <c r="K38" s="29" t="s">
        <v>29</v>
      </c>
      <c r="L38" s="26" t="s">
        <v>44</v>
      </c>
      <c r="M38" s="29" t="s">
        <v>68</v>
      </c>
      <c r="N38" s="30">
        <v>43353</v>
      </c>
      <c r="O38" s="29" t="s">
        <v>34</v>
      </c>
      <c r="P38" s="26"/>
      <c r="Q38" s="26">
        <v>10890</v>
      </c>
      <c r="R38" s="35">
        <f>E38-Q38</f>
        <v>1089.0000000000018</v>
      </c>
      <c r="S38" s="26"/>
      <c r="T38" s="38">
        <v>43609</v>
      </c>
      <c r="U38" s="26"/>
      <c r="V38" s="26"/>
      <c r="W38" s="29">
        <v>0</v>
      </c>
      <c r="X38" s="33">
        <v>121254</v>
      </c>
      <c r="Y38" s="26" t="s">
        <v>32</v>
      </c>
    </row>
    <row r="39" spans="1:25" x14ac:dyDescent="0.25">
      <c r="A39" s="26" t="s">
        <v>24</v>
      </c>
      <c r="B39" s="26" t="s">
        <v>25</v>
      </c>
      <c r="C39" s="27">
        <v>198736</v>
      </c>
      <c r="D39" s="26" t="s">
        <v>35</v>
      </c>
      <c r="E39" s="28">
        <f>417.2*1.1</f>
        <v>458.92</v>
      </c>
      <c r="F39" s="29" t="s">
        <v>27</v>
      </c>
      <c r="G39" s="30">
        <v>43340.489652777775</v>
      </c>
      <c r="H39" s="31">
        <f t="shared" si="1"/>
        <v>2019</v>
      </c>
      <c r="I39" s="30" t="s">
        <v>39</v>
      </c>
      <c r="J39" s="29" t="s">
        <v>39</v>
      </c>
      <c r="K39" s="29" t="s">
        <v>28</v>
      </c>
      <c r="L39" s="26" t="s">
        <v>54</v>
      </c>
      <c r="M39" s="29" t="s">
        <v>37</v>
      </c>
      <c r="N39" s="30">
        <v>43363</v>
      </c>
      <c r="O39" s="29" t="s">
        <v>34</v>
      </c>
      <c r="P39" s="26"/>
      <c r="Q39" s="26"/>
      <c r="R39" s="35"/>
      <c r="S39" s="26"/>
      <c r="T39" s="26"/>
      <c r="U39" s="26"/>
      <c r="V39" s="26"/>
      <c r="W39" s="29">
        <v>2.4</v>
      </c>
      <c r="X39" s="33">
        <v>15219</v>
      </c>
      <c r="Y39" s="26" t="s">
        <v>40</v>
      </c>
    </row>
    <row r="40" spans="1:25" x14ac:dyDescent="0.25">
      <c r="A40" s="26" t="s">
        <v>24</v>
      </c>
      <c r="B40" s="26" t="s">
        <v>25</v>
      </c>
      <c r="C40" s="27">
        <v>199371</v>
      </c>
      <c r="D40" s="26" t="s">
        <v>35</v>
      </c>
      <c r="E40" s="28">
        <f>10920*1.1</f>
        <v>12012.000000000002</v>
      </c>
      <c r="F40" s="29" t="s">
        <v>27</v>
      </c>
      <c r="G40" s="30">
        <v>43350.652037037034</v>
      </c>
      <c r="H40" s="31">
        <v>2020</v>
      </c>
      <c r="I40" s="30" t="s">
        <v>39</v>
      </c>
      <c r="J40" s="29" t="s">
        <v>39</v>
      </c>
      <c r="K40" s="29" t="s">
        <v>28</v>
      </c>
      <c r="L40" s="26" t="s">
        <v>31</v>
      </c>
      <c r="M40" s="29" t="s">
        <v>37</v>
      </c>
      <c r="N40" s="30">
        <v>43374</v>
      </c>
      <c r="O40" s="29" t="s">
        <v>34</v>
      </c>
      <c r="P40" s="26"/>
      <c r="Q40" s="26"/>
      <c r="R40" s="26"/>
      <c r="S40" s="26"/>
      <c r="T40" s="26"/>
      <c r="U40" s="26"/>
      <c r="V40" s="26"/>
      <c r="W40" s="29">
        <v>15.6</v>
      </c>
      <c r="X40" s="33">
        <v>71666.399999999994</v>
      </c>
      <c r="Y40" s="26" t="s">
        <v>40</v>
      </c>
    </row>
    <row r="41" spans="1:25" x14ac:dyDescent="0.25">
      <c r="A41" s="26" t="s">
        <v>24</v>
      </c>
      <c r="B41" s="26" t="s">
        <v>25</v>
      </c>
      <c r="C41" s="27">
        <v>199697</v>
      </c>
      <c r="D41" s="26" t="s">
        <v>35</v>
      </c>
      <c r="E41" s="28">
        <f>850*1.1</f>
        <v>935.00000000000011</v>
      </c>
      <c r="F41" s="29" t="s">
        <v>27</v>
      </c>
      <c r="G41" s="30">
        <v>43354.506747685184</v>
      </c>
      <c r="H41" s="31">
        <f t="shared" si="1"/>
        <v>2019</v>
      </c>
      <c r="I41" s="30" t="s">
        <v>39</v>
      </c>
      <c r="J41" s="29" t="s">
        <v>39</v>
      </c>
      <c r="K41" s="29" t="s">
        <v>28</v>
      </c>
      <c r="L41" s="26" t="s">
        <v>44</v>
      </c>
      <c r="M41" s="29" t="s">
        <v>37</v>
      </c>
      <c r="N41" s="30">
        <v>43371</v>
      </c>
      <c r="O41" s="29" t="s">
        <v>34</v>
      </c>
      <c r="P41" s="26"/>
      <c r="Q41" s="37">
        <v>850</v>
      </c>
      <c r="R41" s="35">
        <f>E41-Q41</f>
        <v>85.000000000000114</v>
      </c>
      <c r="S41" s="26"/>
      <c r="T41" s="38">
        <v>43612</v>
      </c>
      <c r="U41" s="36">
        <v>43586</v>
      </c>
      <c r="V41" s="26"/>
      <c r="W41" s="29">
        <v>0.53</v>
      </c>
      <c r="X41" s="33">
        <v>2436.66</v>
      </c>
      <c r="Y41" s="26" t="s">
        <v>40</v>
      </c>
    </row>
    <row r="42" spans="1:25" x14ac:dyDescent="0.25">
      <c r="A42" s="26" t="s">
        <v>24</v>
      </c>
      <c r="B42" s="26" t="s">
        <v>25</v>
      </c>
      <c r="C42" s="27">
        <v>199713</v>
      </c>
      <c r="D42" s="26"/>
      <c r="E42" s="28"/>
      <c r="F42" s="29"/>
      <c r="G42" s="30"/>
      <c r="H42" s="31">
        <v>2020</v>
      </c>
      <c r="I42" s="30"/>
      <c r="J42" s="29"/>
      <c r="K42" s="29"/>
      <c r="L42" s="26"/>
      <c r="M42" s="29"/>
      <c r="N42" s="30"/>
      <c r="O42" s="29"/>
      <c r="P42" s="26"/>
      <c r="Q42" s="37"/>
      <c r="R42" s="35"/>
      <c r="S42" s="26"/>
      <c r="T42" s="38"/>
      <c r="U42" s="36"/>
      <c r="V42" s="26"/>
      <c r="W42" s="29">
        <v>10.6</v>
      </c>
      <c r="X42" s="33">
        <v>37104.68</v>
      </c>
      <c r="Y42" s="26" t="s">
        <v>32</v>
      </c>
    </row>
    <row r="43" spans="1:25" x14ac:dyDescent="0.25">
      <c r="A43" s="26" t="s">
        <v>24</v>
      </c>
      <c r="B43" s="26" t="s">
        <v>25</v>
      </c>
      <c r="C43" s="27">
        <v>199717</v>
      </c>
      <c r="D43" s="26" t="s">
        <v>35</v>
      </c>
      <c r="E43" s="28">
        <f>480*1.1</f>
        <v>528</v>
      </c>
      <c r="F43" s="29" t="s">
        <v>27</v>
      </c>
      <c r="G43" s="30">
        <v>43354.62462962963</v>
      </c>
      <c r="H43" s="31">
        <f t="shared" si="1"/>
        <v>2019</v>
      </c>
      <c r="I43" s="30" t="s">
        <v>39</v>
      </c>
      <c r="J43" s="29" t="s">
        <v>39</v>
      </c>
      <c r="K43" s="29" t="s">
        <v>28</v>
      </c>
      <c r="L43" s="26" t="s">
        <v>54</v>
      </c>
      <c r="M43" s="29" t="s">
        <v>37</v>
      </c>
      <c r="N43" s="30">
        <v>43364</v>
      </c>
      <c r="O43" s="29" t="s">
        <v>34</v>
      </c>
      <c r="P43" s="26"/>
      <c r="Q43" s="26">
        <v>400</v>
      </c>
      <c r="R43" s="35">
        <f>E43-Q43</f>
        <v>128</v>
      </c>
      <c r="S43" s="26"/>
      <c r="T43" s="26"/>
      <c r="U43" s="36">
        <v>43586</v>
      </c>
      <c r="V43" s="26"/>
      <c r="W43" s="29">
        <v>1</v>
      </c>
      <c r="X43" s="33">
        <v>4088</v>
      </c>
      <c r="Y43" s="26" t="s">
        <v>40</v>
      </c>
    </row>
    <row r="44" spans="1:25" x14ac:dyDescent="0.25">
      <c r="A44" s="26" t="s">
        <v>24</v>
      </c>
      <c r="B44" s="26" t="s">
        <v>25</v>
      </c>
      <c r="C44" s="27">
        <v>199740</v>
      </c>
      <c r="D44" s="26" t="s">
        <v>35</v>
      </c>
      <c r="E44" s="28">
        <f>3280*1.1</f>
        <v>3608.0000000000005</v>
      </c>
      <c r="F44" s="29" t="s">
        <v>27</v>
      </c>
      <c r="G44" s="30">
        <v>43354.939999999995</v>
      </c>
      <c r="H44" s="31">
        <f t="shared" si="1"/>
        <v>2019</v>
      </c>
      <c r="I44" s="30" t="s">
        <v>39</v>
      </c>
      <c r="J44" s="29" t="s">
        <v>39</v>
      </c>
      <c r="K44" s="29" t="s">
        <v>28</v>
      </c>
      <c r="L44" s="26" t="s">
        <v>31</v>
      </c>
      <c r="M44" s="29" t="s">
        <v>37</v>
      </c>
      <c r="N44" s="30">
        <v>43360</v>
      </c>
      <c r="O44" s="29" t="s">
        <v>34</v>
      </c>
      <c r="P44" s="26"/>
      <c r="Q44" s="37">
        <v>3280</v>
      </c>
      <c r="R44" s="35">
        <f>E44-Q44</f>
        <v>328.00000000000045</v>
      </c>
      <c r="S44" s="26"/>
      <c r="T44" s="38">
        <v>43609</v>
      </c>
      <c r="U44" s="36">
        <v>43586</v>
      </c>
      <c r="V44" s="26"/>
      <c r="W44" s="29">
        <v>6.7</v>
      </c>
      <c r="X44" s="33">
        <v>30776.12</v>
      </c>
      <c r="Y44" s="26" t="s">
        <v>32</v>
      </c>
    </row>
    <row r="45" spans="1:25" x14ac:dyDescent="0.25">
      <c r="A45" s="26" t="s">
        <v>24</v>
      </c>
      <c r="B45" s="26" t="s">
        <v>25</v>
      </c>
      <c r="C45" s="27">
        <v>199871</v>
      </c>
      <c r="D45" s="26" t="s">
        <v>35</v>
      </c>
      <c r="E45" s="28">
        <f>1375*1.1</f>
        <v>1512.5000000000002</v>
      </c>
      <c r="F45" s="29" t="s">
        <v>27</v>
      </c>
      <c r="G45" s="30">
        <v>43359.424444444441</v>
      </c>
      <c r="H45" s="31">
        <f t="shared" si="1"/>
        <v>2020</v>
      </c>
      <c r="I45" s="30" t="s">
        <v>48</v>
      </c>
      <c r="J45" s="30" t="s">
        <v>48</v>
      </c>
      <c r="K45" s="30" t="s">
        <v>48</v>
      </c>
      <c r="L45" s="26" t="s">
        <v>44</v>
      </c>
      <c r="M45" s="29" t="s">
        <v>30</v>
      </c>
      <c r="N45" s="30">
        <v>43364</v>
      </c>
      <c r="O45" s="29" t="s">
        <v>34</v>
      </c>
      <c r="P45" s="26"/>
      <c r="Q45" s="26"/>
      <c r="R45" s="26"/>
      <c r="S45" s="26"/>
      <c r="T45" s="26"/>
      <c r="U45" s="26"/>
      <c r="V45" s="26"/>
      <c r="W45" s="29">
        <v>0</v>
      </c>
      <c r="X45" s="33">
        <v>15330</v>
      </c>
      <c r="Y45" s="26" t="s">
        <v>40</v>
      </c>
    </row>
    <row r="46" spans="1:25" x14ac:dyDescent="0.25">
      <c r="A46" s="26" t="s">
        <v>24</v>
      </c>
      <c r="B46" s="26" t="s">
        <v>25</v>
      </c>
      <c r="C46" s="27">
        <v>199884</v>
      </c>
      <c r="D46" s="26" t="s">
        <v>35</v>
      </c>
      <c r="E46" s="28">
        <f>604*1.1</f>
        <v>664.40000000000009</v>
      </c>
      <c r="F46" s="29" t="s">
        <v>27</v>
      </c>
      <c r="G46" s="30">
        <v>43360.490891203699</v>
      </c>
      <c r="H46" s="31">
        <f t="shared" si="1"/>
        <v>2019</v>
      </c>
      <c r="I46" s="30" t="s">
        <v>38</v>
      </c>
      <c r="J46" s="29" t="s">
        <v>38</v>
      </c>
      <c r="K46" s="29" t="s">
        <v>39</v>
      </c>
      <c r="L46" s="26" t="s">
        <v>55</v>
      </c>
      <c r="M46" s="29" t="s">
        <v>65</v>
      </c>
      <c r="N46" s="30">
        <v>43371</v>
      </c>
      <c r="O46" s="29" t="s">
        <v>34</v>
      </c>
      <c r="P46" s="26"/>
      <c r="Q46" s="26"/>
      <c r="R46" s="26"/>
      <c r="S46" s="26"/>
      <c r="T46" s="26"/>
      <c r="U46" s="26"/>
      <c r="V46" s="26"/>
      <c r="W46" s="29">
        <v>1.5</v>
      </c>
      <c r="X46" s="33">
        <v>3004</v>
      </c>
      <c r="Y46" s="26" t="s">
        <v>40</v>
      </c>
    </row>
    <row r="47" spans="1:25" x14ac:dyDescent="0.25">
      <c r="A47" s="26" t="s">
        <v>24</v>
      </c>
      <c r="B47" s="26" t="s">
        <v>25</v>
      </c>
      <c r="C47" s="27">
        <v>199937</v>
      </c>
      <c r="D47" s="26" t="s">
        <v>35</v>
      </c>
      <c r="E47" s="28">
        <f>3240*1.1</f>
        <v>3564.0000000000005</v>
      </c>
      <c r="F47" s="29" t="s">
        <v>27</v>
      </c>
      <c r="G47" s="30">
        <v>43361.467256944445</v>
      </c>
      <c r="H47" s="31">
        <f t="shared" si="1"/>
        <v>2019</v>
      </c>
      <c r="I47" s="30" t="s">
        <v>39</v>
      </c>
      <c r="J47" s="29" t="s">
        <v>39</v>
      </c>
      <c r="K47" s="29" t="s">
        <v>28</v>
      </c>
      <c r="L47" s="26" t="s">
        <v>53</v>
      </c>
      <c r="M47" s="29" t="s">
        <v>65</v>
      </c>
      <c r="N47" s="30">
        <v>43367</v>
      </c>
      <c r="O47" s="29" t="s">
        <v>34</v>
      </c>
      <c r="P47" s="26"/>
      <c r="Q47" s="37">
        <v>3240</v>
      </c>
      <c r="R47" s="35">
        <f>E47-Q47</f>
        <v>324.00000000000045</v>
      </c>
      <c r="S47" s="26"/>
      <c r="T47" s="38">
        <v>43609</v>
      </c>
      <c r="U47" s="36">
        <v>43586</v>
      </c>
      <c r="V47" s="26"/>
      <c r="W47" s="29">
        <v>8.1</v>
      </c>
      <c r="X47" s="33">
        <v>52590</v>
      </c>
      <c r="Y47" s="26" t="s">
        <v>40</v>
      </c>
    </row>
    <row r="48" spans="1:25" x14ac:dyDescent="0.25">
      <c r="A48" s="26" t="s">
        <v>24</v>
      </c>
      <c r="B48" s="26" t="s">
        <v>25</v>
      </c>
      <c r="C48" s="27">
        <v>202169</v>
      </c>
      <c r="D48" s="26" t="s">
        <v>35</v>
      </c>
      <c r="E48" s="28">
        <f>(1325+16935)*1.1</f>
        <v>20086</v>
      </c>
      <c r="F48" s="29" t="s">
        <v>27</v>
      </c>
      <c r="G48" s="30">
        <v>43422.866689814815</v>
      </c>
      <c r="H48" s="31">
        <f t="shared" ref="H48:H84" si="2">VALUE(RIGHT(I48,4))</f>
        <v>2020</v>
      </c>
      <c r="I48" s="30" t="s">
        <v>48</v>
      </c>
      <c r="J48" s="30" t="s">
        <v>48</v>
      </c>
      <c r="K48" s="30" t="s">
        <v>48</v>
      </c>
      <c r="L48" s="26" t="s">
        <v>54</v>
      </c>
      <c r="M48" s="29" t="s">
        <v>37</v>
      </c>
      <c r="N48" s="30">
        <v>43430</v>
      </c>
      <c r="O48" s="29" t="s">
        <v>34</v>
      </c>
      <c r="P48" s="26"/>
      <c r="Q48" s="26">
        <v>18112.5</v>
      </c>
      <c r="R48" s="35">
        <f>E48-Q48</f>
        <v>1973.5</v>
      </c>
      <c r="S48" s="26"/>
      <c r="T48" s="26"/>
      <c r="U48" s="36"/>
      <c r="V48" s="26"/>
      <c r="W48" s="29">
        <v>14.44</v>
      </c>
      <c r="X48" s="33">
        <v>75730.06</v>
      </c>
      <c r="Y48" s="26" t="s">
        <v>32</v>
      </c>
    </row>
    <row r="49" spans="1:25" x14ac:dyDescent="0.25">
      <c r="A49" s="26" t="s">
        <v>24</v>
      </c>
      <c r="B49" s="26" t="s">
        <v>25</v>
      </c>
      <c r="C49" s="27">
        <v>202357</v>
      </c>
      <c r="D49" s="26" t="s">
        <v>50</v>
      </c>
      <c r="E49" s="28">
        <f>727*1.1</f>
        <v>799.7</v>
      </c>
      <c r="F49" s="29" t="s">
        <v>27</v>
      </c>
      <c r="G49" s="30">
        <v>43426.601157407407</v>
      </c>
      <c r="H49" s="31">
        <f t="shared" si="2"/>
        <v>2020</v>
      </c>
      <c r="I49" s="30" t="s">
        <v>29</v>
      </c>
      <c r="J49" s="30" t="s">
        <v>29</v>
      </c>
      <c r="K49" s="29" t="s">
        <v>29</v>
      </c>
      <c r="L49" s="26" t="s">
        <v>55</v>
      </c>
      <c r="M49" s="29" t="s">
        <v>37</v>
      </c>
      <c r="N49" s="30">
        <v>43435</v>
      </c>
      <c r="O49" s="29" t="s">
        <v>34</v>
      </c>
      <c r="P49" s="26"/>
      <c r="Q49" s="26">
        <v>702</v>
      </c>
      <c r="R49" s="35">
        <f>E49-Q49</f>
        <v>97.700000000000045</v>
      </c>
      <c r="S49" s="26"/>
      <c r="T49" s="26"/>
      <c r="U49" s="26"/>
      <c r="V49" s="26"/>
      <c r="W49" s="29">
        <v>0.65</v>
      </c>
      <c r="X49" s="33">
        <v>3093.77</v>
      </c>
      <c r="Y49" s="26" t="s">
        <v>40</v>
      </c>
    </row>
    <row r="50" spans="1:25" x14ac:dyDescent="0.25">
      <c r="A50" s="26" t="s">
        <v>24</v>
      </c>
      <c r="B50" s="26" t="s">
        <v>25</v>
      </c>
      <c r="C50" s="27">
        <v>202405</v>
      </c>
      <c r="D50" s="26" t="s">
        <v>35</v>
      </c>
      <c r="E50" s="28">
        <f>3057*1.1</f>
        <v>3362.7000000000003</v>
      </c>
      <c r="F50" s="29" t="s">
        <v>27</v>
      </c>
      <c r="G50" s="30">
        <v>43427.65289351852</v>
      </c>
      <c r="H50" s="31">
        <f t="shared" si="2"/>
        <v>2020</v>
      </c>
      <c r="I50" s="30" t="s">
        <v>48</v>
      </c>
      <c r="J50" s="30" t="s">
        <v>48</v>
      </c>
      <c r="K50" s="30" t="s">
        <v>48</v>
      </c>
      <c r="L50" s="26" t="s">
        <v>55</v>
      </c>
      <c r="M50" s="29" t="s">
        <v>37</v>
      </c>
      <c r="N50" s="30">
        <v>43434</v>
      </c>
      <c r="O50" s="29" t="s">
        <v>34</v>
      </c>
      <c r="P50" s="26"/>
      <c r="Q50" s="26"/>
      <c r="R50" s="26"/>
      <c r="S50" s="26"/>
      <c r="T50" s="26"/>
      <c r="U50" s="26"/>
      <c r="V50" s="26"/>
      <c r="W50" s="29">
        <v>1.88</v>
      </c>
      <c r="X50" s="33">
        <v>8467</v>
      </c>
      <c r="Y50" s="26" t="s">
        <v>40</v>
      </c>
    </row>
    <row r="51" spans="1:25" x14ac:dyDescent="0.25">
      <c r="A51" s="26" t="s">
        <v>24</v>
      </c>
      <c r="B51" s="26" t="s">
        <v>25</v>
      </c>
      <c r="C51" s="27">
        <v>202444</v>
      </c>
      <c r="D51" s="26" t="s">
        <v>43</v>
      </c>
      <c r="E51" s="28">
        <f>3210*1.1</f>
        <v>3531.0000000000005</v>
      </c>
      <c r="F51" s="29" t="s">
        <v>27</v>
      </c>
      <c r="G51" s="30">
        <v>43430.673854166664</v>
      </c>
      <c r="H51" s="31">
        <f t="shared" si="2"/>
        <v>2019</v>
      </c>
      <c r="I51" s="30" t="s">
        <v>39</v>
      </c>
      <c r="J51" s="29" t="s">
        <v>39</v>
      </c>
      <c r="K51" s="29" t="s">
        <v>28</v>
      </c>
      <c r="L51" s="26" t="s">
        <v>41</v>
      </c>
      <c r="M51" s="29" t="s">
        <v>37</v>
      </c>
      <c r="N51" s="30">
        <v>43434</v>
      </c>
      <c r="O51" s="29" t="s">
        <v>34</v>
      </c>
      <c r="P51" s="26"/>
      <c r="Q51" s="26"/>
      <c r="R51" s="26"/>
      <c r="S51" s="26"/>
      <c r="T51" s="26"/>
      <c r="U51" s="26"/>
      <c r="V51" s="26"/>
      <c r="W51" s="29">
        <v>8.18</v>
      </c>
      <c r="X51" s="33">
        <v>29576.16</v>
      </c>
      <c r="Y51" s="26" t="s">
        <v>40</v>
      </c>
    </row>
    <row r="52" spans="1:25" x14ac:dyDescent="0.25">
      <c r="A52" s="26" t="s">
        <v>24</v>
      </c>
      <c r="B52" s="26" t="s">
        <v>25</v>
      </c>
      <c r="C52" s="27">
        <v>203164</v>
      </c>
      <c r="D52" s="26" t="s">
        <v>35</v>
      </c>
      <c r="E52" s="28">
        <f>1115.9*1.1</f>
        <v>1227.4900000000002</v>
      </c>
      <c r="F52" s="29" t="s">
        <v>27</v>
      </c>
      <c r="G52" s="30">
        <v>43451.500914351847</v>
      </c>
      <c r="H52" s="31">
        <f t="shared" si="2"/>
        <v>2020</v>
      </c>
      <c r="I52" s="30" t="s">
        <v>48</v>
      </c>
      <c r="J52" s="29" t="s">
        <v>48</v>
      </c>
      <c r="K52" s="29" t="s">
        <v>57</v>
      </c>
      <c r="L52" s="26" t="s">
        <v>31</v>
      </c>
      <c r="M52" s="29" t="s">
        <v>30</v>
      </c>
      <c r="N52" s="30">
        <v>43465</v>
      </c>
      <c r="O52" s="29" t="s">
        <v>34</v>
      </c>
      <c r="P52" s="26"/>
      <c r="Q52" s="26"/>
      <c r="R52" s="26"/>
      <c r="S52" s="26"/>
      <c r="T52" s="26"/>
      <c r="U52" s="26"/>
      <c r="V52" s="26"/>
      <c r="W52" s="29">
        <v>0</v>
      </c>
      <c r="X52" s="33">
        <v>22318</v>
      </c>
      <c r="Y52" s="26" t="s">
        <v>40</v>
      </c>
    </row>
    <row r="53" spans="1:25" x14ac:dyDescent="0.25">
      <c r="A53" s="26" t="s">
        <v>24</v>
      </c>
      <c r="B53" s="26" t="s">
        <v>25</v>
      </c>
      <c r="C53" s="27">
        <v>203713</v>
      </c>
      <c r="D53" s="26" t="s">
        <v>35</v>
      </c>
      <c r="E53" s="28">
        <f>(990+375+375+1998)*1.1</f>
        <v>4111.8</v>
      </c>
      <c r="F53" s="29" t="s">
        <v>27</v>
      </c>
      <c r="G53" s="30">
        <v>43474.55196759259</v>
      </c>
      <c r="H53" s="31">
        <f t="shared" si="2"/>
        <v>2020</v>
      </c>
      <c r="I53" s="30" t="s">
        <v>47</v>
      </c>
      <c r="J53" s="29" t="s">
        <v>47</v>
      </c>
      <c r="K53" s="29" t="s">
        <v>48</v>
      </c>
      <c r="L53" s="26" t="s">
        <v>44</v>
      </c>
      <c r="M53" s="29" t="s">
        <v>37</v>
      </c>
      <c r="N53" s="30">
        <v>43497</v>
      </c>
      <c r="O53" s="29" t="s">
        <v>34</v>
      </c>
      <c r="P53" s="26"/>
      <c r="Q53" s="26">
        <v>3738</v>
      </c>
      <c r="R53" s="35">
        <f>E53-Q53</f>
        <v>373.80000000000018</v>
      </c>
      <c r="S53" s="26"/>
      <c r="T53" s="26"/>
      <c r="U53" s="26"/>
      <c r="V53" s="26"/>
      <c r="W53" s="29">
        <v>7.68</v>
      </c>
      <c r="X53" s="33">
        <v>37587.67</v>
      </c>
      <c r="Y53" s="26" t="s">
        <v>40</v>
      </c>
    </row>
    <row r="54" spans="1:25" x14ac:dyDescent="0.25">
      <c r="A54" s="26" t="s">
        <v>24</v>
      </c>
      <c r="B54" s="26" t="s">
        <v>25</v>
      </c>
      <c r="C54" s="27">
        <v>203721</v>
      </c>
      <c r="D54" s="26" t="s">
        <v>35</v>
      </c>
      <c r="E54" s="28">
        <f>2121*1.1</f>
        <v>2333.1000000000004</v>
      </c>
      <c r="F54" s="29" t="s">
        <v>27</v>
      </c>
      <c r="G54" s="30">
        <v>43474.597650462958</v>
      </c>
      <c r="H54" s="31">
        <f t="shared" si="2"/>
        <v>2020</v>
      </c>
      <c r="I54" s="30" t="s">
        <v>47</v>
      </c>
      <c r="J54" s="29" t="s">
        <v>47</v>
      </c>
      <c r="K54" s="29" t="s">
        <v>48</v>
      </c>
      <c r="L54" s="26" t="s">
        <v>55</v>
      </c>
      <c r="M54" s="29" t="s">
        <v>37</v>
      </c>
      <c r="N54" s="30">
        <v>43486</v>
      </c>
      <c r="O54" s="29" t="s">
        <v>34</v>
      </c>
      <c r="P54" s="26"/>
      <c r="Q54" s="26"/>
      <c r="R54" s="26"/>
      <c r="S54" s="26"/>
      <c r="T54" s="26"/>
      <c r="U54" s="26"/>
      <c r="V54" s="26"/>
      <c r="W54" s="29">
        <v>3.44</v>
      </c>
      <c r="X54" s="33">
        <v>14607.99</v>
      </c>
      <c r="Y54" s="26" t="s">
        <v>40</v>
      </c>
    </row>
    <row r="55" spans="1:25" x14ac:dyDescent="0.25">
      <c r="A55" s="26" t="s">
        <v>24</v>
      </c>
      <c r="B55" s="26" t="s">
        <v>25</v>
      </c>
      <c r="C55" s="27">
        <v>204184</v>
      </c>
      <c r="D55" s="26" t="s">
        <v>35</v>
      </c>
      <c r="E55" s="28">
        <f>1500*1.1</f>
        <v>1650.0000000000002</v>
      </c>
      <c r="F55" s="29" t="s">
        <v>27</v>
      </c>
      <c r="G55" s="30">
        <v>43488.614201388889</v>
      </c>
      <c r="H55" s="31">
        <f t="shared" si="2"/>
        <v>2019</v>
      </c>
      <c r="I55" s="30" t="s">
        <v>39</v>
      </c>
      <c r="J55" s="29" t="s">
        <v>39</v>
      </c>
      <c r="K55" s="29" t="s">
        <v>28</v>
      </c>
      <c r="L55" s="26" t="s">
        <v>53</v>
      </c>
      <c r="M55" s="29" t="s">
        <v>69</v>
      </c>
      <c r="N55" s="30">
        <v>43497</v>
      </c>
      <c r="O55" s="29" t="s">
        <v>34</v>
      </c>
      <c r="P55" s="26"/>
      <c r="Q55" s="26">
        <v>950</v>
      </c>
      <c r="R55" s="35">
        <f>E55-Q55</f>
        <v>700.00000000000023</v>
      </c>
      <c r="S55" s="26"/>
      <c r="T55" s="26"/>
      <c r="U55" s="36">
        <v>43647</v>
      </c>
      <c r="V55" s="26"/>
      <c r="W55" s="29">
        <v>0.59</v>
      </c>
      <c r="X55" s="33">
        <v>2723.32</v>
      </c>
      <c r="Y55" s="26" t="s">
        <v>40</v>
      </c>
    </row>
    <row r="56" spans="1:25" x14ac:dyDescent="0.25">
      <c r="A56" s="26" t="s">
        <v>24</v>
      </c>
      <c r="B56" s="26" t="s">
        <v>25</v>
      </c>
      <c r="C56" s="27">
        <v>204290</v>
      </c>
      <c r="D56" s="26" t="s">
        <v>35</v>
      </c>
      <c r="E56" s="28">
        <f>1520*1.1</f>
        <v>1672.0000000000002</v>
      </c>
      <c r="F56" s="29" t="s">
        <v>27</v>
      </c>
      <c r="G56" s="30">
        <v>43490.546342592592</v>
      </c>
      <c r="H56" s="31">
        <f t="shared" si="2"/>
        <v>2020</v>
      </c>
      <c r="I56" s="30" t="s">
        <v>47</v>
      </c>
      <c r="J56" s="30" t="s">
        <v>47</v>
      </c>
      <c r="K56" s="29" t="s">
        <v>48</v>
      </c>
      <c r="L56" s="26" t="s">
        <v>41</v>
      </c>
      <c r="M56" s="29" t="s">
        <v>30</v>
      </c>
      <c r="N56" s="30">
        <v>43497</v>
      </c>
      <c r="O56" s="29" t="s">
        <v>34</v>
      </c>
      <c r="P56" s="26"/>
      <c r="Q56" s="26"/>
      <c r="R56" s="26"/>
      <c r="S56" s="26"/>
      <c r="T56" s="26"/>
      <c r="U56" s="26"/>
      <c r="V56" s="26"/>
      <c r="W56" s="29">
        <v>3.8</v>
      </c>
      <c r="X56" s="33">
        <v>16487</v>
      </c>
      <c r="Y56" s="26" t="s">
        <v>40</v>
      </c>
    </row>
    <row r="57" spans="1:25" x14ac:dyDescent="0.25">
      <c r="A57" s="26" t="s">
        <v>24</v>
      </c>
      <c r="B57" s="26" t="s">
        <v>25</v>
      </c>
      <c r="C57" s="27">
        <v>204735</v>
      </c>
      <c r="D57" s="26" t="s">
        <v>35</v>
      </c>
      <c r="E57" s="28">
        <f>5000*1.1</f>
        <v>5500</v>
      </c>
      <c r="F57" s="29" t="s">
        <v>27</v>
      </c>
      <c r="G57" s="30">
        <v>43502.471030092587</v>
      </c>
      <c r="H57" s="31">
        <f t="shared" si="2"/>
        <v>2020</v>
      </c>
      <c r="I57" s="30" t="s">
        <v>29</v>
      </c>
      <c r="J57" s="29" t="s">
        <v>29</v>
      </c>
      <c r="K57" s="29" t="s">
        <v>47</v>
      </c>
      <c r="L57" s="26" t="s">
        <v>44</v>
      </c>
      <c r="M57" s="29" t="s">
        <v>37</v>
      </c>
      <c r="N57" s="30">
        <v>43511</v>
      </c>
      <c r="O57" s="29" t="s">
        <v>34</v>
      </c>
      <c r="P57" s="26"/>
      <c r="Q57" s="26"/>
      <c r="R57" s="26"/>
      <c r="S57" s="26"/>
      <c r="T57" s="26"/>
      <c r="U57" s="26"/>
      <c r="V57" s="26"/>
      <c r="W57" s="29">
        <v>3.12</v>
      </c>
      <c r="X57" s="33">
        <v>14333.28</v>
      </c>
      <c r="Y57" s="26" t="s">
        <v>40</v>
      </c>
    </row>
    <row r="58" spans="1:25" x14ac:dyDescent="0.25">
      <c r="A58" s="26" t="s">
        <v>24</v>
      </c>
      <c r="B58" s="26" t="s">
        <v>25</v>
      </c>
      <c r="C58" s="27">
        <v>204958</v>
      </c>
      <c r="D58" s="26" t="s">
        <v>35</v>
      </c>
      <c r="E58" s="28">
        <f>3434.36*1.1</f>
        <v>3777.7960000000003</v>
      </c>
      <c r="F58" s="29" t="s">
        <v>27</v>
      </c>
      <c r="G58" s="30">
        <v>43509.375185185185</v>
      </c>
      <c r="H58" s="31">
        <f t="shared" si="2"/>
        <v>2020</v>
      </c>
      <c r="I58" s="30" t="s">
        <v>48</v>
      </c>
      <c r="J58" s="29" t="s">
        <v>48</v>
      </c>
      <c r="K58" s="29" t="s">
        <v>57</v>
      </c>
      <c r="L58" s="26" t="s">
        <v>49</v>
      </c>
      <c r="M58" s="29" t="s">
        <v>37</v>
      </c>
      <c r="N58" s="30">
        <v>43511</v>
      </c>
      <c r="O58" s="29" t="s">
        <v>34</v>
      </c>
      <c r="P58" s="26"/>
      <c r="Q58" s="26">
        <v>3434.36</v>
      </c>
      <c r="R58" s="35">
        <f>E58-Q58</f>
        <v>343.43600000000015</v>
      </c>
      <c r="S58" s="26"/>
      <c r="T58" s="26"/>
      <c r="U58" s="36">
        <v>43617</v>
      </c>
      <c r="V58" s="26"/>
      <c r="W58" s="29">
        <v>5.17</v>
      </c>
      <c r="X58" s="33">
        <v>17649.78</v>
      </c>
      <c r="Y58" s="26" t="s">
        <v>40</v>
      </c>
    </row>
    <row r="59" spans="1:25" x14ac:dyDescent="0.25">
      <c r="A59" s="26" t="s">
        <v>24</v>
      </c>
      <c r="B59" s="26" t="s">
        <v>25</v>
      </c>
      <c r="C59" s="27">
        <v>205499</v>
      </c>
      <c r="D59" s="26" t="s">
        <v>35</v>
      </c>
      <c r="E59" s="28">
        <f>530*1.1</f>
        <v>583</v>
      </c>
      <c r="F59" s="29" t="s">
        <v>27</v>
      </c>
      <c r="G59" s="30">
        <v>43525.582962962959</v>
      </c>
      <c r="H59" s="31">
        <f t="shared" si="2"/>
        <v>2020</v>
      </c>
      <c r="I59" s="30" t="s">
        <v>47</v>
      </c>
      <c r="J59" s="29" t="s">
        <v>47</v>
      </c>
      <c r="K59" s="29" t="s">
        <v>48</v>
      </c>
      <c r="L59" s="26" t="s">
        <v>55</v>
      </c>
      <c r="M59" s="29" t="s">
        <v>37</v>
      </c>
      <c r="N59" s="30">
        <v>43539</v>
      </c>
      <c r="O59" s="29" t="s">
        <v>34</v>
      </c>
      <c r="P59" s="26"/>
      <c r="Q59" s="26"/>
      <c r="R59" s="26"/>
      <c r="S59" s="26"/>
      <c r="T59" s="26"/>
      <c r="U59" s="26"/>
      <c r="V59" s="26"/>
      <c r="W59" s="29">
        <v>0.80800000000000005</v>
      </c>
      <c r="X59" s="33">
        <v>6078.24</v>
      </c>
      <c r="Y59" s="26" t="s">
        <v>32</v>
      </c>
    </row>
    <row r="60" spans="1:25" x14ac:dyDescent="0.25">
      <c r="A60" s="26" t="s">
        <v>24</v>
      </c>
      <c r="B60" s="26" t="s">
        <v>25</v>
      </c>
      <c r="C60" s="27">
        <v>205576</v>
      </c>
      <c r="D60" s="26" t="s">
        <v>35</v>
      </c>
      <c r="E60" s="28">
        <f>1886*1.1</f>
        <v>2074.6000000000004</v>
      </c>
      <c r="F60" s="29" t="s">
        <v>27</v>
      </c>
      <c r="G60" s="30">
        <v>43529.420497685183</v>
      </c>
      <c r="H60" s="31">
        <f t="shared" si="2"/>
        <v>2020</v>
      </c>
      <c r="I60" s="30" t="s">
        <v>48</v>
      </c>
      <c r="J60" s="29" t="s">
        <v>48</v>
      </c>
      <c r="K60" s="29" t="s">
        <v>57</v>
      </c>
      <c r="L60" s="26" t="s">
        <v>55</v>
      </c>
      <c r="M60" s="29" t="s">
        <v>37</v>
      </c>
      <c r="N60" s="30">
        <v>43535</v>
      </c>
      <c r="O60" s="29" t="s">
        <v>34</v>
      </c>
      <c r="P60" s="26"/>
      <c r="Q60" s="26">
        <v>1901</v>
      </c>
      <c r="R60" s="35">
        <f>E60-Q60</f>
        <v>173.60000000000036</v>
      </c>
      <c r="S60" s="26"/>
      <c r="T60" s="26"/>
      <c r="U60" s="36">
        <v>43617</v>
      </c>
      <c r="V60" s="26"/>
      <c r="W60" s="29">
        <v>3.37</v>
      </c>
      <c r="X60" s="33">
        <v>11047.96</v>
      </c>
      <c r="Y60" s="26" t="s">
        <v>40</v>
      </c>
    </row>
    <row r="61" spans="1:25" x14ac:dyDescent="0.25">
      <c r="A61" s="26" t="s">
        <v>24</v>
      </c>
      <c r="B61" s="26" t="s">
        <v>25</v>
      </c>
      <c r="C61" s="27">
        <v>205734</v>
      </c>
      <c r="D61" s="26" t="s">
        <v>35</v>
      </c>
      <c r="E61" s="28">
        <f>2360*1.1</f>
        <v>2596</v>
      </c>
      <c r="F61" s="29" t="s">
        <v>27</v>
      </c>
      <c r="G61" s="30">
        <v>43531.866076388884</v>
      </c>
      <c r="H61" s="31">
        <f t="shared" si="2"/>
        <v>2020</v>
      </c>
      <c r="I61" s="30" t="s">
        <v>57</v>
      </c>
      <c r="J61" s="29" t="s">
        <v>57</v>
      </c>
      <c r="K61" s="29" t="s">
        <v>58</v>
      </c>
      <c r="L61" s="26" t="s">
        <v>33</v>
      </c>
      <c r="M61" s="29" t="s">
        <v>37</v>
      </c>
      <c r="N61" s="30">
        <v>43570</v>
      </c>
      <c r="O61" s="29" t="s">
        <v>34</v>
      </c>
      <c r="P61" s="26"/>
      <c r="Q61" s="26"/>
      <c r="R61" s="26"/>
      <c r="S61" s="26"/>
      <c r="T61" s="26"/>
      <c r="U61" s="26"/>
      <c r="V61" s="26"/>
      <c r="W61" s="29">
        <v>1.4690000000000001</v>
      </c>
      <c r="X61" s="33">
        <v>6700.808</v>
      </c>
      <c r="Y61" s="26" t="s">
        <v>32</v>
      </c>
    </row>
    <row r="62" spans="1:25" x14ac:dyDescent="0.25">
      <c r="A62" s="26" t="s">
        <v>24</v>
      </c>
      <c r="B62" s="26" t="s">
        <v>25</v>
      </c>
      <c r="C62" s="27">
        <v>205735</v>
      </c>
      <c r="D62" s="26" t="s">
        <v>35</v>
      </c>
      <c r="E62" s="28">
        <f>1670*1.1</f>
        <v>1837.0000000000002</v>
      </c>
      <c r="F62" s="29" t="s">
        <v>27</v>
      </c>
      <c r="G62" s="30">
        <v>43531.871122685181</v>
      </c>
      <c r="H62" s="31">
        <f t="shared" si="2"/>
        <v>2020</v>
      </c>
      <c r="I62" s="30" t="s">
        <v>57</v>
      </c>
      <c r="J62" s="29" t="s">
        <v>57</v>
      </c>
      <c r="K62" s="29" t="s">
        <v>58</v>
      </c>
      <c r="L62" s="26" t="s">
        <v>33</v>
      </c>
      <c r="M62" s="29" t="s">
        <v>37</v>
      </c>
      <c r="N62" s="30">
        <v>43570</v>
      </c>
      <c r="O62" s="29" t="s">
        <v>34</v>
      </c>
      <c r="P62" s="26"/>
      <c r="Q62" s="26"/>
      <c r="R62" s="26"/>
      <c r="S62" s="26"/>
      <c r="T62" s="26"/>
      <c r="U62" s="26"/>
      <c r="V62" s="26"/>
      <c r="W62" s="29">
        <v>0</v>
      </c>
      <c r="X62" s="33">
        <v>18702.599999999999</v>
      </c>
      <c r="Y62" s="26" t="s">
        <v>32</v>
      </c>
    </row>
    <row r="63" spans="1:25" x14ac:dyDescent="0.25">
      <c r="A63" s="26" t="s">
        <v>24</v>
      </c>
      <c r="B63" s="26" t="s">
        <v>25</v>
      </c>
      <c r="C63" s="27">
        <v>205737</v>
      </c>
      <c r="D63" s="26" t="s">
        <v>35</v>
      </c>
      <c r="E63" s="28">
        <f>2400*1.1</f>
        <v>2640</v>
      </c>
      <c r="F63" s="29" t="s">
        <v>27</v>
      </c>
      <c r="G63" s="30">
        <v>43531.875914351847</v>
      </c>
      <c r="H63" s="31">
        <f t="shared" si="2"/>
        <v>2020</v>
      </c>
      <c r="I63" s="30" t="s">
        <v>57</v>
      </c>
      <c r="J63" s="29" t="s">
        <v>57</v>
      </c>
      <c r="K63" s="29" t="s">
        <v>58</v>
      </c>
      <c r="L63" s="26" t="s">
        <v>33</v>
      </c>
      <c r="M63" s="29" t="s">
        <v>37</v>
      </c>
      <c r="N63" s="30">
        <v>43577</v>
      </c>
      <c r="O63" s="29" t="s">
        <v>34</v>
      </c>
      <c r="P63" s="26"/>
      <c r="Q63" s="26"/>
      <c r="R63" s="26"/>
      <c r="S63" s="26"/>
      <c r="T63" s="26"/>
      <c r="U63" s="26"/>
      <c r="V63" s="26"/>
      <c r="W63" s="29">
        <v>1.4870000000000001</v>
      </c>
      <c r="X63" s="33">
        <v>6831.7370000000001</v>
      </c>
      <c r="Y63" s="26" t="s">
        <v>32</v>
      </c>
    </row>
    <row r="64" spans="1:25" x14ac:dyDescent="0.25">
      <c r="A64" s="26" t="s">
        <v>24</v>
      </c>
      <c r="B64" s="26" t="s">
        <v>25</v>
      </c>
      <c r="C64" s="27">
        <v>205738</v>
      </c>
      <c r="D64" s="26" t="s">
        <v>35</v>
      </c>
      <c r="E64" s="28">
        <f>1920*1.1</f>
        <v>2112</v>
      </c>
      <c r="F64" s="29" t="s">
        <v>27</v>
      </c>
      <c r="G64" s="30">
        <v>43531.879861111112</v>
      </c>
      <c r="H64" s="31">
        <f t="shared" si="2"/>
        <v>2020</v>
      </c>
      <c r="I64" s="30" t="s">
        <v>57</v>
      </c>
      <c r="J64" s="29" t="s">
        <v>57</v>
      </c>
      <c r="K64" s="29" t="s">
        <v>58</v>
      </c>
      <c r="L64" s="26" t="s">
        <v>33</v>
      </c>
      <c r="M64" s="29" t="s">
        <v>37</v>
      </c>
      <c r="N64" s="30">
        <v>43577</v>
      </c>
      <c r="O64" s="29" t="s">
        <v>34</v>
      </c>
      <c r="P64" s="26"/>
      <c r="Q64" s="26"/>
      <c r="R64" s="26"/>
      <c r="S64" s="26"/>
      <c r="T64" s="26"/>
      <c r="U64" s="26"/>
      <c r="V64" s="26"/>
      <c r="W64" s="29">
        <v>0</v>
      </c>
      <c r="X64" s="33">
        <v>21289.8</v>
      </c>
      <c r="Y64" s="26" t="s">
        <v>32</v>
      </c>
    </row>
    <row r="65" spans="1:25" x14ac:dyDescent="0.25">
      <c r="A65" s="26" t="s">
        <v>24</v>
      </c>
      <c r="B65" s="26" t="s">
        <v>25</v>
      </c>
      <c r="C65" s="27">
        <v>205739</v>
      </c>
      <c r="D65" s="26" t="s">
        <v>35</v>
      </c>
      <c r="E65" s="28">
        <f>1400*1.1</f>
        <v>1540.0000000000002</v>
      </c>
      <c r="F65" s="29" t="s">
        <v>27</v>
      </c>
      <c r="G65" s="30">
        <v>43531.883912037032</v>
      </c>
      <c r="H65" s="31">
        <f t="shared" si="2"/>
        <v>2020</v>
      </c>
      <c r="I65" s="30" t="s">
        <v>57</v>
      </c>
      <c r="J65" s="29" t="s">
        <v>57</v>
      </c>
      <c r="K65" s="29" t="s">
        <v>58</v>
      </c>
      <c r="L65" s="26" t="s">
        <v>33</v>
      </c>
      <c r="M65" s="29" t="s">
        <v>37</v>
      </c>
      <c r="N65" s="30">
        <v>43584</v>
      </c>
      <c r="O65" s="29" t="s">
        <v>34</v>
      </c>
      <c r="P65" s="26"/>
      <c r="Q65" s="26"/>
      <c r="R65" s="26"/>
      <c r="S65" s="26"/>
      <c r="T65" s="26"/>
      <c r="U65" s="26"/>
      <c r="V65" s="26"/>
      <c r="W65" s="29">
        <v>0.85799999999999998</v>
      </c>
      <c r="X65" s="33">
        <v>3941.652</v>
      </c>
      <c r="Y65" s="26" t="s">
        <v>32</v>
      </c>
    </row>
    <row r="66" spans="1:25" x14ac:dyDescent="0.25">
      <c r="A66" s="26" t="s">
        <v>24</v>
      </c>
      <c r="B66" s="26" t="s">
        <v>25</v>
      </c>
      <c r="C66" s="27">
        <v>205740</v>
      </c>
      <c r="D66" s="26" t="s">
        <v>35</v>
      </c>
      <c r="E66" s="28">
        <f>1395*1.1</f>
        <v>1534.5000000000002</v>
      </c>
      <c r="F66" s="29" t="s">
        <v>27</v>
      </c>
      <c r="G66" s="30">
        <v>43531.889780092592</v>
      </c>
      <c r="H66" s="31">
        <f t="shared" si="2"/>
        <v>2020</v>
      </c>
      <c r="I66" s="30" t="s">
        <v>57</v>
      </c>
      <c r="J66" s="29" t="s">
        <v>57</v>
      </c>
      <c r="K66" s="29" t="s">
        <v>58</v>
      </c>
      <c r="L66" s="26" t="s">
        <v>33</v>
      </c>
      <c r="M66" s="29" t="s">
        <v>37</v>
      </c>
      <c r="N66" s="30">
        <v>43584</v>
      </c>
      <c r="O66" s="29" t="s">
        <v>34</v>
      </c>
      <c r="P66" s="26"/>
      <c r="Q66" s="26"/>
      <c r="R66" s="26"/>
      <c r="S66" s="26"/>
      <c r="T66" s="26"/>
      <c r="U66" s="26"/>
      <c r="V66" s="26"/>
      <c r="W66" s="29">
        <v>0</v>
      </c>
      <c r="X66" s="33">
        <v>15456</v>
      </c>
      <c r="Y66" s="26" t="s">
        <v>32</v>
      </c>
    </row>
    <row r="67" spans="1:25" x14ac:dyDescent="0.25">
      <c r="A67" s="26" t="s">
        <v>24</v>
      </c>
      <c r="B67" s="26" t="s">
        <v>25</v>
      </c>
      <c r="C67" s="27">
        <v>205943</v>
      </c>
      <c r="D67" s="26" t="s">
        <v>35</v>
      </c>
      <c r="E67" s="28">
        <f>(1712+375)*1.1</f>
        <v>2295.7000000000003</v>
      </c>
      <c r="F67" s="29" t="s">
        <v>27</v>
      </c>
      <c r="G67" s="30">
        <v>43537.708807870367</v>
      </c>
      <c r="H67" s="31">
        <f t="shared" si="2"/>
        <v>2020</v>
      </c>
      <c r="I67" s="30" t="s">
        <v>47</v>
      </c>
      <c r="J67" s="29" t="s">
        <v>47</v>
      </c>
      <c r="K67" s="29" t="s">
        <v>48</v>
      </c>
      <c r="L67" s="26" t="s">
        <v>51</v>
      </c>
      <c r="M67" s="29" t="s">
        <v>37</v>
      </c>
      <c r="N67" s="30">
        <v>43319</v>
      </c>
      <c r="O67" s="29" t="s">
        <v>34</v>
      </c>
      <c r="P67" s="26"/>
      <c r="Q67" s="26">
        <v>2087</v>
      </c>
      <c r="R67" s="35">
        <f>E67-Q67</f>
        <v>208.70000000000027</v>
      </c>
      <c r="S67" s="26"/>
      <c r="T67" s="26"/>
      <c r="U67" s="26"/>
      <c r="V67" s="26"/>
      <c r="W67" s="29">
        <v>1.25</v>
      </c>
      <c r="X67" s="33">
        <v>10663.41</v>
      </c>
      <c r="Y67" s="26" t="s">
        <v>40</v>
      </c>
    </row>
    <row r="68" spans="1:25" x14ac:dyDescent="0.25">
      <c r="A68" s="26" t="s">
        <v>24</v>
      </c>
      <c r="B68" s="26" t="s">
        <v>25</v>
      </c>
      <c r="C68" s="27">
        <v>206002</v>
      </c>
      <c r="D68" s="26" t="s">
        <v>35</v>
      </c>
      <c r="E68" s="28">
        <f>650*1.1</f>
        <v>715.00000000000011</v>
      </c>
      <c r="F68" s="29" t="s">
        <v>27</v>
      </c>
      <c r="G68" s="30">
        <v>43539.667175925926</v>
      </c>
      <c r="H68" s="31">
        <f t="shared" si="2"/>
        <v>2020</v>
      </c>
      <c r="I68" s="30" t="s">
        <v>47</v>
      </c>
      <c r="J68" s="29" t="s">
        <v>47</v>
      </c>
      <c r="K68" s="29" t="s">
        <v>48</v>
      </c>
      <c r="L68" s="26" t="s">
        <v>41</v>
      </c>
      <c r="M68" s="29" t="s">
        <v>37</v>
      </c>
      <c r="N68" s="30">
        <v>43546</v>
      </c>
      <c r="O68" s="29" t="s">
        <v>34</v>
      </c>
      <c r="P68" s="26"/>
      <c r="Q68" s="26"/>
      <c r="R68" s="26"/>
      <c r="S68" s="26"/>
      <c r="T68" s="26"/>
      <c r="U68" s="26"/>
      <c r="V68" s="26"/>
      <c r="W68" s="29">
        <v>0.40600000000000003</v>
      </c>
      <c r="X68" s="33">
        <v>1863.326</v>
      </c>
      <c r="Y68" s="26" t="s">
        <v>40</v>
      </c>
    </row>
    <row r="69" spans="1:25" x14ac:dyDescent="0.25">
      <c r="A69" s="26" t="s">
        <v>24</v>
      </c>
      <c r="B69" s="26" t="s">
        <v>25</v>
      </c>
      <c r="C69" s="27">
        <v>206217</v>
      </c>
      <c r="D69" s="26" t="s">
        <v>70</v>
      </c>
      <c r="E69" s="28">
        <f>4598*1.1</f>
        <v>5057.8</v>
      </c>
      <c r="F69" s="29" t="s">
        <v>27</v>
      </c>
      <c r="G69" s="30">
        <v>43546.425821759258</v>
      </c>
      <c r="H69" s="31">
        <f t="shared" si="2"/>
        <v>2019</v>
      </c>
      <c r="I69" s="30" t="s">
        <v>39</v>
      </c>
      <c r="J69" s="29" t="s">
        <v>39</v>
      </c>
      <c r="K69" s="29" t="s">
        <v>28</v>
      </c>
      <c r="L69" s="26" t="s">
        <v>31</v>
      </c>
      <c r="M69" s="29" t="s">
        <v>37</v>
      </c>
      <c r="N69" s="30">
        <v>43556</v>
      </c>
      <c r="O69" s="29" t="s">
        <v>34</v>
      </c>
      <c r="P69" s="26"/>
      <c r="Q69" s="26"/>
      <c r="R69" s="26"/>
      <c r="S69" s="26"/>
      <c r="T69" s="26"/>
      <c r="U69" s="26"/>
      <c r="V69" s="26"/>
      <c r="W69" s="29">
        <v>3.278</v>
      </c>
      <c r="X69" s="33">
        <v>15060.050999999999</v>
      </c>
      <c r="Y69" s="26" t="s">
        <v>40</v>
      </c>
    </row>
    <row r="70" spans="1:25" x14ac:dyDescent="0.25">
      <c r="A70" s="26" t="s">
        <v>24</v>
      </c>
      <c r="B70" s="26" t="s">
        <v>25</v>
      </c>
      <c r="C70" s="27">
        <v>206635</v>
      </c>
      <c r="D70" s="26" t="s">
        <v>70</v>
      </c>
      <c r="E70" s="28">
        <f>4030*1.1</f>
        <v>4433</v>
      </c>
      <c r="F70" s="29" t="s">
        <v>27</v>
      </c>
      <c r="G70" s="30">
        <v>43552.365312499998</v>
      </c>
      <c r="H70" s="31">
        <f t="shared" si="2"/>
        <v>2020</v>
      </c>
      <c r="I70" s="30" t="s">
        <v>29</v>
      </c>
      <c r="J70" s="30" t="s">
        <v>29</v>
      </c>
      <c r="K70" s="29" t="s">
        <v>29</v>
      </c>
      <c r="L70" s="26" t="s">
        <v>31</v>
      </c>
      <c r="M70" s="29" t="s">
        <v>37</v>
      </c>
      <c r="N70" s="30">
        <v>43563</v>
      </c>
      <c r="O70" s="29" t="s">
        <v>34</v>
      </c>
      <c r="P70" s="26"/>
      <c r="Q70" s="26"/>
      <c r="R70" s="26"/>
      <c r="S70" s="26"/>
      <c r="T70" s="26"/>
      <c r="U70" s="26"/>
      <c r="V70" s="26"/>
      <c r="W70" s="29">
        <v>2.5390000000000001</v>
      </c>
      <c r="X70" s="33">
        <v>11663.246999999999</v>
      </c>
      <c r="Y70" s="26" t="s">
        <v>40</v>
      </c>
    </row>
    <row r="71" spans="1:25" x14ac:dyDescent="0.25">
      <c r="A71" s="26" t="s">
        <v>24</v>
      </c>
      <c r="B71" s="26" t="s">
        <v>25</v>
      </c>
      <c r="C71" s="27">
        <v>206767</v>
      </c>
      <c r="D71" s="26" t="s">
        <v>35</v>
      </c>
      <c r="E71" s="28">
        <f>2078*1.1</f>
        <v>2285.8000000000002</v>
      </c>
      <c r="F71" s="29" t="s">
        <v>27</v>
      </c>
      <c r="G71" s="30">
        <v>43552</v>
      </c>
      <c r="H71" s="31">
        <f t="shared" si="2"/>
        <v>2020</v>
      </c>
      <c r="I71" s="30" t="s">
        <v>47</v>
      </c>
      <c r="J71" s="29" t="s">
        <v>47</v>
      </c>
      <c r="K71" s="29" t="s">
        <v>48</v>
      </c>
      <c r="L71" s="26" t="s">
        <v>55</v>
      </c>
      <c r="M71" s="29" t="s">
        <v>37</v>
      </c>
      <c r="N71" s="30">
        <v>43563</v>
      </c>
      <c r="O71" s="29" t="s">
        <v>34</v>
      </c>
      <c r="P71" s="26"/>
      <c r="Q71" s="37">
        <v>2210</v>
      </c>
      <c r="R71" s="35">
        <f>E71-Q71</f>
        <v>75.800000000000182</v>
      </c>
      <c r="S71" s="26"/>
      <c r="T71" s="38">
        <v>43609</v>
      </c>
      <c r="U71" s="36">
        <v>43586</v>
      </c>
      <c r="V71" s="26"/>
      <c r="W71" s="29">
        <v>1.37</v>
      </c>
      <c r="X71" s="33">
        <v>6302.05</v>
      </c>
      <c r="Y71" s="26" t="s">
        <v>40</v>
      </c>
    </row>
    <row r="72" spans="1:25" x14ac:dyDescent="0.25">
      <c r="A72" s="26" t="s">
        <v>24</v>
      </c>
      <c r="B72" s="26" t="s">
        <v>25</v>
      </c>
      <c r="C72" s="27">
        <v>207113</v>
      </c>
      <c r="D72" s="26" t="s">
        <v>35</v>
      </c>
      <c r="E72" s="28">
        <f>1200*1.1</f>
        <v>1320</v>
      </c>
      <c r="F72" s="29" t="s">
        <v>27</v>
      </c>
      <c r="G72" s="30">
        <v>43553</v>
      </c>
      <c r="H72" s="31">
        <f t="shared" si="2"/>
        <v>2020</v>
      </c>
      <c r="I72" s="30" t="s">
        <v>57</v>
      </c>
      <c r="J72" s="29" t="s">
        <v>57</v>
      </c>
      <c r="K72" s="29" t="s">
        <v>58</v>
      </c>
      <c r="L72" s="26" t="s">
        <v>31</v>
      </c>
      <c r="M72" s="29" t="s">
        <v>37</v>
      </c>
      <c r="N72" s="30">
        <v>43563</v>
      </c>
      <c r="O72" s="29" t="s">
        <v>34</v>
      </c>
      <c r="P72" s="26"/>
      <c r="Q72" s="37">
        <v>1200</v>
      </c>
      <c r="R72" s="35">
        <f>E72-Q72</f>
        <v>120</v>
      </c>
      <c r="S72" s="26"/>
      <c r="T72" s="38">
        <v>43609</v>
      </c>
      <c r="U72" s="26"/>
      <c r="V72" s="26"/>
      <c r="W72" s="29">
        <v>3</v>
      </c>
      <c r="X72" s="33">
        <v>13782</v>
      </c>
      <c r="Y72" s="26" t="s">
        <v>32</v>
      </c>
    </row>
    <row r="73" spans="1:25" x14ac:dyDescent="0.25">
      <c r="A73" s="26" t="s">
        <v>71</v>
      </c>
      <c r="B73" s="26" t="s">
        <v>72</v>
      </c>
      <c r="C73" s="29" t="s">
        <v>73</v>
      </c>
      <c r="D73" s="26" t="s">
        <v>74</v>
      </c>
      <c r="E73" s="28">
        <v>1078</v>
      </c>
      <c r="F73" s="29" t="s">
        <v>27</v>
      </c>
      <c r="G73" s="30">
        <v>43501</v>
      </c>
      <c r="H73" s="31">
        <f t="shared" si="2"/>
        <v>2019</v>
      </c>
      <c r="I73" s="29" t="s">
        <v>38</v>
      </c>
      <c r="J73" s="29" t="s">
        <v>38</v>
      </c>
      <c r="K73" s="29" t="s">
        <v>38</v>
      </c>
      <c r="L73" s="26" t="s">
        <v>75</v>
      </c>
      <c r="M73" s="29" t="s">
        <v>37</v>
      </c>
      <c r="N73" s="30">
        <v>43501</v>
      </c>
      <c r="O73" s="29" t="s">
        <v>34</v>
      </c>
      <c r="P73" s="26"/>
      <c r="Q73" s="37">
        <v>1078</v>
      </c>
      <c r="R73" s="35">
        <f>E73-Q73</f>
        <v>0</v>
      </c>
      <c r="S73" s="26"/>
      <c r="T73" s="26"/>
      <c r="U73" s="36">
        <v>43556</v>
      </c>
      <c r="V73" s="26"/>
      <c r="W73" s="29"/>
      <c r="X73" s="33">
        <v>3743.48</v>
      </c>
      <c r="Y73" s="26" t="s">
        <v>40</v>
      </c>
    </row>
    <row r="74" spans="1:25" x14ac:dyDescent="0.25">
      <c r="A74" s="26" t="s">
        <v>71</v>
      </c>
      <c r="B74" s="26" t="s">
        <v>72</v>
      </c>
      <c r="C74" s="29" t="s">
        <v>76</v>
      </c>
      <c r="D74" s="26" t="s">
        <v>74</v>
      </c>
      <c r="E74" s="28">
        <v>1820</v>
      </c>
      <c r="F74" s="29" t="s">
        <v>27</v>
      </c>
      <c r="G74" s="30">
        <v>43501</v>
      </c>
      <c r="H74" s="31">
        <f t="shared" si="2"/>
        <v>2019</v>
      </c>
      <c r="I74" s="29" t="s">
        <v>38</v>
      </c>
      <c r="J74" s="29" t="s">
        <v>38</v>
      </c>
      <c r="K74" s="29" t="s">
        <v>38</v>
      </c>
      <c r="L74" s="26" t="s">
        <v>77</v>
      </c>
      <c r="M74" s="29" t="s">
        <v>37</v>
      </c>
      <c r="N74" s="30">
        <v>43501</v>
      </c>
      <c r="O74" s="29" t="s">
        <v>34</v>
      </c>
      <c r="P74" s="26"/>
      <c r="Q74" s="37">
        <v>1820</v>
      </c>
      <c r="R74" s="35">
        <f>E74-Q74</f>
        <v>0</v>
      </c>
      <c r="S74" s="26"/>
      <c r="T74" s="26"/>
      <c r="U74" s="36">
        <v>43556</v>
      </c>
      <c r="V74" s="26"/>
      <c r="W74" s="29">
        <v>1.37</v>
      </c>
      <c r="X74" s="33">
        <v>1820</v>
      </c>
      <c r="Y74" s="26" t="s">
        <v>40</v>
      </c>
    </row>
    <row r="75" spans="1:25" x14ac:dyDescent="0.25">
      <c r="A75" s="26" t="s">
        <v>71</v>
      </c>
      <c r="B75" s="26" t="s">
        <v>72</v>
      </c>
      <c r="C75" s="29" t="s">
        <v>78</v>
      </c>
      <c r="D75" s="26" t="s">
        <v>74</v>
      </c>
      <c r="E75" s="39">
        <v>787</v>
      </c>
      <c r="F75" s="32" t="s">
        <v>27</v>
      </c>
      <c r="G75" s="30">
        <v>43508</v>
      </c>
      <c r="H75" s="31">
        <f t="shared" si="2"/>
        <v>2019</v>
      </c>
      <c r="I75" s="29" t="s">
        <v>38</v>
      </c>
      <c r="J75" s="29" t="s">
        <v>38</v>
      </c>
      <c r="K75" s="29" t="s">
        <v>38</v>
      </c>
      <c r="L75" s="40" t="s">
        <v>79</v>
      </c>
      <c r="M75" s="32" t="s">
        <v>37</v>
      </c>
      <c r="N75" s="30">
        <v>43508</v>
      </c>
      <c r="O75" s="32" t="s">
        <v>34</v>
      </c>
      <c r="P75" s="26"/>
      <c r="Q75" s="37">
        <v>787</v>
      </c>
      <c r="R75" s="35">
        <f>E75-Q75</f>
        <v>0</v>
      </c>
      <c r="S75" s="26"/>
      <c r="T75" s="26"/>
      <c r="U75" s="36">
        <v>43556</v>
      </c>
      <c r="V75" s="26"/>
      <c r="W75" s="29">
        <v>0.79</v>
      </c>
      <c r="X75" s="33">
        <v>2233.79</v>
      </c>
      <c r="Y75" s="26" t="s">
        <v>40</v>
      </c>
    </row>
    <row r="76" spans="1:25" x14ac:dyDescent="0.25">
      <c r="A76" s="26" t="s">
        <v>71</v>
      </c>
      <c r="B76" s="26" t="s">
        <v>72</v>
      </c>
      <c r="C76" s="29" t="s">
        <v>80</v>
      </c>
      <c r="D76" s="26" t="s">
        <v>74</v>
      </c>
      <c r="E76" s="39">
        <v>1982</v>
      </c>
      <c r="F76" s="32" t="s">
        <v>27</v>
      </c>
      <c r="G76" s="30">
        <v>43521</v>
      </c>
      <c r="H76" s="31">
        <f t="shared" si="2"/>
        <v>2019</v>
      </c>
      <c r="I76" s="32" t="s">
        <v>38</v>
      </c>
      <c r="J76" s="29" t="s">
        <v>38</v>
      </c>
      <c r="K76" s="29" t="s">
        <v>38</v>
      </c>
      <c r="L76" s="40" t="s">
        <v>82</v>
      </c>
      <c r="M76" s="32" t="s">
        <v>81</v>
      </c>
      <c r="N76" s="30">
        <v>43521</v>
      </c>
      <c r="O76" s="32" t="s">
        <v>34</v>
      </c>
      <c r="P76" s="26"/>
      <c r="Q76" s="37">
        <v>1982</v>
      </c>
      <c r="R76" s="35">
        <f>E76-Q76</f>
        <v>0</v>
      </c>
      <c r="S76" s="26"/>
      <c r="T76" s="26"/>
      <c r="U76" s="36">
        <v>43556</v>
      </c>
      <c r="V76" s="26"/>
      <c r="W76" s="29">
        <v>1.77</v>
      </c>
      <c r="X76" s="33">
        <v>5001.3</v>
      </c>
      <c r="Y76" s="26" t="s">
        <v>40</v>
      </c>
    </row>
    <row r="77" spans="1:25" x14ac:dyDescent="0.25">
      <c r="A77" s="26" t="s">
        <v>71</v>
      </c>
      <c r="B77" s="26" t="s">
        <v>72</v>
      </c>
      <c r="C77" s="29" t="s">
        <v>83</v>
      </c>
      <c r="D77" s="26" t="s">
        <v>74</v>
      </c>
      <c r="E77" s="39">
        <v>1850</v>
      </c>
      <c r="F77" s="32" t="s">
        <v>27</v>
      </c>
      <c r="G77" s="30">
        <v>43528</v>
      </c>
      <c r="H77" s="31">
        <f t="shared" si="2"/>
        <v>2019</v>
      </c>
      <c r="I77" s="32" t="s">
        <v>38</v>
      </c>
      <c r="J77" s="29" t="s">
        <v>38</v>
      </c>
      <c r="K77" s="29" t="s">
        <v>38</v>
      </c>
      <c r="L77" s="40" t="s">
        <v>84</v>
      </c>
      <c r="M77" s="32" t="s">
        <v>37</v>
      </c>
      <c r="N77" s="30">
        <v>43528</v>
      </c>
      <c r="O77" s="32" t="s">
        <v>34</v>
      </c>
      <c r="P77" s="26"/>
      <c r="Q77" s="37">
        <v>1950</v>
      </c>
      <c r="R77" s="35">
        <f>E77-Q77</f>
        <v>-100</v>
      </c>
      <c r="S77" s="26"/>
      <c r="T77" s="26"/>
      <c r="U77" s="36">
        <v>43556</v>
      </c>
      <c r="V77" s="26"/>
      <c r="W77" s="29">
        <v>0</v>
      </c>
      <c r="X77" s="33">
        <v>10012.68</v>
      </c>
      <c r="Y77" s="26" t="s">
        <v>40</v>
      </c>
    </row>
    <row r="78" spans="1:25" x14ac:dyDescent="0.25">
      <c r="A78" s="26" t="s">
        <v>71</v>
      </c>
      <c r="B78" s="26" t="s">
        <v>72</v>
      </c>
      <c r="C78" s="29" t="s">
        <v>85</v>
      </c>
      <c r="D78" s="26" t="s">
        <v>74</v>
      </c>
      <c r="E78" s="39">
        <v>2015</v>
      </c>
      <c r="F78" s="32" t="s">
        <v>27</v>
      </c>
      <c r="G78" s="30">
        <v>43542</v>
      </c>
      <c r="H78" s="31">
        <f t="shared" si="2"/>
        <v>2019</v>
      </c>
      <c r="I78" s="32" t="s">
        <v>38</v>
      </c>
      <c r="J78" s="29" t="s">
        <v>38</v>
      </c>
      <c r="K78" s="29" t="s">
        <v>38</v>
      </c>
      <c r="L78" s="40" t="s">
        <v>86</v>
      </c>
      <c r="M78" s="32" t="s">
        <v>37</v>
      </c>
      <c r="N78" s="30">
        <v>43542</v>
      </c>
      <c r="O78" s="32" t="s">
        <v>34</v>
      </c>
      <c r="P78" s="26"/>
      <c r="Q78" s="37">
        <v>2015</v>
      </c>
      <c r="R78" s="35">
        <f>E78-Q78</f>
        <v>0</v>
      </c>
      <c r="S78" s="26"/>
      <c r="T78" s="26"/>
      <c r="U78" s="26"/>
      <c r="V78" s="26"/>
      <c r="W78" s="29">
        <v>1.45</v>
      </c>
      <c r="X78" s="33">
        <v>4075.02</v>
      </c>
      <c r="Y78" s="26" t="s">
        <v>40</v>
      </c>
    </row>
    <row r="79" spans="1:25" x14ac:dyDescent="0.25">
      <c r="A79" s="26" t="s">
        <v>71</v>
      </c>
      <c r="B79" s="26" t="s">
        <v>87</v>
      </c>
      <c r="C79" s="29" t="s">
        <v>88</v>
      </c>
      <c r="D79" s="26" t="s">
        <v>89</v>
      </c>
      <c r="E79" s="39">
        <v>3475</v>
      </c>
      <c r="F79" s="32" t="s">
        <v>27</v>
      </c>
      <c r="G79" s="30">
        <v>42688</v>
      </c>
      <c r="H79" s="31">
        <f t="shared" si="2"/>
        <v>2019</v>
      </c>
      <c r="I79" s="32" t="s">
        <v>38</v>
      </c>
      <c r="J79" s="29" t="s">
        <v>38</v>
      </c>
      <c r="K79" s="29" t="s">
        <v>39</v>
      </c>
      <c r="L79" s="26" t="s">
        <v>66</v>
      </c>
      <c r="M79" s="32" t="s">
        <v>37</v>
      </c>
      <c r="N79" s="30">
        <v>42688</v>
      </c>
      <c r="O79" s="32" t="s">
        <v>34</v>
      </c>
      <c r="P79" s="26"/>
      <c r="Q79" s="37"/>
      <c r="R79" s="26"/>
      <c r="S79" s="26"/>
      <c r="T79" s="26"/>
      <c r="U79" s="26"/>
      <c r="V79" s="26"/>
      <c r="W79" s="29"/>
      <c r="X79" s="33"/>
      <c r="Y79" s="26"/>
    </row>
    <row r="80" spans="1:25" x14ac:dyDescent="0.25">
      <c r="A80" s="26" t="s">
        <v>71</v>
      </c>
      <c r="B80" s="26" t="s">
        <v>87</v>
      </c>
      <c r="C80" s="29" t="s">
        <v>90</v>
      </c>
      <c r="D80" s="26" t="s">
        <v>89</v>
      </c>
      <c r="E80" s="28">
        <v>3044.29</v>
      </c>
      <c r="F80" s="32" t="s">
        <v>27</v>
      </c>
      <c r="G80" s="30">
        <v>43088</v>
      </c>
      <c r="H80" s="31">
        <f t="shared" si="2"/>
        <v>2019</v>
      </c>
      <c r="I80" s="32" t="s">
        <v>38</v>
      </c>
      <c r="J80" s="29" t="s">
        <v>38</v>
      </c>
      <c r="K80" s="29" t="s">
        <v>38</v>
      </c>
      <c r="L80" s="40" t="s">
        <v>91</v>
      </c>
      <c r="M80" s="32" t="s">
        <v>37</v>
      </c>
      <c r="N80" s="30">
        <v>43045</v>
      </c>
      <c r="O80" s="32" t="s">
        <v>34</v>
      </c>
      <c r="P80" s="26"/>
      <c r="Q80" s="37">
        <v>3044.29</v>
      </c>
      <c r="R80" s="35">
        <f>E80-Q80</f>
        <v>0</v>
      </c>
      <c r="S80" s="26"/>
      <c r="T80" s="38">
        <v>43578</v>
      </c>
      <c r="U80" s="36">
        <v>43556</v>
      </c>
      <c r="V80" s="26"/>
      <c r="W80" s="29"/>
      <c r="X80" s="33"/>
      <c r="Y80" s="26"/>
    </row>
    <row r="81" spans="1:32" x14ac:dyDescent="0.25">
      <c r="A81" s="26" t="s">
        <v>71</v>
      </c>
      <c r="B81" s="26" t="s">
        <v>87</v>
      </c>
      <c r="C81" s="29" t="s">
        <v>92</v>
      </c>
      <c r="D81" s="26" t="s">
        <v>89</v>
      </c>
      <c r="E81" s="28">
        <v>3199</v>
      </c>
      <c r="F81" s="32" t="s">
        <v>27</v>
      </c>
      <c r="G81" s="30">
        <v>43467</v>
      </c>
      <c r="H81" s="31">
        <f t="shared" si="2"/>
        <v>2020</v>
      </c>
      <c r="I81" s="30" t="s">
        <v>47</v>
      </c>
      <c r="J81" s="30" t="s">
        <v>47</v>
      </c>
      <c r="K81" s="30" t="s">
        <v>47</v>
      </c>
      <c r="L81" s="40" t="s">
        <v>93</v>
      </c>
      <c r="M81" s="32" t="s">
        <v>37</v>
      </c>
      <c r="N81" s="30">
        <v>43467</v>
      </c>
      <c r="O81" s="32" t="s">
        <v>34</v>
      </c>
      <c r="P81" s="26"/>
      <c r="Q81" s="26"/>
      <c r="R81" s="26"/>
      <c r="S81" s="26"/>
      <c r="T81" s="26"/>
      <c r="U81" s="26"/>
      <c r="V81" s="26"/>
      <c r="W81" s="29"/>
      <c r="X81" s="33"/>
      <c r="Y81" s="26"/>
    </row>
    <row r="82" spans="1:32" x14ac:dyDescent="0.25">
      <c r="A82" s="26" t="s">
        <v>24</v>
      </c>
      <c r="B82" s="26" t="s">
        <v>87</v>
      </c>
      <c r="C82" s="29" t="s">
        <v>94</v>
      </c>
      <c r="D82" s="26" t="s">
        <v>89</v>
      </c>
      <c r="E82" s="28">
        <v>7498.5</v>
      </c>
      <c r="F82" s="32" t="s">
        <v>27</v>
      </c>
      <c r="G82" s="30">
        <v>43532</v>
      </c>
      <c r="H82" s="31">
        <f t="shared" si="2"/>
        <v>2019</v>
      </c>
      <c r="I82" s="30" t="s">
        <v>39</v>
      </c>
      <c r="J82" s="30" t="s">
        <v>39</v>
      </c>
      <c r="K82" s="30" t="s">
        <v>39</v>
      </c>
      <c r="L82" s="40" t="s">
        <v>46</v>
      </c>
      <c r="M82" s="32" t="s">
        <v>37</v>
      </c>
      <c r="N82" s="30">
        <v>43559</v>
      </c>
      <c r="O82" s="32" t="s">
        <v>34</v>
      </c>
      <c r="P82" s="26"/>
      <c r="Q82" s="26"/>
      <c r="R82" s="26"/>
      <c r="S82" s="26"/>
      <c r="T82" s="26"/>
      <c r="U82" s="26"/>
      <c r="V82" s="26"/>
      <c r="W82" s="29"/>
      <c r="X82" s="33"/>
      <c r="Y82" s="26"/>
    </row>
    <row r="83" spans="1:32" x14ac:dyDescent="0.25">
      <c r="A83" s="26" t="s">
        <v>24</v>
      </c>
      <c r="B83" s="26" t="s">
        <v>95</v>
      </c>
      <c r="C83" s="29" t="s">
        <v>96</v>
      </c>
      <c r="D83" s="26" t="s">
        <v>89</v>
      </c>
      <c r="E83" s="28">
        <f>29865+1071</f>
        <v>30936</v>
      </c>
      <c r="F83" s="32" t="s">
        <v>27</v>
      </c>
      <c r="G83" s="30">
        <v>42306</v>
      </c>
      <c r="H83" s="31">
        <f t="shared" si="2"/>
        <v>2019</v>
      </c>
      <c r="I83" s="30" t="s">
        <v>28</v>
      </c>
      <c r="J83" s="30" t="s">
        <v>28</v>
      </c>
      <c r="K83" s="30" t="s">
        <v>29</v>
      </c>
      <c r="L83" s="26" t="s">
        <v>93</v>
      </c>
      <c r="M83" s="32" t="s">
        <v>37</v>
      </c>
      <c r="N83" s="30">
        <v>42309</v>
      </c>
      <c r="O83" s="29" t="s">
        <v>27</v>
      </c>
      <c r="P83" s="26"/>
      <c r="Q83" s="26"/>
      <c r="R83" s="26"/>
      <c r="S83" s="26"/>
      <c r="T83" s="26"/>
      <c r="U83" s="26"/>
      <c r="V83" s="26"/>
      <c r="W83" s="29">
        <v>19.09</v>
      </c>
      <c r="X83" s="33">
        <v>92319.5</v>
      </c>
      <c r="Y83" s="26" t="s">
        <v>32</v>
      </c>
    </row>
    <row r="84" spans="1:32" x14ac:dyDescent="0.25">
      <c r="A84" s="26" t="s">
        <v>71</v>
      </c>
      <c r="B84" s="26" t="s">
        <v>95</v>
      </c>
      <c r="C84" s="29" t="s">
        <v>97</v>
      </c>
      <c r="D84" s="26" t="s">
        <v>89</v>
      </c>
      <c r="E84" s="28">
        <f>(1360+150)</f>
        <v>1510</v>
      </c>
      <c r="F84" s="32" t="s">
        <v>27</v>
      </c>
      <c r="G84" s="30">
        <v>43498</v>
      </c>
      <c r="H84" s="31">
        <f t="shared" si="2"/>
        <v>2020</v>
      </c>
      <c r="I84" s="30" t="s">
        <v>48</v>
      </c>
      <c r="J84" s="30" t="s">
        <v>48</v>
      </c>
      <c r="K84" s="30" t="s">
        <v>48</v>
      </c>
      <c r="L84" s="26" t="s">
        <v>98</v>
      </c>
      <c r="M84" s="29" t="s">
        <v>37</v>
      </c>
      <c r="N84" s="30">
        <v>43498</v>
      </c>
      <c r="O84" s="29" t="s">
        <v>34</v>
      </c>
      <c r="P84" s="26"/>
      <c r="Q84" s="26"/>
      <c r="R84" s="26"/>
      <c r="S84" s="26"/>
      <c r="T84" s="26"/>
      <c r="U84" s="26"/>
      <c r="V84" s="26"/>
      <c r="W84" s="29">
        <f>3.4+0.35</f>
        <v>3.75</v>
      </c>
      <c r="X84" s="33">
        <f>13189+2996</f>
        <v>16185</v>
      </c>
      <c r="Y84" s="26" t="s">
        <v>32</v>
      </c>
    </row>
    <row r="85" spans="1:32" x14ac:dyDescent="0.25">
      <c r="W85" s="19"/>
      <c r="X85" s="19"/>
    </row>
    <row r="86" spans="1:32" x14ac:dyDescent="0.25">
      <c r="G86" s="18">
        <v>2019</v>
      </c>
      <c r="H86" s="18">
        <v>2020</v>
      </c>
      <c r="W86" s="12" t="s">
        <v>107</v>
      </c>
      <c r="X86" s="13" t="s">
        <v>108</v>
      </c>
      <c r="Y86" s="43">
        <v>2019</v>
      </c>
      <c r="Z86" s="43">
        <v>2020</v>
      </c>
      <c r="AB86" t="s">
        <v>106</v>
      </c>
      <c r="AC86" t="s">
        <v>112</v>
      </c>
      <c r="AD86" s="43" t="s">
        <v>105</v>
      </c>
      <c r="AE86" s="43" t="s">
        <v>110</v>
      </c>
      <c r="AF86" s="43" t="s">
        <v>111</v>
      </c>
    </row>
    <row r="87" spans="1:32" x14ac:dyDescent="0.25">
      <c r="A87" t="s">
        <v>104</v>
      </c>
      <c r="B87" t="s">
        <v>87</v>
      </c>
      <c r="G87" s="19">
        <f>SUMIFS($X$2:$X$84,$H$2:$H$84,G$86,$B$2:$B$84,$B87)</f>
        <v>0</v>
      </c>
      <c r="H87" s="19">
        <f>SUMIFS($X$2:$X$84,$H$2:$H$84,H$86,$B$2:$B$84,$B87)</f>
        <v>0</v>
      </c>
    </row>
    <row r="88" spans="1:32" x14ac:dyDescent="0.25">
      <c r="B88" t="s">
        <v>95</v>
      </c>
      <c r="G88" s="19">
        <f>SUMIFS($X$2:$X$84,$H$2:$H$84,G$86,$B$2:$B$84,$B88)</f>
        <v>92319.5</v>
      </c>
      <c r="H88" s="19">
        <f>SUMIFS($X$2:$X$84,$H$2:$H$84,H$86,$B$2:$B$84,$B88)</f>
        <v>16185</v>
      </c>
      <c r="W88" s="42">
        <v>0.81699999999999995</v>
      </c>
      <c r="X88" s="42">
        <v>0.99590000000000001</v>
      </c>
      <c r="Y88" s="23">
        <f>G88*W88*X88</f>
        <v>75115.788870849996</v>
      </c>
      <c r="Z88" s="23">
        <f>H88*W88*X88</f>
        <v>13168.9301055</v>
      </c>
      <c r="AB88" s="41">
        <v>1</v>
      </c>
      <c r="AC88" s="44">
        <v>0.99</v>
      </c>
      <c r="AD88" s="23">
        <f>Y88*AB88</f>
        <v>75115.788870849996</v>
      </c>
      <c r="AE88" s="23">
        <f>AD88*AC88</f>
        <v>74364.630982141491</v>
      </c>
      <c r="AF88" s="23">
        <f>Z88*AB88</f>
        <v>13168.9301055</v>
      </c>
    </row>
    <row r="89" spans="1:32" x14ac:dyDescent="0.25">
      <c r="B89" s="9" t="s">
        <v>25</v>
      </c>
      <c r="G89" s="19">
        <f>SUMIFS($X$2:$X$84,$H$2:$H$84,G$86,$B$2:$B$84,$B89)</f>
        <v>878103.95900000003</v>
      </c>
      <c r="H89" s="19">
        <f>SUMIFS($X$2:$X$84,$H$2:$H$84,H$86,$B$2:$B$84,$B89)</f>
        <v>1558128.0079999997</v>
      </c>
      <c r="W89" s="42">
        <v>0.88400000000000001</v>
      </c>
      <c r="X89" s="42">
        <v>1.038</v>
      </c>
      <c r="Y89" s="23">
        <f>G89*W89*X89</f>
        <v>805741.16794672806</v>
      </c>
      <c r="Z89" s="23">
        <f>H89*W89*X89</f>
        <v>1429725.7951167359</v>
      </c>
      <c r="AB89" s="41">
        <v>1</v>
      </c>
      <c r="AC89" s="45">
        <v>0.995</v>
      </c>
      <c r="AD89" s="23">
        <f>Y89*AB89</f>
        <v>805741.16794672806</v>
      </c>
      <c r="AE89" s="23">
        <f t="shared" ref="AE89:AE90" si="3">AD89*AC89</f>
        <v>801712.46210699447</v>
      </c>
      <c r="AF89" s="23">
        <f t="shared" ref="AF89:AF90" si="4">Z89*AB89</f>
        <v>1429725.7951167359</v>
      </c>
    </row>
    <row r="90" spans="1:32" x14ac:dyDescent="0.25">
      <c r="B90" t="s">
        <v>72</v>
      </c>
      <c r="G90" s="19">
        <f>SUMIFS($X$2:$X$84,$H$2:$H$84,G$86,$B$2:$B$84,$B90)</f>
        <v>26886.27</v>
      </c>
      <c r="H90" s="19">
        <f>SUMIFS($X$2:$X$84,$H$2:$H$84,H$86,$B$2:$B$84,$B90)</f>
        <v>0</v>
      </c>
      <c r="W90" s="42">
        <f>W89</f>
        <v>0.88400000000000001</v>
      </c>
      <c r="X90" s="42">
        <f>X89</f>
        <v>1.038</v>
      </c>
      <c r="Y90" s="23">
        <f>G90*W90*X90</f>
        <v>24670.62626184</v>
      </c>
      <c r="Z90" s="23">
        <f>H90*W90*X90</f>
        <v>0</v>
      </c>
      <c r="AB90" s="41">
        <v>0.88100000000000001</v>
      </c>
      <c r="AC90" s="45">
        <v>0.64300000000000002</v>
      </c>
      <c r="AD90" s="23">
        <f>Y90*AB90</f>
        <v>21734.821736681039</v>
      </c>
      <c r="AE90" s="23">
        <f t="shared" si="3"/>
        <v>13975.490376685908</v>
      </c>
      <c r="AF90" s="23">
        <f t="shared" si="4"/>
        <v>0</v>
      </c>
    </row>
    <row r="91" spans="1:32" x14ac:dyDescent="0.25">
      <c r="G91" s="22">
        <f>SUM(G88:G90)</f>
        <v>997309.72900000005</v>
      </c>
      <c r="H91" s="22">
        <f>SUM(H88:H90)</f>
        <v>1574313.0079999997</v>
      </c>
      <c r="W91" s="42"/>
      <c r="X91" s="42"/>
      <c r="Y91" s="24">
        <f>SUM(Y88:Y90)</f>
        <v>905527.58307941805</v>
      </c>
      <c r="Z91" s="24">
        <f>SUM(Z88:Z90)</f>
        <v>1442894.7252222358</v>
      </c>
      <c r="AB91" s="41"/>
      <c r="AD91" s="24">
        <f>SUM(AD88:AD90)</f>
        <v>902591.7785542591</v>
      </c>
      <c r="AE91" s="24">
        <f t="shared" ref="AE91:AF91" si="5">SUM(AE88:AE90)</f>
        <v>890052.58346582181</v>
      </c>
      <c r="AF91" s="24">
        <f t="shared" si="5"/>
        <v>1442894.7252222358</v>
      </c>
    </row>
    <row r="92" spans="1:32" x14ac:dyDescent="0.25">
      <c r="W92" s="42"/>
      <c r="X92" s="42"/>
      <c r="Y92" s="23"/>
      <c r="Z92" s="23"/>
      <c r="AB92" s="41"/>
    </row>
    <row r="93" spans="1:32" x14ac:dyDescent="0.25">
      <c r="B93" t="s">
        <v>95</v>
      </c>
      <c r="G93" s="19">
        <f>SUMIFS($W$2:$W$84,$H$2:$H$84,G$86,$B$2:$B$84,$B93)</f>
        <v>19.09</v>
      </c>
      <c r="H93" s="19">
        <f>SUMIFS($W$2:$W$84,$H$2:$H$84,H$86,$B$2:$B$84,$B93)</f>
        <v>3.75</v>
      </c>
      <c r="W93" s="42">
        <f>W88</f>
        <v>0.81699999999999995</v>
      </c>
      <c r="X93" s="42">
        <v>0.99590000000000001</v>
      </c>
      <c r="Y93" s="23">
        <f>G93*W93*X93</f>
        <v>15.532584226999999</v>
      </c>
      <c r="Z93" s="23">
        <f>H93*W93*X93</f>
        <v>3.051188625</v>
      </c>
      <c r="AB93" s="41">
        <v>1</v>
      </c>
      <c r="AC93" s="44">
        <v>0.99</v>
      </c>
      <c r="AD93" s="23">
        <f>Y93*AB93</f>
        <v>15.532584226999999</v>
      </c>
      <c r="AE93" s="23">
        <f>AD93*AC93</f>
        <v>15.377258384729998</v>
      </c>
      <c r="AF93" s="23">
        <f>Z93*AB93</f>
        <v>3.051188625</v>
      </c>
    </row>
    <row r="94" spans="1:32" x14ac:dyDescent="0.25">
      <c r="B94" s="9" t="s">
        <v>25</v>
      </c>
      <c r="G94" s="19">
        <f>SUMIFS($W$2:$W$84,$H$2:$H$84,G$86,$B$2:$B$84,$B94)</f>
        <v>104.94100000000002</v>
      </c>
      <c r="H94" s="19">
        <f>SUMIFS($W$2:$W$84,$H$2:$H$84,H$86,$B$2:$B$84,$B94)</f>
        <v>113.15500000000003</v>
      </c>
      <c r="W94" s="42">
        <f>W89</f>
        <v>0.88400000000000001</v>
      </c>
      <c r="X94" s="42">
        <v>1.113</v>
      </c>
      <c r="Y94" s="23">
        <f>G94*W94*X94</f>
        <v>103.25061037200001</v>
      </c>
      <c r="Z94" s="23">
        <f>H94*W94*X94</f>
        <v>111.33229926000003</v>
      </c>
      <c r="AB94" s="41">
        <v>1</v>
      </c>
      <c r="AC94" s="45">
        <v>0.995</v>
      </c>
      <c r="AD94" s="23">
        <f>Y94*AB94</f>
        <v>103.25061037200001</v>
      </c>
      <c r="AE94" s="23">
        <f t="shared" ref="AE94:AE95" si="6">AD94*AC94</f>
        <v>102.73435732014001</v>
      </c>
      <c r="AF94" s="23">
        <f t="shared" ref="AF94:AF95" si="7">Z94*AB94</f>
        <v>111.33229926000003</v>
      </c>
    </row>
    <row r="95" spans="1:32" x14ac:dyDescent="0.25">
      <c r="B95" t="s">
        <v>72</v>
      </c>
      <c r="G95" s="19">
        <f>SUMIFS($W$2:$W$84,$H$2:$H$84,G$86,$B$2:$B$84,$B95)</f>
        <v>5.38</v>
      </c>
      <c r="H95" s="19">
        <f>SUMIFS($W$2:$W$84,$H$2:$H$84,H$86,$B$2:$B$84,$B95)</f>
        <v>0</v>
      </c>
      <c r="W95" s="42">
        <f>W94</f>
        <v>0.88400000000000001</v>
      </c>
      <c r="X95" s="42">
        <f>X94</f>
        <v>1.113</v>
      </c>
      <c r="Y95" s="23">
        <f>G95*W95*X95</f>
        <v>5.2933389599999998</v>
      </c>
      <c r="Z95" s="23">
        <f>H95*W95*X95</f>
        <v>0</v>
      </c>
      <c r="AB95" s="41">
        <v>0.88100000000000001</v>
      </c>
      <c r="AC95" s="45">
        <v>0.64300000000000002</v>
      </c>
      <c r="AD95" s="23">
        <f>Y95*AB95</f>
        <v>4.6634316237600002</v>
      </c>
      <c r="AE95" s="23">
        <f t="shared" si="6"/>
        <v>2.9985865340776803</v>
      </c>
      <c r="AF95" s="23">
        <f t="shared" si="7"/>
        <v>0</v>
      </c>
    </row>
    <row r="96" spans="1:32" x14ac:dyDescent="0.25">
      <c r="G96" s="22">
        <f>SUM(G93:G95)</f>
        <v>129.41100000000003</v>
      </c>
      <c r="H96" s="22">
        <f>SUM(H93:H95)</f>
        <v>116.90500000000003</v>
      </c>
      <c r="W96" s="21"/>
      <c r="Y96" s="24">
        <f>SUM(Y93:Y95)</f>
        <v>124.07653355900001</v>
      </c>
      <c r="Z96" s="24">
        <f>SUM(Z93:Z95)</f>
        <v>114.38348788500002</v>
      </c>
      <c r="AB96" s="41"/>
      <c r="AD96" s="24">
        <f>SUM(AD93:AD95)</f>
        <v>123.44662622276002</v>
      </c>
      <c r="AE96" s="24">
        <f t="shared" ref="AE96" si="8">SUM(AE93:AE95)</f>
        <v>121.11020223894768</v>
      </c>
      <c r="AF96" s="24">
        <f t="shared" ref="AF96" si="9">SUM(AF93:AF95)</f>
        <v>114.38348788500002</v>
      </c>
    </row>
    <row r="97" spans="1:32" x14ac:dyDescent="0.25">
      <c r="Y97" s="23"/>
      <c r="Z97" s="23"/>
      <c r="AB97" s="41"/>
    </row>
    <row r="98" spans="1:32" x14ac:dyDescent="0.25">
      <c r="A98" t="s">
        <v>40</v>
      </c>
      <c r="B98" t="s">
        <v>95</v>
      </c>
      <c r="G98" s="19">
        <f>SUMIFS($X$2:$X$84,$H$2:$H$84,G$86,$B$2:$B$84,$B98,$Y$2:$Y$84,$A$98)</f>
        <v>0</v>
      </c>
      <c r="H98" s="19">
        <f>SUMIFS($X$2:$X$84,$H$2:$H$84,H$86,$B$2:$B$84,$B98,$Y$2:$Y$84,$A$98)</f>
        <v>0</v>
      </c>
      <c r="W98" s="42">
        <v>0.81699999999999995</v>
      </c>
      <c r="X98" s="42">
        <v>0.99590000000000001</v>
      </c>
      <c r="Y98" s="23">
        <f>G98*W98*X98</f>
        <v>0</v>
      </c>
      <c r="Z98" s="23">
        <f>H98*W98*X98</f>
        <v>0</v>
      </c>
      <c r="AB98" s="41">
        <v>1</v>
      </c>
      <c r="AC98" s="44">
        <v>0.99</v>
      </c>
      <c r="AD98" s="23">
        <f>Y98*AB98</f>
        <v>0</v>
      </c>
      <c r="AE98" s="23">
        <f>AD98*AC98</f>
        <v>0</v>
      </c>
      <c r="AF98" s="23">
        <f>Z98*AB98</f>
        <v>0</v>
      </c>
    </row>
    <row r="99" spans="1:32" x14ac:dyDescent="0.25">
      <c r="A99" s="20" t="s">
        <v>22</v>
      </c>
      <c r="B99" s="9" t="s">
        <v>25</v>
      </c>
      <c r="G99" s="19">
        <f>SUMIFS($X$2:$X$84,$H$2:$H$84,G$86,$B$2:$B$84,$B99,$Y$2:$Y$84,$A$98)</f>
        <v>505472.99899999995</v>
      </c>
      <c r="H99" s="19">
        <f>SUMIFS($X$2:$X$84,$H$2:$H$84,H$86,$B$2:$B$84,$B99,$Y$2:$Y$84,$A$98)</f>
        <v>300131.22299999994</v>
      </c>
      <c r="W99" s="42">
        <v>0.88400000000000001</v>
      </c>
      <c r="X99" s="42">
        <v>1.038</v>
      </c>
      <c r="Y99" s="23">
        <f>G99*W99*X99</f>
        <v>463817.98009840795</v>
      </c>
      <c r="Z99" s="23">
        <f>H99*W99*X99</f>
        <v>275398.00917501596</v>
      </c>
      <c r="AB99" s="41">
        <v>1</v>
      </c>
      <c r="AC99" s="45">
        <v>0.995</v>
      </c>
      <c r="AD99" s="23">
        <f>Y99*AB99</f>
        <v>463817.98009840795</v>
      </c>
      <c r="AE99" s="23">
        <f t="shared" ref="AE99:AE100" si="10">AD99*AC99</f>
        <v>461498.8901979159</v>
      </c>
      <c r="AF99" s="23">
        <f t="shared" ref="AF99:AF100" si="11">Z99*AB99</f>
        <v>275398.00917501596</v>
      </c>
    </row>
    <row r="100" spans="1:32" x14ac:dyDescent="0.25">
      <c r="A100" s="20"/>
      <c r="B100" t="s">
        <v>72</v>
      </c>
      <c r="G100" s="19">
        <f>SUMIFS($X$2:$X$84,$H$2:$H$84,G$86,$B$2:$B$84,$B100,$Y$2:$Y$84,$A$98)</f>
        <v>26886.27</v>
      </c>
      <c r="H100" s="19">
        <f>SUMIFS($X$2:$X$84,$H$2:$H$84,H$86,$B$2:$B$84,$B100,$Y$2:$Y$84,$A$98)</f>
        <v>0</v>
      </c>
      <c r="W100" s="42">
        <f>W99</f>
        <v>0.88400000000000001</v>
      </c>
      <c r="X100" s="42">
        <f>X99</f>
        <v>1.038</v>
      </c>
      <c r="Y100" s="23">
        <f>G100*W100*X100</f>
        <v>24670.62626184</v>
      </c>
      <c r="Z100" s="23">
        <f>H100*W100*X100</f>
        <v>0</v>
      </c>
      <c r="AB100" s="41">
        <v>0.88100000000000001</v>
      </c>
      <c r="AC100" s="45">
        <v>0.64300000000000002</v>
      </c>
      <c r="AD100" s="23">
        <f>Y100*AB100</f>
        <v>21734.821736681039</v>
      </c>
      <c r="AE100" s="23">
        <f t="shared" si="10"/>
        <v>13975.490376685908</v>
      </c>
      <c r="AF100" s="23">
        <f t="shared" si="11"/>
        <v>0</v>
      </c>
    </row>
    <row r="101" spans="1:32" x14ac:dyDescent="0.25">
      <c r="A101" s="20"/>
      <c r="G101" s="22">
        <f>SUM(G98:G100)</f>
        <v>532359.26899999997</v>
      </c>
      <c r="H101" s="22">
        <f>SUM(H98:H100)</f>
        <v>300131.22299999994</v>
      </c>
      <c r="W101" s="42"/>
      <c r="X101" s="42"/>
      <c r="Y101" s="24">
        <f>SUM(Y98:Y100)</f>
        <v>488488.60636024794</v>
      </c>
      <c r="Z101" s="24">
        <f>SUM(Z98:Z100)</f>
        <v>275398.00917501596</v>
      </c>
      <c r="AB101" s="41"/>
      <c r="AD101" s="24">
        <f>SUM(AD98:AD100)</f>
        <v>485552.80183508899</v>
      </c>
      <c r="AE101" s="24">
        <f t="shared" ref="AE101" si="12">SUM(AE98:AE100)</f>
        <v>475474.38057460182</v>
      </c>
      <c r="AF101" s="24">
        <f t="shared" ref="AF101" si="13">SUM(AF98:AF100)</f>
        <v>275398.00917501596</v>
      </c>
    </row>
    <row r="102" spans="1:32" x14ac:dyDescent="0.25">
      <c r="A102" s="20"/>
      <c r="W102" s="42"/>
      <c r="X102" s="42"/>
      <c r="Y102" s="23"/>
      <c r="Z102" s="23"/>
      <c r="AB102" s="41"/>
    </row>
    <row r="103" spans="1:32" x14ac:dyDescent="0.25">
      <c r="A103" s="20"/>
      <c r="B103" t="s">
        <v>95</v>
      </c>
      <c r="G103" s="19">
        <f>SUMIFS($W$2:$W$84,$H$2:$H$84,G$86,$B$2:$B$84,$B103,$Y$2:$Y$84,$A$98)</f>
        <v>0</v>
      </c>
      <c r="H103" s="19">
        <f>SUMIFS($W$2:$W$84,$H$2:$H$84,H$86,$B$2:$B$84,$B103,$Y$2:$Y$84,$A$98)</f>
        <v>0</v>
      </c>
      <c r="W103" s="42">
        <f>W98</f>
        <v>0.81699999999999995</v>
      </c>
      <c r="X103" s="42">
        <v>0.99590000000000001</v>
      </c>
      <c r="Y103" s="23"/>
      <c r="Z103" s="23">
        <f>H103*W103*X103</f>
        <v>0</v>
      </c>
      <c r="AB103" s="41">
        <v>1</v>
      </c>
      <c r="AC103" s="44">
        <v>0.99</v>
      </c>
      <c r="AD103" s="23">
        <f>Y103*AB103</f>
        <v>0</v>
      </c>
      <c r="AE103" s="23">
        <f>AD103*AC103</f>
        <v>0</v>
      </c>
      <c r="AF103" s="23">
        <f>Z103*AB103</f>
        <v>0</v>
      </c>
    </row>
    <row r="104" spans="1:32" x14ac:dyDescent="0.25">
      <c r="A104" s="20" t="s">
        <v>21</v>
      </c>
      <c r="B104" s="9" t="s">
        <v>25</v>
      </c>
      <c r="G104" s="19">
        <f>SUMIFS($W$2:$W$84,$H$2:$H$84,G$86,$B$2:$B$84,$B104,$Y$2:$Y$84,$A$98)</f>
        <v>65.141000000000005</v>
      </c>
      <c r="H104" s="19">
        <f>SUMIFS($W$2:$W$84,$H$2:$H$84,H$86,$B$2:$B$84,$B104,$Y$2:$Y$84,$A$98)</f>
        <v>58.816999999999993</v>
      </c>
      <c r="W104" s="42">
        <f>W99</f>
        <v>0.88400000000000001</v>
      </c>
      <c r="X104" s="42">
        <v>1.113</v>
      </c>
      <c r="Y104" s="23">
        <f>G104*W104*X104</f>
        <v>64.091708772000004</v>
      </c>
      <c r="Z104" s="23">
        <f>H104*W104*X104</f>
        <v>57.86957576399999</v>
      </c>
      <c r="AB104" s="41">
        <v>1</v>
      </c>
      <c r="AC104" s="45">
        <v>0.995</v>
      </c>
      <c r="AD104" s="23">
        <f>Y104*AB104</f>
        <v>64.091708772000004</v>
      </c>
      <c r="AE104" s="23">
        <f t="shared" ref="AE104:AE105" si="14">AD104*AC104</f>
        <v>63.771250228140005</v>
      </c>
      <c r="AF104" s="23">
        <f t="shared" ref="AF104:AF105" si="15">Z104*AB104</f>
        <v>57.86957576399999</v>
      </c>
    </row>
    <row r="105" spans="1:32" x14ac:dyDescent="0.25">
      <c r="B105" t="s">
        <v>72</v>
      </c>
      <c r="G105" s="19">
        <f>SUMIFS($W$2:$W$84,$H$2:$H$84,G$86,$B$2:$B$84,$B105,$Y$2:$Y$84,$A$98)</f>
        <v>5.38</v>
      </c>
      <c r="H105" s="19">
        <f>SUMIFS($W$2:$W$84,$H$2:$H$84,H$86,$B$2:$B$84,$B105,$Y$2:$Y$84,$A$98)</f>
        <v>0</v>
      </c>
      <c r="W105" s="42">
        <f>W104</f>
        <v>0.88400000000000001</v>
      </c>
      <c r="X105" s="42">
        <f>X104</f>
        <v>1.113</v>
      </c>
      <c r="Y105" s="23">
        <f>G105*W105*X105</f>
        <v>5.2933389599999998</v>
      </c>
      <c r="Z105" s="23">
        <f>H105*W105*X105</f>
        <v>0</v>
      </c>
      <c r="AB105" s="41">
        <v>0.88100000000000001</v>
      </c>
      <c r="AC105" s="45">
        <v>0.64300000000000002</v>
      </c>
      <c r="AD105" s="23">
        <f>Y105*AB105</f>
        <v>4.6634316237600002</v>
      </c>
      <c r="AE105" s="23">
        <f t="shared" si="14"/>
        <v>2.9985865340776803</v>
      </c>
      <c r="AF105" s="23">
        <f t="shared" si="15"/>
        <v>0</v>
      </c>
    </row>
    <row r="106" spans="1:32" x14ac:dyDescent="0.25">
      <c r="G106" s="22">
        <f>SUM(G103:G105)</f>
        <v>70.521000000000001</v>
      </c>
      <c r="H106" s="22">
        <f>SUM(H103:H105)</f>
        <v>58.816999999999993</v>
      </c>
      <c r="W106" s="21"/>
      <c r="Y106" s="24">
        <f>SUM(Y103:Y105)</f>
        <v>69.385047732000004</v>
      </c>
      <c r="Z106" s="24">
        <f>SUM(Z103:Z105)</f>
        <v>57.86957576399999</v>
      </c>
      <c r="AB106" s="41"/>
      <c r="AD106" s="24">
        <f>SUM(AD103:AD105)</f>
        <v>68.755140395760009</v>
      </c>
      <c r="AE106" s="24">
        <f t="shared" ref="AE106" si="16">SUM(AE103:AE105)</f>
        <v>66.769836762217679</v>
      </c>
      <c r="AF106" s="24">
        <f t="shared" ref="AF106" si="17">SUM(AF103:AF105)</f>
        <v>57.86957576399999</v>
      </c>
    </row>
    <row r="107" spans="1:32" x14ac:dyDescent="0.25">
      <c r="Y107" s="23"/>
      <c r="Z107" s="23"/>
      <c r="AB107" s="41"/>
    </row>
    <row r="108" spans="1:32" x14ac:dyDescent="0.25">
      <c r="A108" t="s">
        <v>32</v>
      </c>
      <c r="B108" t="s">
        <v>95</v>
      </c>
      <c r="G108" s="19">
        <f>SUMIFS($X$2:$X$84,$H$2:$H$84,G$86,$B$2:$B$84,$B108,$Y$2:$Y$84,$A$108)</f>
        <v>92319.5</v>
      </c>
      <c r="H108" s="19">
        <f>SUMIFS($X$2:$X$84,$H$2:$H$84,H$86,$B$2:$B$84,$B108,$Y$2:$Y$84,$A$108)</f>
        <v>16185</v>
      </c>
      <c r="W108" s="42">
        <v>0.81699999999999995</v>
      </c>
      <c r="X108" s="42">
        <v>0.99590000000000001</v>
      </c>
      <c r="Y108" s="23">
        <f>G108*W108*X108</f>
        <v>75115.788870849996</v>
      </c>
      <c r="Z108" s="23">
        <f>H108*W108*X108</f>
        <v>13168.9301055</v>
      </c>
      <c r="AB108" s="41">
        <v>1</v>
      </c>
      <c r="AC108" s="44">
        <v>0.99</v>
      </c>
      <c r="AD108" s="23">
        <f>Y108*AB108</f>
        <v>75115.788870849996</v>
      </c>
      <c r="AE108" s="23">
        <f>AD108*AC108</f>
        <v>74364.630982141491</v>
      </c>
      <c r="AF108" s="23">
        <f>Z108*AB108</f>
        <v>13168.9301055</v>
      </c>
    </row>
    <row r="109" spans="1:32" x14ac:dyDescent="0.25">
      <c r="A109" s="20" t="s">
        <v>22</v>
      </c>
      <c r="B109" s="9" t="s">
        <v>25</v>
      </c>
      <c r="G109" s="19">
        <f>SUMIFS($X$2:$X$84,$H$2:$H$84,G$86,$B$2:$B$84,$B109,$Y$2:$Y$84,$A$108)</f>
        <v>372630.95999999996</v>
      </c>
      <c r="H109" s="19">
        <f>SUMIFS($X$2:$X$84,$H$2:$H$84,H$86,$B$2:$B$84,$B109,$Y$2:$Y$84,$A$108)</f>
        <v>1257996.7850000001</v>
      </c>
      <c r="W109" s="42">
        <v>0.88400000000000001</v>
      </c>
      <c r="X109" s="42">
        <v>1.038</v>
      </c>
      <c r="Y109" s="23">
        <f>G109*W109*X109</f>
        <v>341923.18784832</v>
      </c>
      <c r="Z109" s="23">
        <f>H109*W109*X109</f>
        <v>1154327.78594172</v>
      </c>
      <c r="AB109" s="41">
        <v>1</v>
      </c>
      <c r="AC109" s="45">
        <v>0.995</v>
      </c>
      <c r="AD109" s="23">
        <f>Y109*AB109</f>
        <v>341923.18784832</v>
      </c>
      <c r="AE109" s="23">
        <f t="shared" ref="AE109:AE110" si="18">AD109*AC109</f>
        <v>340213.5719090784</v>
      </c>
      <c r="AF109" s="23">
        <f t="shared" ref="AF109:AF110" si="19">Z109*AB109</f>
        <v>1154327.78594172</v>
      </c>
    </row>
    <row r="110" spans="1:32" x14ac:dyDescent="0.25">
      <c r="A110" s="20"/>
      <c r="B110" t="s">
        <v>72</v>
      </c>
      <c r="G110" s="19">
        <f>SUMIFS($X$2:$X$84,$H$2:$H$84,G$86,$B$2:$B$84,$B110,$Y$2:$Y$84,$A$108)</f>
        <v>0</v>
      </c>
      <c r="H110" s="19">
        <f>SUMIFS($X$2:$X$84,$H$2:$H$84,H$86,$B$2:$B$84,$B110,$Y$2:$Y$84,$A$108)</f>
        <v>0</v>
      </c>
      <c r="W110" s="42">
        <f>W109</f>
        <v>0.88400000000000001</v>
      </c>
      <c r="X110" s="42">
        <f>X109</f>
        <v>1.038</v>
      </c>
      <c r="Y110" s="23">
        <f>G110*W110*X110</f>
        <v>0</v>
      </c>
      <c r="Z110" s="23">
        <f>H110*W110*X110</f>
        <v>0</v>
      </c>
      <c r="AB110" s="41">
        <v>0.88100000000000001</v>
      </c>
      <c r="AC110" s="45">
        <v>0.64300000000000002</v>
      </c>
      <c r="AD110" s="23">
        <f>Y110*AB110</f>
        <v>0</v>
      </c>
      <c r="AE110" s="23">
        <f t="shared" si="18"/>
        <v>0</v>
      </c>
      <c r="AF110" s="23">
        <f t="shared" si="19"/>
        <v>0</v>
      </c>
    </row>
    <row r="111" spans="1:32" x14ac:dyDescent="0.25">
      <c r="A111" s="20"/>
      <c r="G111" s="22">
        <f>SUM(G108:G110)</f>
        <v>464950.45999999996</v>
      </c>
      <c r="H111" s="22">
        <f>SUM(H108:H110)</f>
        <v>1274181.7850000001</v>
      </c>
      <c r="W111" s="42"/>
      <c r="X111" s="42"/>
      <c r="Y111" s="24">
        <f>SUM(Y108:Y110)</f>
        <v>417038.97671916999</v>
      </c>
      <c r="Z111" s="24">
        <f>SUM(Z108:Z110)</f>
        <v>1167496.7160472199</v>
      </c>
      <c r="AB111" s="41"/>
      <c r="AD111" s="24">
        <f>SUM(AD108:AD110)</f>
        <v>417038.97671916999</v>
      </c>
      <c r="AE111" s="24">
        <f t="shared" ref="AE111" si="20">SUM(AE108:AE110)</f>
        <v>414578.20289121987</v>
      </c>
      <c r="AF111" s="24">
        <f t="shared" ref="AF111" si="21">SUM(AF108:AF110)</f>
        <v>1167496.7160472199</v>
      </c>
    </row>
    <row r="112" spans="1:32" x14ac:dyDescent="0.25">
      <c r="A112" s="20"/>
      <c r="W112" s="42"/>
      <c r="X112" s="42"/>
      <c r="Y112" s="23"/>
      <c r="Z112" s="23"/>
      <c r="AB112" s="41"/>
    </row>
    <row r="113" spans="1:32" x14ac:dyDescent="0.25">
      <c r="A113" s="20"/>
      <c r="B113" t="s">
        <v>95</v>
      </c>
      <c r="G113" s="19">
        <f>SUMIFS($W$2:$W$84,$H$2:$H$84,G$86,$B$2:$B$84,$B113,$Y$2:$Y$84,$A$108)</f>
        <v>19.09</v>
      </c>
      <c r="H113" s="19">
        <f>SUMIFS($W$2:$W$84,$H$2:$H$84,H$86,$B$2:$B$84,$B113,$Y$2:$Y$84,$A$108)</f>
        <v>3.75</v>
      </c>
      <c r="W113" s="42">
        <f>W108</f>
        <v>0.81699999999999995</v>
      </c>
      <c r="X113" s="42">
        <v>0.99590000000000001</v>
      </c>
      <c r="Y113" s="23">
        <f>G113*W113*X113</f>
        <v>15.532584226999999</v>
      </c>
      <c r="Z113" s="23">
        <f>H113*W113*X113</f>
        <v>3.051188625</v>
      </c>
      <c r="AB113" s="41">
        <v>1</v>
      </c>
      <c r="AC113" s="44">
        <v>0.99</v>
      </c>
      <c r="AD113" s="23">
        <f>Y113*AB113</f>
        <v>15.532584226999999</v>
      </c>
      <c r="AE113" s="23">
        <f>AD113*AC113</f>
        <v>15.377258384729998</v>
      </c>
      <c r="AF113" s="23">
        <f>Z113*AB113</f>
        <v>3.051188625</v>
      </c>
    </row>
    <row r="114" spans="1:32" x14ac:dyDescent="0.25">
      <c r="A114" s="20" t="s">
        <v>21</v>
      </c>
      <c r="B114" s="9" t="s">
        <v>25</v>
      </c>
      <c r="G114" s="19">
        <f>SUMIFS($W$2:$W$84,$H$2:$H$84,G$86,$B$2:$B$84,$B114,$Y$2:$Y$84,$A$108)</f>
        <v>39.800000000000004</v>
      </c>
      <c r="H114" s="19">
        <f>SUMIFS($W$2:$W$84,$H$2:$H$84,H$86,$B$2:$B$84,$B114,$Y$2:$Y$84,$A$108)</f>
        <v>54.337999999999994</v>
      </c>
      <c r="W114" s="42">
        <f>W109</f>
        <v>0.88400000000000001</v>
      </c>
      <c r="X114" s="42">
        <v>1.113</v>
      </c>
      <c r="Y114" s="23">
        <f>G114*W114*X114</f>
        <v>39.158901600000007</v>
      </c>
      <c r="Z114" s="23">
        <f>H114*W114*X114</f>
        <v>53.462723495999995</v>
      </c>
      <c r="AB114" s="41">
        <v>1</v>
      </c>
      <c r="AC114" s="45">
        <v>0.995</v>
      </c>
      <c r="AD114" s="23">
        <f>Y114*AB114</f>
        <v>39.158901600000007</v>
      </c>
      <c r="AE114" s="23">
        <f t="shared" ref="AE114:AE115" si="22">AD114*AC114</f>
        <v>38.963107092000008</v>
      </c>
      <c r="AF114" s="23">
        <f t="shared" ref="AF114:AF115" si="23">Z114*AB114</f>
        <v>53.462723495999995</v>
      </c>
    </row>
    <row r="115" spans="1:32" x14ac:dyDescent="0.25">
      <c r="B115" t="s">
        <v>72</v>
      </c>
      <c r="G115" s="19">
        <f>SUMIFS($W$2:$W$84,$H$2:$H$84,G$86,$B$2:$B$84,$B115,$Y$2:$Y$84,$A$108)</f>
        <v>0</v>
      </c>
      <c r="H115" s="19">
        <f>SUMIFS($W$2:$W$84,$H$2:$H$84,H$86,$B$2:$B$84,$B115,$Y$2:$Y$84,$A$108)</f>
        <v>0</v>
      </c>
      <c r="W115" s="42">
        <f>W114</f>
        <v>0.88400000000000001</v>
      </c>
      <c r="X115" s="42">
        <f>X114</f>
        <v>1.113</v>
      </c>
      <c r="Y115" s="23">
        <f>G115*W115*X115</f>
        <v>0</v>
      </c>
      <c r="Z115" s="23">
        <f>H115*W115*X115</f>
        <v>0</v>
      </c>
      <c r="AB115" s="41">
        <v>0.88100000000000001</v>
      </c>
      <c r="AC115" s="45">
        <v>0.64300000000000002</v>
      </c>
      <c r="AD115" s="23">
        <f>Y115*AB115</f>
        <v>0</v>
      </c>
      <c r="AE115" s="23">
        <f t="shared" si="22"/>
        <v>0</v>
      </c>
      <c r="AF115" s="23">
        <f t="shared" si="23"/>
        <v>0</v>
      </c>
    </row>
    <row r="116" spans="1:32" x14ac:dyDescent="0.25">
      <c r="G116" s="25">
        <f>SUM(G113:G115)</f>
        <v>58.89</v>
      </c>
      <c r="H116" s="22">
        <f>SUM(H113:H115)</f>
        <v>58.087999999999994</v>
      </c>
      <c r="W116" s="21"/>
      <c r="Y116" s="24">
        <f>SUM(Y113:Y115)</f>
        <v>54.691485827000008</v>
      </c>
      <c r="Z116" s="24">
        <f>SUM(Z113:Z115)</f>
        <v>56.513912120999997</v>
      </c>
      <c r="AB116" s="41"/>
      <c r="AD116" s="24">
        <f>SUM(AD113:AD115)</f>
        <v>54.691485827000008</v>
      </c>
      <c r="AE116" s="24">
        <f t="shared" ref="AE116" si="24">SUM(AE113:AE115)</f>
        <v>54.340365476730007</v>
      </c>
      <c r="AF116" s="24">
        <f t="shared" ref="AF116" si="25">SUM(AF113:AF115)</f>
        <v>56.513912120999997</v>
      </c>
    </row>
    <row r="117" spans="1:32" x14ac:dyDescent="0.25">
      <c r="G117" s="21"/>
      <c r="H117" s="21"/>
    </row>
    <row r="118" spans="1:32" x14ac:dyDescent="0.25">
      <c r="G118" s="21"/>
      <c r="H118" s="21"/>
      <c r="X118" t="s">
        <v>109</v>
      </c>
    </row>
    <row r="119" spans="1:32" x14ac:dyDescent="0.25">
      <c r="G119" s="21"/>
      <c r="H119" s="21"/>
    </row>
    <row r="120" spans="1:32" x14ac:dyDescent="0.25">
      <c r="G120" s="21"/>
      <c r="H120" s="21"/>
    </row>
    <row r="121" spans="1:32" x14ac:dyDescent="0.25">
      <c r="G121" s="21"/>
      <c r="Y121" s="21" t="s">
        <v>113</v>
      </c>
      <c r="Z121" s="21" t="s">
        <v>114</v>
      </c>
    </row>
    <row r="122" spans="1:32" x14ac:dyDescent="0.25">
      <c r="H122" s="21"/>
      <c r="W122" s="12">
        <v>2019</v>
      </c>
      <c r="X122" s="46">
        <v>2019</v>
      </c>
      <c r="Y122" s="23">
        <f>Y101</f>
        <v>488488.60636024794</v>
      </c>
      <c r="Z122" s="23">
        <f>Y111</f>
        <v>417038.97671916999</v>
      </c>
    </row>
    <row r="123" spans="1:32" x14ac:dyDescent="0.25">
      <c r="H123" s="21"/>
      <c r="X123" s="46">
        <v>2020</v>
      </c>
      <c r="Y123" s="23">
        <f>AD101</f>
        <v>485552.80183508899</v>
      </c>
      <c r="Z123" s="23">
        <f>AD111</f>
        <v>417038.97671916999</v>
      </c>
    </row>
    <row r="124" spans="1:32" x14ac:dyDescent="0.25">
      <c r="G124" s="21"/>
      <c r="H124" s="21"/>
      <c r="X124" s="46">
        <v>2021</v>
      </c>
      <c r="Y124" s="23">
        <f>AE101</f>
        <v>475474.38057460182</v>
      </c>
      <c r="Z124" s="23">
        <f>AE111</f>
        <v>414578.20289121987</v>
      </c>
    </row>
    <row r="125" spans="1:32" x14ac:dyDescent="0.25">
      <c r="G125" s="21"/>
      <c r="H125" s="21"/>
      <c r="X125" s="46"/>
    </row>
    <row r="126" spans="1:32" x14ac:dyDescent="0.25">
      <c r="G126" s="21"/>
      <c r="H126" s="21"/>
      <c r="W126" s="12">
        <v>2020</v>
      </c>
      <c r="X126" s="46">
        <v>2020</v>
      </c>
      <c r="Y126" s="23">
        <f>Z101</f>
        <v>275398.00917501596</v>
      </c>
      <c r="Z126" s="23">
        <f>Z111</f>
        <v>1167496.7160472199</v>
      </c>
    </row>
    <row r="127" spans="1:32" x14ac:dyDescent="0.25">
      <c r="G127" s="21"/>
      <c r="H127" s="21"/>
      <c r="X127" s="46">
        <v>2021</v>
      </c>
      <c r="Y127" s="23">
        <f>AF101</f>
        <v>275398.00917501596</v>
      </c>
      <c r="Z127" s="23">
        <f>AF111</f>
        <v>1167496.7160472199</v>
      </c>
    </row>
    <row r="128" spans="1:32" x14ac:dyDescent="0.25">
      <c r="G128" s="21"/>
      <c r="H128" s="21"/>
    </row>
    <row r="129" spans="8:27" ht="15.75" thickBot="1" x14ac:dyDescent="0.3"/>
    <row r="130" spans="8:27" x14ac:dyDescent="0.25">
      <c r="H130" s="47"/>
      <c r="I130" s="48"/>
      <c r="J130" s="49"/>
      <c r="K130" s="49"/>
      <c r="L130" s="50"/>
      <c r="M130" s="49"/>
      <c r="N130" s="48"/>
      <c r="O130" s="49"/>
      <c r="P130" s="50"/>
      <c r="Q130" s="50"/>
      <c r="R130" s="50"/>
      <c r="S130" s="50"/>
      <c r="T130" s="50"/>
      <c r="U130" s="50"/>
      <c r="V130" s="50"/>
      <c r="W130" s="74" t="s">
        <v>22</v>
      </c>
      <c r="X130" s="51"/>
      <c r="Y130" s="50"/>
      <c r="Z130" s="69"/>
    </row>
    <row r="131" spans="8:27" x14ac:dyDescent="0.25">
      <c r="H131" s="60"/>
      <c r="I131" s="52"/>
      <c r="J131" s="53"/>
      <c r="K131" s="53"/>
      <c r="L131" s="54"/>
      <c r="M131" s="53"/>
      <c r="N131" s="52"/>
      <c r="O131" s="53"/>
      <c r="P131" s="54"/>
      <c r="Q131" s="54"/>
      <c r="R131" s="54"/>
      <c r="S131" s="54"/>
      <c r="T131" s="54"/>
      <c r="U131" s="54"/>
      <c r="V131" s="54"/>
      <c r="W131" s="53"/>
      <c r="X131" s="53">
        <v>2019</v>
      </c>
      <c r="Y131" s="54">
        <v>2020</v>
      </c>
      <c r="Z131" s="58">
        <v>2021</v>
      </c>
    </row>
    <row r="132" spans="8:27" x14ac:dyDescent="0.25">
      <c r="H132" s="60"/>
      <c r="I132" s="52"/>
      <c r="J132" s="53"/>
      <c r="K132" s="53"/>
      <c r="L132" s="54"/>
      <c r="M132" s="53"/>
      <c r="N132" s="52"/>
      <c r="O132" s="53"/>
      <c r="P132" s="54"/>
      <c r="Q132" s="54"/>
      <c r="R132" s="54"/>
      <c r="S132" s="54"/>
      <c r="T132" s="54"/>
      <c r="U132" s="54"/>
      <c r="V132" s="54"/>
      <c r="W132" s="59" t="str">
        <f>B88</f>
        <v>HPNC</v>
      </c>
      <c r="X132" s="59">
        <f>Y88</f>
        <v>75115.788870849996</v>
      </c>
      <c r="Y132" s="59">
        <f>AD88</f>
        <v>75115.788870849996</v>
      </c>
      <c r="Z132" s="61">
        <f>AE88</f>
        <v>74364.630982141491</v>
      </c>
    </row>
    <row r="133" spans="8:27" x14ac:dyDescent="0.25">
      <c r="H133" s="60"/>
      <c r="I133" s="55">
        <v>2019</v>
      </c>
      <c r="J133" s="53"/>
      <c r="K133" s="53"/>
      <c r="L133" s="54"/>
      <c r="M133" s="53"/>
      <c r="N133" s="52"/>
      <c r="O133" s="53"/>
      <c r="P133" s="54"/>
      <c r="Q133" s="54"/>
      <c r="R133" s="54"/>
      <c r="S133" s="54"/>
      <c r="T133" s="54"/>
      <c r="U133" s="54"/>
      <c r="V133" s="54"/>
      <c r="W133" s="59" t="str">
        <f>B89</f>
        <v>Retrofit</v>
      </c>
      <c r="X133" s="59">
        <f t="shared" ref="X133:X134" si="26">Y89</f>
        <v>805741.16794672806</v>
      </c>
      <c r="Y133" s="59">
        <f t="shared" ref="Y133:Z133" si="27">AD89</f>
        <v>805741.16794672806</v>
      </c>
      <c r="Z133" s="61">
        <f t="shared" si="27"/>
        <v>801712.46210699447</v>
      </c>
    </row>
    <row r="134" spans="8:27" x14ac:dyDescent="0.25">
      <c r="H134" s="60"/>
      <c r="I134" s="55"/>
      <c r="J134" s="53"/>
      <c r="K134" s="53"/>
      <c r="L134" s="54"/>
      <c r="M134" s="53"/>
      <c r="N134" s="52"/>
      <c r="O134" s="53"/>
      <c r="P134" s="54"/>
      <c r="Q134" s="54"/>
      <c r="R134" s="54"/>
      <c r="S134" s="54"/>
      <c r="T134" s="54"/>
      <c r="U134" s="54"/>
      <c r="V134" s="54"/>
      <c r="W134" s="59" t="str">
        <f>B90</f>
        <v>Small Business Lighting</v>
      </c>
      <c r="X134" s="59">
        <f t="shared" si="26"/>
        <v>24670.62626184</v>
      </c>
      <c r="Y134" s="59">
        <f t="shared" ref="Y134:Z134" si="28">AD90</f>
        <v>21734.821736681039</v>
      </c>
      <c r="Z134" s="61">
        <f t="shared" si="28"/>
        <v>13975.490376685908</v>
      </c>
    </row>
    <row r="135" spans="8:27" x14ac:dyDescent="0.25">
      <c r="H135" s="60" t="s">
        <v>104</v>
      </c>
      <c r="I135" s="55"/>
      <c r="J135" s="53"/>
      <c r="K135" s="53"/>
      <c r="L135" s="54"/>
      <c r="M135" s="53"/>
      <c r="N135" s="52"/>
      <c r="O135" s="53"/>
      <c r="P135" s="54"/>
      <c r="Q135" s="54"/>
      <c r="R135" s="54"/>
      <c r="S135" s="54"/>
      <c r="T135" s="54"/>
      <c r="U135" s="54"/>
      <c r="V135" s="54"/>
      <c r="W135" s="53"/>
      <c r="X135" s="59"/>
      <c r="Y135" s="54"/>
      <c r="Z135" s="58"/>
    </row>
    <row r="136" spans="8:27" x14ac:dyDescent="0.25">
      <c r="H136" s="60"/>
      <c r="I136" s="55"/>
      <c r="J136" s="53"/>
      <c r="K136" s="53"/>
      <c r="L136" s="54"/>
      <c r="M136" s="53"/>
      <c r="N136" s="52"/>
      <c r="O136" s="53"/>
      <c r="P136" s="54"/>
      <c r="Q136" s="54"/>
      <c r="R136" s="54"/>
      <c r="S136" s="54"/>
      <c r="T136" s="54"/>
      <c r="U136" s="54"/>
      <c r="V136" s="54"/>
      <c r="W136" s="59" t="str">
        <f>W132</f>
        <v>HPNC</v>
      </c>
      <c r="X136" s="59"/>
      <c r="Y136" s="56">
        <f>Z88</f>
        <v>13168.9301055</v>
      </c>
      <c r="Z136" s="57">
        <f>AF88</f>
        <v>13168.9301055</v>
      </c>
    </row>
    <row r="137" spans="8:27" x14ac:dyDescent="0.25">
      <c r="H137" s="60"/>
      <c r="I137" s="55">
        <v>2020</v>
      </c>
      <c r="J137" s="53"/>
      <c r="K137" s="53"/>
      <c r="L137" s="54"/>
      <c r="M137" s="53"/>
      <c r="N137" s="52"/>
      <c r="O137" s="53"/>
      <c r="P137" s="54"/>
      <c r="Q137" s="54"/>
      <c r="R137" s="54"/>
      <c r="S137" s="54"/>
      <c r="T137" s="54"/>
      <c r="U137" s="54"/>
      <c r="V137" s="54"/>
      <c r="W137" s="59" t="str">
        <f t="shared" ref="W137:W138" si="29">W133</f>
        <v>Retrofit</v>
      </c>
      <c r="X137" s="59"/>
      <c r="Y137" s="56">
        <f t="shared" ref="Y137:Y138" si="30">Z89</f>
        <v>1429725.7951167359</v>
      </c>
      <c r="Z137" s="57">
        <f t="shared" ref="Z137:Z138" si="31">AF89</f>
        <v>1429725.7951167359</v>
      </c>
    </row>
    <row r="138" spans="8:27" x14ac:dyDescent="0.25">
      <c r="H138" s="60"/>
      <c r="I138" s="52"/>
      <c r="J138" s="53"/>
      <c r="K138" s="53"/>
      <c r="L138" s="54"/>
      <c r="M138" s="53"/>
      <c r="N138" s="52"/>
      <c r="O138" s="53"/>
      <c r="P138" s="54"/>
      <c r="Q138" s="54"/>
      <c r="R138" s="54"/>
      <c r="S138" s="54"/>
      <c r="T138" s="54"/>
      <c r="U138" s="54"/>
      <c r="V138" s="54"/>
      <c r="W138" s="59" t="str">
        <f t="shared" si="29"/>
        <v>Small Business Lighting</v>
      </c>
      <c r="X138" s="59"/>
      <c r="Y138" s="56">
        <f t="shared" si="30"/>
        <v>0</v>
      </c>
      <c r="Z138" s="57">
        <f t="shared" si="31"/>
        <v>0</v>
      </c>
    </row>
    <row r="139" spans="8:27" ht="15.75" thickBot="1" x14ac:dyDescent="0.3">
      <c r="H139" s="60"/>
      <c r="I139" s="52"/>
      <c r="J139" s="53"/>
      <c r="K139" s="53"/>
      <c r="L139" s="54"/>
      <c r="M139" s="53"/>
      <c r="N139" s="52"/>
      <c r="O139" s="53"/>
      <c r="P139" s="54"/>
      <c r="Q139" s="54"/>
      <c r="R139" s="54"/>
      <c r="S139" s="54"/>
      <c r="T139" s="54"/>
      <c r="U139" s="54"/>
      <c r="V139" s="54"/>
      <c r="W139" s="53"/>
      <c r="X139" s="59"/>
      <c r="Y139" s="59"/>
      <c r="Z139" s="58"/>
    </row>
    <row r="140" spans="8:27" x14ac:dyDescent="0.25">
      <c r="H140" s="47"/>
      <c r="I140" s="48"/>
      <c r="J140" s="49"/>
      <c r="K140" s="49"/>
      <c r="L140" s="50"/>
      <c r="M140" s="49"/>
      <c r="N140" s="48"/>
      <c r="O140" s="49"/>
      <c r="P140" s="50"/>
      <c r="Q140" s="50"/>
      <c r="R140" s="50"/>
      <c r="S140" s="50"/>
      <c r="T140" s="50"/>
      <c r="U140" s="50"/>
      <c r="V140" s="50"/>
      <c r="W140" s="49"/>
      <c r="X140" s="51"/>
      <c r="Y140" s="50"/>
      <c r="Z140" s="69"/>
    </row>
    <row r="141" spans="8:27" x14ac:dyDescent="0.25">
      <c r="H141" s="60"/>
      <c r="I141" s="52"/>
      <c r="J141" s="53"/>
      <c r="K141" s="53"/>
      <c r="L141" s="54"/>
      <c r="M141" s="53"/>
      <c r="N141" s="52"/>
      <c r="O141" s="53"/>
      <c r="P141" s="54"/>
      <c r="Q141" s="54"/>
      <c r="R141" s="54"/>
      <c r="S141" s="54"/>
      <c r="T141" s="54"/>
      <c r="U141" s="54"/>
      <c r="V141" s="54"/>
      <c r="W141" s="53"/>
      <c r="X141" s="53">
        <v>2019</v>
      </c>
      <c r="Y141" s="54">
        <v>2020</v>
      </c>
      <c r="Z141" s="58">
        <v>2021</v>
      </c>
    </row>
    <row r="142" spans="8:27" x14ac:dyDescent="0.25">
      <c r="H142" s="60"/>
      <c r="I142" s="52"/>
      <c r="J142" s="53"/>
      <c r="K142" s="53"/>
      <c r="L142" s="54"/>
      <c r="M142" s="53"/>
      <c r="N142" s="52"/>
      <c r="O142" s="53"/>
      <c r="P142" s="54"/>
      <c r="Q142" s="54"/>
      <c r="R142" s="54"/>
      <c r="S142" s="54"/>
      <c r="T142" s="54"/>
      <c r="U142" s="54"/>
      <c r="V142" s="54"/>
      <c r="W142" s="59" t="str">
        <f>B98</f>
        <v>HPNC</v>
      </c>
      <c r="X142" s="59">
        <f>Y98</f>
        <v>0</v>
      </c>
      <c r="Y142" s="59">
        <f>AD98</f>
        <v>0</v>
      </c>
      <c r="Z142" s="61">
        <f>AE98</f>
        <v>0</v>
      </c>
      <c r="AA142" s="75">
        <f t="shared" ref="AA142:AA143" si="32">X142/X132</f>
        <v>0</v>
      </c>
    </row>
    <row r="143" spans="8:27" x14ac:dyDescent="0.25">
      <c r="H143" s="60"/>
      <c r="I143" s="55">
        <v>2019</v>
      </c>
      <c r="J143" s="53"/>
      <c r="K143" s="53"/>
      <c r="L143" s="54"/>
      <c r="M143" s="53"/>
      <c r="N143" s="52"/>
      <c r="O143" s="53"/>
      <c r="P143" s="54"/>
      <c r="Q143" s="54"/>
      <c r="R143" s="54"/>
      <c r="S143" s="54"/>
      <c r="T143" s="54"/>
      <c r="U143" s="54"/>
      <c r="V143" s="54"/>
      <c r="W143" s="59" t="str">
        <f>B99</f>
        <v>Retrofit</v>
      </c>
      <c r="X143" s="59">
        <f t="shared" ref="X143:X144" si="33">Y99</f>
        <v>463817.98009840795</v>
      </c>
      <c r="Y143" s="59">
        <f t="shared" ref="Y143:Y144" si="34">AD99</f>
        <v>463817.98009840795</v>
      </c>
      <c r="Z143" s="61">
        <f t="shared" ref="Z143:Z144" si="35">AE99</f>
        <v>461498.8901979159</v>
      </c>
      <c r="AA143" s="75">
        <f t="shared" si="32"/>
        <v>0.57564140762517613</v>
      </c>
    </row>
    <row r="144" spans="8:27" x14ac:dyDescent="0.25">
      <c r="H144" s="60" t="s">
        <v>113</v>
      </c>
      <c r="I144" s="55"/>
      <c r="J144" s="53"/>
      <c r="K144" s="53"/>
      <c r="L144" s="54"/>
      <c r="M144" s="53"/>
      <c r="N144" s="52"/>
      <c r="O144" s="53"/>
      <c r="P144" s="54"/>
      <c r="Q144" s="54"/>
      <c r="R144" s="54"/>
      <c r="S144" s="54"/>
      <c r="T144" s="54"/>
      <c r="U144" s="54"/>
      <c r="V144" s="54"/>
      <c r="W144" s="59" t="str">
        <f>B100</f>
        <v>Small Business Lighting</v>
      </c>
      <c r="X144" s="59">
        <f t="shared" si="33"/>
        <v>24670.62626184</v>
      </c>
      <c r="Y144" s="59">
        <f t="shared" si="34"/>
        <v>21734.821736681039</v>
      </c>
      <c r="Z144" s="61">
        <f t="shared" si="35"/>
        <v>13975.490376685908</v>
      </c>
      <c r="AA144" s="75">
        <f>X144/X134</f>
        <v>1</v>
      </c>
    </row>
    <row r="145" spans="8:27" x14ac:dyDescent="0.25">
      <c r="H145" s="60"/>
      <c r="I145" s="55"/>
      <c r="J145" s="53"/>
      <c r="K145" s="53"/>
      <c r="L145" s="54"/>
      <c r="M145" s="53"/>
      <c r="N145" s="52"/>
      <c r="O145" s="53"/>
      <c r="P145" s="54"/>
      <c r="Q145" s="54"/>
      <c r="R145" s="54"/>
      <c r="S145" s="54"/>
      <c r="T145" s="54"/>
      <c r="U145" s="54"/>
      <c r="V145" s="54"/>
      <c r="W145" s="53"/>
      <c r="X145" s="59"/>
      <c r="Y145" s="54"/>
      <c r="Z145" s="58"/>
    </row>
    <row r="146" spans="8:27" x14ac:dyDescent="0.25">
      <c r="H146" s="60"/>
      <c r="I146" s="55"/>
      <c r="J146" s="53"/>
      <c r="K146" s="53"/>
      <c r="L146" s="54"/>
      <c r="M146" s="53"/>
      <c r="N146" s="52"/>
      <c r="O146" s="53"/>
      <c r="P146" s="54"/>
      <c r="Q146" s="54"/>
      <c r="R146" s="54"/>
      <c r="S146" s="54"/>
      <c r="T146" s="54"/>
      <c r="U146" s="54"/>
      <c r="V146" s="54"/>
      <c r="W146" s="59" t="str">
        <f>W142</f>
        <v>HPNC</v>
      </c>
      <c r="X146" s="59"/>
      <c r="Y146" s="56">
        <f>Z98</f>
        <v>0</v>
      </c>
      <c r="Z146" s="57">
        <f>AF98</f>
        <v>0</v>
      </c>
      <c r="AA146" s="75"/>
    </row>
    <row r="147" spans="8:27" x14ac:dyDescent="0.25">
      <c r="H147" s="60"/>
      <c r="I147" s="55">
        <v>2020</v>
      </c>
      <c r="J147" s="53"/>
      <c r="K147" s="53"/>
      <c r="L147" s="54"/>
      <c r="M147" s="53"/>
      <c r="N147" s="52"/>
      <c r="O147" s="53"/>
      <c r="P147" s="54"/>
      <c r="Q147" s="54"/>
      <c r="R147" s="54"/>
      <c r="S147" s="54"/>
      <c r="T147" s="54"/>
      <c r="U147" s="54"/>
      <c r="V147" s="54"/>
      <c r="W147" s="59" t="str">
        <f t="shared" ref="W147:W148" si="36">W143</f>
        <v>Retrofit</v>
      </c>
      <c r="X147" s="59"/>
      <c r="Y147" s="56">
        <f t="shared" ref="Y147:Y148" si="37">Z99</f>
        <v>275398.00917501596</v>
      </c>
      <c r="Z147" s="57">
        <f t="shared" ref="Z147:Z148" si="38">AF99</f>
        <v>275398.00917501596</v>
      </c>
      <c r="AA147" s="75"/>
    </row>
    <row r="148" spans="8:27" x14ac:dyDescent="0.25">
      <c r="H148" s="60"/>
      <c r="I148" s="52"/>
      <c r="J148" s="53"/>
      <c r="K148" s="53"/>
      <c r="L148" s="54"/>
      <c r="M148" s="53"/>
      <c r="N148" s="52"/>
      <c r="O148" s="53"/>
      <c r="P148" s="54"/>
      <c r="Q148" s="54"/>
      <c r="R148" s="54"/>
      <c r="S148" s="54"/>
      <c r="T148" s="54"/>
      <c r="U148" s="54"/>
      <c r="V148" s="54"/>
      <c r="W148" s="59" t="str">
        <f t="shared" si="36"/>
        <v>Small Business Lighting</v>
      </c>
      <c r="X148" s="59"/>
      <c r="Y148" s="56">
        <f t="shared" si="37"/>
        <v>0</v>
      </c>
      <c r="Z148" s="57">
        <f t="shared" si="38"/>
        <v>0</v>
      </c>
      <c r="AA148" s="75"/>
    </row>
    <row r="149" spans="8:27" ht="15.75" thickBot="1" x14ac:dyDescent="0.3">
      <c r="H149" s="62"/>
      <c r="I149" s="63"/>
      <c r="J149" s="64"/>
      <c r="K149" s="64"/>
      <c r="L149" s="65"/>
      <c r="M149" s="64"/>
      <c r="N149" s="63"/>
      <c r="O149" s="64"/>
      <c r="P149" s="65"/>
      <c r="Q149" s="65"/>
      <c r="R149" s="65"/>
      <c r="S149" s="65"/>
      <c r="T149" s="65"/>
      <c r="U149" s="65"/>
      <c r="V149" s="65"/>
      <c r="W149" s="64"/>
      <c r="X149" s="66"/>
      <c r="Y149" s="66"/>
      <c r="Z149" s="70"/>
    </row>
    <row r="150" spans="8:27" x14ac:dyDescent="0.25">
      <c r="H150" s="47"/>
      <c r="I150" s="48"/>
      <c r="J150" s="49"/>
      <c r="K150" s="49"/>
      <c r="L150" s="50"/>
      <c r="M150" s="49"/>
      <c r="N150" s="48"/>
      <c r="O150" s="49"/>
      <c r="P150" s="50"/>
      <c r="Q150" s="50"/>
      <c r="R150" s="50"/>
      <c r="S150" s="50"/>
      <c r="T150" s="50"/>
      <c r="U150" s="50"/>
      <c r="V150" s="50"/>
      <c r="W150" s="49"/>
      <c r="X150" s="51"/>
      <c r="Y150" s="50"/>
      <c r="Z150" s="69"/>
    </row>
    <row r="151" spans="8:27" x14ac:dyDescent="0.25">
      <c r="H151" s="60" t="s">
        <v>114</v>
      </c>
      <c r="I151" s="52"/>
      <c r="J151" s="53"/>
      <c r="K151" s="53"/>
      <c r="L151" s="54"/>
      <c r="M151" s="53"/>
      <c r="N151" s="52"/>
      <c r="O151" s="53"/>
      <c r="P151" s="54"/>
      <c r="Q151" s="54"/>
      <c r="R151" s="54"/>
      <c r="S151" s="54"/>
      <c r="T151" s="54"/>
      <c r="U151" s="54"/>
      <c r="V151" s="54"/>
      <c r="W151" s="53"/>
      <c r="X151" s="53">
        <v>2019</v>
      </c>
      <c r="Y151" s="54">
        <v>2020</v>
      </c>
      <c r="Z151" s="58">
        <v>2021</v>
      </c>
    </row>
    <row r="152" spans="8:27" x14ac:dyDescent="0.25">
      <c r="H152" s="60"/>
      <c r="I152" s="52"/>
      <c r="J152" s="53"/>
      <c r="K152" s="53"/>
      <c r="L152" s="54"/>
      <c r="M152" s="53"/>
      <c r="N152" s="52"/>
      <c r="O152" s="53"/>
      <c r="P152" s="54"/>
      <c r="Q152" s="54"/>
      <c r="R152" s="54"/>
      <c r="S152" s="54"/>
      <c r="T152" s="54"/>
      <c r="U152" s="54"/>
      <c r="V152" s="54"/>
      <c r="W152" s="59" t="str">
        <f>B108</f>
        <v>HPNC</v>
      </c>
      <c r="X152" s="59">
        <f>Y108</f>
        <v>75115.788870849996</v>
      </c>
      <c r="Y152" s="59">
        <f>AD108</f>
        <v>75115.788870849996</v>
      </c>
      <c r="Z152" s="61">
        <f>AE108</f>
        <v>74364.630982141491</v>
      </c>
      <c r="AA152" s="75">
        <f>X152/X132</f>
        <v>1</v>
      </c>
    </row>
    <row r="153" spans="8:27" x14ac:dyDescent="0.25">
      <c r="H153" s="60"/>
      <c r="I153" s="55">
        <v>2019</v>
      </c>
      <c r="J153" s="53"/>
      <c r="K153" s="53"/>
      <c r="L153" s="54"/>
      <c r="M153" s="53"/>
      <c r="N153" s="52"/>
      <c r="O153" s="53"/>
      <c r="P153" s="54"/>
      <c r="Q153" s="54"/>
      <c r="R153" s="54"/>
      <c r="S153" s="54"/>
      <c r="T153" s="54"/>
      <c r="U153" s="54"/>
      <c r="V153" s="54"/>
      <c r="W153" s="59" t="str">
        <f>B109</f>
        <v>Retrofit</v>
      </c>
      <c r="X153" s="59">
        <f t="shared" ref="X153:X154" si="39">Y109</f>
        <v>341923.18784832</v>
      </c>
      <c r="Y153" s="59">
        <f t="shared" ref="Y153:Y154" si="40">AD109</f>
        <v>341923.18784832</v>
      </c>
      <c r="Z153" s="61">
        <f t="shared" ref="Z153:Z154" si="41">AE109</f>
        <v>340213.5719090784</v>
      </c>
      <c r="AA153" s="75">
        <f t="shared" ref="AA153:AA154" si="42">X153/X133</f>
        <v>0.42435859237482376</v>
      </c>
    </row>
    <row r="154" spans="8:27" x14ac:dyDescent="0.25">
      <c r="H154" s="60"/>
      <c r="I154" s="55"/>
      <c r="J154" s="53"/>
      <c r="K154" s="53"/>
      <c r="L154" s="54"/>
      <c r="M154" s="53"/>
      <c r="N154" s="52"/>
      <c r="O154" s="53"/>
      <c r="P154" s="54"/>
      <c r="Q154" s="54"/>
      <c r="R154" s="54"/>
      <c r="S154" s="54"/>
      <c r="T154" s="54"/>
      <c r="U154" s="54"/>
      <c r="V154" s="54"/>
      <c r="W154" s="59" t="str">
        <f>B110</f>
        <v>Small Business Lighting</v>
      </c>
      <c r="X154" s="59">
        <f t="shared" si="39"/>
        <v>0</v>
      </c>
      <c r="Y154" s="59">
        <f t="shared" si="40"/>
        <v>0</v>
      </c>
      <c r="Z154" s="61">
        <f t="shared" si="41"/>
        <v>0</v>
      </c>
      <c r="AA154" s="75">
        <f t="shared" si="42"/>
        <v>0</v>
      </c>
    </row>
    <row r="155" spans="8:27" x14ac:dyDescent="0.25">
      <c r="H155" s="60"/>
      <c r="I155" s="55"/>
      <c r="J155" s="53"/>
      <c r="K155" s="53"/>
      <c r="L155" s="54"/>
      <c r="M155" s="53"/>
      <c r="N155" s="52"/>
      <c r="O155" s="53"/>
      <c r="P155" s="54"/>
      <c r="Q155" s="54"/>
      <c r="R155" s="54"/>
      <c r="S155" s="54"/>
      <c r="T155" s="54"/>
      <c r="U155" s="54"/>
      <c r="V155" s="54"/>
      <c r="W155" s="53"/>
      <c r="X155" s="59"/>
      <c r="Y155" s="54"/>
      <c r="Z155" s="58"/>
    </row>
    <row r="156" spans="8:27" x14ac:dyDescent="0.25">
      <c r="H156" s="60"/>
      <c r="I156" s="55"/>
      <c r="J156" s="53"/>
      <c r="K156" s="53"/>
      <c r="L156" s="54"/>
      <c r="M156" s="53"/>
      <c r="N156" s="52"/>
      <c r="O156" s="53"/>
      <c r="P156" s="54"/>
      <c r="Q156" s="54"/>
      <c r="R156" s="54"/>
      <c r="S156" s="54"/>
      <c r="T156" s="54"/>
      <c r="U156" s="54"/>
      <c r="V156" s="54"/>
      <c r="W156" s="59" t="str">
        <f>W152</f>
        <v>HPNC</v>
      </c>
      <c r="X156" s="59"/>
      <c r="Y156" s="56">
        <f>Z108</f>
        <v>13168.9301055</v>
      </c>
      <c r="Z156" s="57">
        <f>AF108</f>
        <v>13168.9301055</v>
      </c>
    </row>
    <row r="157" spans="8:27" x14ac:dyDescent="0.25">
      <c r="H157" s="60"/>
      <c r="I157" s="55">
        <v>2020</v>
      </c>
      <c r="J157" s="53"/>
      <c r="K157" s="53"/>
      <c r="L157" s="54"/>
      <c r="M157" s="53"/>
      <c r="N157" s="52"/>
      <c r="O157" s="53"/>
      <c r="P157" s="54"/>
      <c r="Q157" s="54"/>
      <c r="R157" s="54"/>
      <c r="S157" s="54"/>
      <c r="T157" s="54"/>
      <c r="U157" s="54"/>
      <c r="V157" s="54"/>
      <c r="W157" s="59" t="str">
        <f t="shared" ref="W157:W158" si="43">W153</f>
        <v>Retrofit</v>
      </c>
      <c r="X157" s="59"/>
      <c r="Y157" s="56">
        <f t="shared" ref="Y157:Y158" si="44">Z109</f>
        <v>1154327.78594172</v>
      </c>
      <c r="Z157" s="57">
        <f t="shared" ref="Z157:Z158" si="45">AF109</f>
        <v>1154327.78594172</v>
      </c>
    </row>
    <row r="158" spans="8:27" x14ac:dyDescent="0.25">
      <c r="H158" s="60"/>
      <c r="I158" s="52"/>
      <c r="J158" s="53"/>
      <c r="K158" s="53"/>
      <c r="L158" s="54"/>
      <c r="M158" s="53"/>
      <c r="N158" s="52"/>
      <c r="O158" s="53"/>
      <c r="P158" s="54"/>
      <c r="Q158" s="54"/>
      <c r="R158" s="54"/>
      <c r="S158" s="54"/>
      <c r="T158" s="54"/>
      <c r="U158" s="54"/>
      <c r="V158" s="54"/>
      <c r="W158" s="59" t="str">
        <f t="shared" si="43"/>
        <v>Small Business Lighting</v>
      </c>
      <c r="X158" s="59"/>
      <c r="Y158" s="56">
        <f t="shared" si="44"/>
        <v>0</v>
      </c>
      <c r="Z158" s="57">
        <f t="shared" si="45"/>
        <v>0</v>
      </c>
    </row>
    <row r="159" spans="8:27" ht="15.75" thickBot="1" x14ac:dyDescent="0.3">
      <c r="H159" s="62"/>
      <c r="I159" s="63"/>
      <c r="J159" s="64"/>
      <c r="K159" s="64"/>
      <c r="L159" s="65"/>
      <c r="M159" s="64"/>
      <c r="N159" s="63"/>
      <c r="O159" s="64"/>
      <c r="P159" s="65"/>
      <c r="Q159" s="65"/>
      <c r="R159" s="65"/>
      <c r="S159" s="65"/>
      <c r="T159" s="65"/>
      <c r="U159" s="65"/>
      <c r="V159" s="65"/>
      <c r="W159" s="64"/>
      <c r="X159" s="66"/>
      <c r="Y159" s="66"/>
      <c r="Z159" s="70"/>
    </row>
    <row r="160" spans="8:27" ht="15.75" thickBot="1" x14ac:dyDescent="0.3"/>
    <row r="161" spans="8:27" x14ac:dyDescent="0.25">
      <c r="H161" s="47"/>
      <c r="I161" s="48"/>
      <c r="J161" s="49"/>
      <c r="K161" s="49"/>
      <c r="L161" s="50"/>
      <c r="M161" s="49"/>
      <c r="N161" s="48"/>
      <c r="O161" s="49"/>
      <c r="P161" s="50"/>
      <c r="Q161" s="50"/>
      <c r="R161" s="50"/>
      <c r="S161" s="50"/>
      <c r="T161" s="50"/>
      <c r="U161" s="50"/>
      <c r="V161" s="50"/>
      <c r="W161" s="74" t="s">
        <v>21</v>
      </c>
      <c r="X161" s="51"/>
      <c r="Y161" s="50"/>
      <c r="Z161" s="69"/>
    </row>
    <row r="162" spans="8:27" x14ac:dyDescent="0.25">
      <c r="H162" s="60"/>
      <c r="I162" s="52"/>
      <c r="J162" s="53"/>
      <c r="K162" s="53"/>
      <c r="L162" s="54"/>
      <c r="M162" s="53"/>
      <c r="N162" s="52"/>
      <c r="O162" s="53"/>
      <c r="P162" s="54"/>
      <c r="Q162" s="54"/>
      <c r="R162" s="54"/>
      <c r="S162" s="54"/>
      <c r="T162" s="54"/>
      <c r="U162" s="54"/>
      <c r="V162" s="54"/>
      <c r="W162" s="53"/>
      <c r="X162" s="53">
        <v>2019</v>
      </c>
      <c r="Y162" s="54">
        <v>2020</v>
      </c>
      <c r="Z162" s="58">
        <v>2021</v>
      </c>
    </row>
    <row r="163" spans="8:27" x14ac:dyDescent="0.25">
      <c r="H163" s="60"/>
      <c r="I163" s="52"/>
      <c r="J163" s="53"/>
      <c r="K163" s="53"/>
      <c r="L163" s="54"/>
      <c r="M163" s="53"/>
      <c r="N163" s="52"/>
      <c r="O163" s="53"/>
      <c r="P163" s="54"/>
      <c r="Q163" s="54"/>
      <c r="R163" s="54"/>
      <c r="S163" s="54"/>
      <c r="T163" s="54"/>
      <c r="U163" s="54"/>
      <c r="V163" s="54"/>
      <c r="W163" s="59" t="str">
        <f>W132</f>
        <v>HPNC</v>
      </c>
      <c r="X163" s="59">
        <f>Y93</f>
        <v>15.532584226999999</v>
      </c>
      <c r="Y163" s="59">
        <f>AD93</f>
        <v>15.532584226999999</v>
      </c>
      <c r="Z163" s="61">
        <f>AE93</f>
        <v>15.377258384729998</v>
      </c>
      <c r="AA163" s="75"/>
    </row>
    <row r="164" spans="8:27" x14ac:dyDescent="0.25">
      <c r="H164" s="60"/>
      <c r="I164" s="55">
        <v>2019</v>
      </c>
      <c r="J164" s="53"/>
      <c r="K164" s="53"/>
      <c r="L164" s="54"/>
      <c r="M164" s="53"/>
      <c r="N164" s="52"/>
      <c r="O164" s="53"/>
      <c r="P164" s="54"/>
      <c r="Q164" s="54"/>
      <c r="R164" s="54"/>
      <c r="S164" s="54"/>
      <c r="T164" s="54"/>
      <c r="U164" s="54"/>
      <c r="V164" s="54"/>
      <c r="W164" s="59" t="str">
        <f t="shared" ref="W164:W165" si="46">W133</f>
        <v>Retrofit</v>
      </c>
      <c r="X164" s="59">
        <f t="shared" ref="X164:X165" si="47">Y94</f>
        <v>103.25061037200001</v>
      </c>
      <c r="Y164" s="59">
        <f t="shared" ref="Y164:Z164" si="48">AD94</f>
        <v>103.25061037200001</v>
      </c>
      <c r="Z164" s="61">
        <f t="shared" si="48"/>
        <v>102.73435732014001</v>
      </c>
      <c r="AA164" s="75"/>
    </row>
    <row r="165" spans="8:27" x14ac:dyDescent="0.25">
      <c r="H165" s="60"/>
      <c r="I165" s="55"/>
      <c r="J165" s="53"/>
      <c r="K165" s="53"/>
      <c r="L165" s="54"/>
      <c r="M165" s="53"/>
      <c r="N165" s="52"/>
      <c r="O165" s="53"/>
      <c r="P165" s="54"/>
      <c r="Q165" s="54"/>
      <c r="R165" s="54"/>
      <c r="S165" s="54"/>
      <c r="T165" s="54"/>
      <c r="U165" s="54"/>
      <c r="V165" s="54"/>
      <c r="W165" s="59" t="str">
        <f t="shared" si="46"/>
        <v>Small Business Lighting</v>
      </c>
      <c r="X165" s="59">
        <f t="shared" si="47"/>
        <v>5.2933389599999998</v>
      </c>
      <c r="Y165" s="59">
        <f t="shared" ref="Y165:Z165" si="49">AD95</f>
        <v>4.6634316237600002</v>
      </c>
      <c r="Z165" s="61">
        <f t="shared" si="49"/>
        <v>2.9985865340776803</v>
      </c>
      <c r="AA165" s="75"/>
    </row>
    <row r="166" spans="8:27" x14ac:dyDescent="0.25">
      <c r="H166" s="60" t="s">
        <v>104</v>
      </c>
      <c r="I166" s="55"/>
      <c r="J166" s="53"/>
      <c r="K166" s="53"/>
      <c r="L166" s="54"/>
      <c r="M166" s="53"/>
      <c r="N166" s="52"/>
      <c r="O166" s="53"/>
      <c r="P166" s="54"/>
      <c r="Q166" s="54"/>
      <c r="R166" s="54"/>
      <c r="S166" s="54"/>
      <c r="T166" s="54"/>
      <c r="U166" s="54"/>
      <c r="V166" s="54"/>
      <c r="W166" s="53"/>
      <c r="X166" s="59"/>
      <c r="Y166" s="54"/>
      <c r="Z166" s="58"/>
    </row>
    <row r="167" spans="8:27" x14ac:dyDescent="0.25">
      <c r="H167" s="60"/>
      <c r="I167" s="55"/>
      <c r="J167" s="53"/>
      <c r="K167" s="53"/>
      <c r="L167" s="54"/>
      <c r="M167" s="53"/>
      <c r="N167" s="52"/>
      <c r="O167" s="53"/>
      <c r="P167" s="54"/>
      <c r="Q167" s="54"/>
      <c r="R167" s="54"/>
      <c r="S167" s="54"/>
      <c r="T167" s="54"/>
      <c r="U167" s="54"/>
      <c r="V167" s="54"/>
      <c r="W167" s="59" t="str">
        <f>W163</f>
        <v>HPNC</v>
      </c>
      <c r="X167" s="59"/>
      <c r="Y167" s="56">
        <f>Z93</f>
        <v>3.051188625</v>
      </c>
      <c r="Z167" s="57">
        <f>AF93</f>
        <v>3.051188625</v>
      </c>
    </row>
    <row r="168" spans="8:27" x14ac:dyDescent="0.25">
      <c r="H168" s="60"/>
      <c r="I168" s="55">
        <v>2020</v>
      </c>
      <c r="J168" s="53"/>
      <c r="K168" s="53"/>
      <c r="L168" s="54"/>
      <c r="M168" s="53"/>
      <c r="N168" s="52"/>
      <c r="O168" s="53"/>
      <c r="P168" s="54"/>
      <c r="Q168" s="54"/>
      <c r="R168" s="54"/>
      <c r="S168" s="54"/>
      <c r="T168" s="54"/>
      <c r="U168" s="54"/>
      <c r="V168" s="54"/>
      <c r="W168" s="59" t="str">
        <f t="shared" ref="W168:W185" si="50">W164</f>
        <v>Retrofit</v>
      </c>
      <c r="X168" s="59"/>
      <c r="Y168" s="56">
        <f t="shared" ref="Y168:Y169" si="51">Z94</f>
        <v>111.33229926000003</v>
      </c>
      <c r="Z168" s="57">
        <f t="shared" ref="Z168:Z169" si="52">AF94</f>
        <v>111.33229926000003</v>
      </c>
    </row>
    <row r="169" spans="8:27" x14ac:dyDescent="0.25">
      <c r="H169" s="60"/>
      <c r="I169" s="52"/>
      <c r="J169" s="53"/>
      <c r="K169" s="53"/>
      <c r="L169" s="54"/>
      <c r="M169" s="53"/>
      <c r="N169" s="52"/>
      <c r="O169" s="53"/>
      <c r="P169" s="54"/>
      <c r="Q169" s="54"/>
      <c r="R169" s="54"/>
      <c r="S169" s="54"/>
      <c r="T169" s="54"/>
      <c r="U169" s="54"/>
      <c r="V169" s="54"/>
      <c r="W169" s="59" t="str">
        <f t="shared" si="50"/>
        <v>Small Business Lighting</v>
      </c>
      <c r="X169" s="59"/>
      <c r="Y169" s="56">
        <f t="shared" si="51"/>
        <v>0</v>
      </c>
      <c r="Z169" s="57">
        <f t="shared" si="52"/>
        <v>0</v>
      </c>
    </row>
    <row r="170" spans="8:27" ht="15.75" thickBot="1" x14ac:dyDescent="0.3">
      <c r="H170" s="62"/>
      <c r="I170" s="63"/>
      <c r="J170" s="64"/>
      <c r="K170" s="64"/>
      <c r="L170" s="65"/>
      <c r="M170" s="64"/>
      <c r="N170" s="63"/>
      <c r="O170" s="64"/>
      <c r="P170" s="65"/>
      <c r="Q170" s="65"/>
      <c r="R170" s="65"/>
      <c r="S170" s="65"/>
      <c r="T170" s="65"/>
      <c r="U170" s="65"/>
      <c r="V170" s="65"/>
      <c r="W170" s="66"/>
      <c r="X170" s="66"/>
      <c r="Y170" s="66"/>
      <c r="Z170" s="70"/>
    </row>
    <row r="171" spans="8:27" x14ac:dyDescent="0.25">
      <c r="H171" s="47"/>
      <c r="I171" s="48"/>
      <c r="J171" s="49"/>
      <c r="K171" s="49"/>
      <c r="L171" s="50"/>
      <c r="M171" s="49"/>
      <c r="N171" s="48"/>
      <c r="O171" s="49"/>
      <c r="P171" s="50"/>
      <c r="Q171" s="50"/>
      <c r="R171" s="50"/>
      <c r="S171" s="50"/>
      <c r="T171" s="50"/>
      <c r="U171" s="50"/>
      <c r="V171" s="50"/>
      <c r="W171" s="51" t="str">
        <f t="shared" si="50"/>
        <v>HPNC</v>
      </c>
      <c r="X171" s="51">
        <f>Y103</f>
        <v>0</v>
      </c>
      <c r="Y171" s="51">
        <f>AD103</f>
        <v>0</v>
      </c>
      <c r="Z171" s="71">
        <f>AE103</f>
        <v>0</v>
      </c>
      <c r="AA171" s="75">
        <f>X171/X163</f>
        <v>0</v>
      </c>
    </row>
    <row r="172" spans="8:27" x14ac:dyDescent="0.25">
      <c r="H172" s="60" t="s">
        <v>113</v>
      </c>
      <c r="I172" s="55">
        <v>2019</v>
      </c>
      <c r="J172" s="53"/>
      <c r="K172" s="53"/>
      <c r="L172" s="54"/>
      <c r="M172" s="53"/>
      <c r="N172" s="52"/>
      <c r="O172" s="53"/>
      <c r="P172" s="54"/>
      <c r="Q172" s="54"/>
      <c r="R172" s="54"/>
      <c r="S172" s="54"/>
      <c r="T172" s="54"/>
      <c r="U172" s="54"/>
      <c r="V172" s="54"/>
      <c r="W172" s="59" t="str">
        <f t="shared" si="50"/>
        <v>Retrofit</v>
      </c>
      <c r="X172" s="59">
        <f>Y104</f>
        <v>64.091708772000004</v>
      </c>
      <c r="Y172" s="59">
        <f t="shared" ref="Y172:Z173" si="53">AD104</f>
        <v>64.091708772000004</v>
      </c>
      <c r="Z172" s="61">
        <f t="shared" si="53"/>
        <v>63.771250228140005</v>
      </c>
      <c r="AA172" s="75">
        <f t="shared" ref="AA172:AA173" si="54">X172/X164</f>
        <v>0.62073927254361971</v>
      </c>
    </row>
    <row r="173" spans="8:27" x14ac:dyDescent="0.25">
      <c r="H173" s="60"/>
      <c r="I173" s="52"/>
      <c r="J173" s="53"/>
      <c r="K173" s="53"/>
      <c r="L173" s="54"/>
      <c r="M173" s="53"/>
      <c r="N173" s="52"/>
      <c r="O173" s="53"/>
      <c r="P173" s="54"/>
      <c r="Q173" s="54"/>
      <c r="R173" s="54"/>
      <c r="S173" s="54"/>
      <c r="T173" s="54"/>
      <c r="U173" s="54"/>
      <c r="V173" s="54"/>
      <c r="W173" s="59" t="str">
        <f t="shared" si="50"/>
        <v>Small Business Lighting</v>
      </c>
      <c r="X173" s="59">
        <f>Y105</f>
        <v>5.2933389599999998</v>
      </c>
      <c r="Y173" s="59">
        <f t="shared" si="53"/>
        <v>4.6634316237600002</v>
      </c>
      <c r="Z173" s="61">
        <f t="shared" si="53"/>
        <v>2.9985865340776803</v>
      </c>
      <c r="AA173" s="75">
        <f t="shared" si="54"/>
        <v>1</v>
      </c>
    </row>
    <row r="174" spans="8:27" x14ac:dyDescent="0.25">
      <c r="H174" s="60"/>
      <c r="I174" s="52"/>
      <c r="J174" s="53"/>
      <c r="K174" s="53"/>
      <c r="L174" s="54"/>
      <c r="M174" s="53"/>
      <c r="N174" s="52"/>
      <c r="O174" s="53"/>
      <c r="P174" s="54"/>
      <c r="Q174" s="54"/>
      <c r="R174" s="54"/>
      <c r="S174" s="54"/>
      <c r="T174" s="54"/>
      <c r="U174" s="54"/>
      <c r="V174" s="54"/>
      <c r="W174" s="59"/>
      <c r="X174" s="59"/>
      <c r="Y174" s="54"/>
      <c r="Z174" s="58"/>
    </row>
    <row r="175" spans="8:27" x14ac:dyDescent="0.25">
      <c r="H175" s="60"/>
      <c r="I175" s="52"/>
      <c r="J175" s="53"/>
      <c r="K175" s="53"/>
      <c r="L175" s="54"/>
      <c r="M175" s="53"/>
      <c r="N175" s="52"/>
      <c r="O175" s="53"/>
      <c r="P175" s="54"/>
      <c r="Q175" s="54"/>
      <c r="R175" s="54"/>
      <c r="S175" s="54"/>
      <c r="T175" s="54"/>
      <c r="U175" s="54"/>
      <c r="V175" s="54"/>
      <c r="W175" s="59" t="str">
        <f t="shared" si="50"/>
        <v>HPNC</v>
      </c>
      <c r="X175" s="59"/>
      <c r="Y175" s="56">
        <f>Z103</f>
        <v>0</v>
      </c>
      <c r="Z175" s="57">
        <f>AF103</f>
        <v>0</v>
      </c>
    </row>
    <row r="176" spans="8:27" x14ac:dyDescent="0.25">
      <c r="H176" s="60"/>
      <c r="I176" s="55">
        <v>2020</v>
      </c>
      <c r="J176" s="53"/>
      <c r="K176" s="53"/>
      <c r="L176" s="54"/>
      <c r="M176" s="53"/>
      <c r="N176" s="52"/>
      <c r="O176" s="53"/>
      <c r="P176" s="54"/>
      <c r="Q176" s="54"/>
      <c r="R176" s="54"/>
      <c r="S176" s="54"/>
      <c r="T176" s="54"/>
      <c r="U176" s="54"/>
      <c r="V176" s="54"/>
      <c r="W176" s="59" t="str">
        <f t="shared" si="50"/>
        <v>Retrofit</v>
      </c>
      <c r="X176" s="59"/>
      <c r="Y176" s="56">
        <f t="shared" ref="Y176:Y177" si="55">Z104</f>
        <v>57.86957576399999</v>
      </c>
      <c r="Z176" s="57">
        <f t="shared" ref="Z176:Z177" si="56">AF104</f>
        <v>57.86957576399999</v>
      </c>
    </row>
    <row r="177" spans="8:27" ht="15.75" thickBot="1" x14ac:dyDescent="0.3">
      <c r="H177" s="62"/>
      <c r="I177" s="63"/>
      <c r="J177" s="64"/>
      <c r="K177" s="64"/>
      <c r="L177" s="65"/>
      <c r="M177" s="64"/>
      <c r="N177" s="63"/>
      <c r="O177" s="64"/>
      <c r="P177" s="65"/>
      <c r="Q177" s="65"/>
      <c r="R177" s="65"/>
      <c r="S177" s="65"/>
      <c r="T177" s="65"/>
      <c r="U177" s="65"/>
      <c r="V177" s="65"/>
      <c r="W177" s="66" t="str">
        <f t="shared" si="50"/>
        <v>Small Business Lighting</v>
      </c>
      <c r="X177" s="66"/>
      <c r="Y177" s="67">
        <f t="shared" si="55"/>
        <v>0</v>
      </c>
      <c r="Z177" s="68">
        <f t="shared" si="56"/>
        <v>0</v>
      </c>
    </row>
    <row r="178" spans="8:27" x14ac:dyDescent="0.25">
      <c r="H178" s="47"/>
      <c r="I178" s="48"/>
      <c r="J178" s="49"/>
      <c r="K178" s="49"/>
      <c r="L178" s="50"/>
      <c r="M178" s="49"/>
      <c r="N178" s="48"/>
      <c r="O178" s="49"/>
      <c r="P178" s="50"/>
      <c r="Q178" s="50"/>
      <c r="R178" s="50"/>
      <c r="S178" s="50"/>
      <c r="T178" s="50"/>
      <c r="U178" s="50"/>
      <c r="V178" s="50"/>
      <c r="W178" s="51"/>
      <c r="X178" s="51"/>
      <c r="Y178" s="72"/>
      <c r="Z178" s="73"/>
    </row>
    <row r="179" spans="8:27" x14ac:dyDescent="0.25">
      <c r="H179" s="60"/>
      <c r="I179" s="52"/>
      <c r="J179" s="53"/>
      <c r="K179" s="53"/>
      <c r="L179" s="54"/>
      <c r="M179" s="53"/>
      <c r="N179" s="52"/>
      <c r="O179" s="53"/>
      <c r="P179" s="54"/>
      <c r="Q179" s="54"/>
      <c r="R179" s="54"/>
      <c r="S179" s="54"/>
      <c r="T179" s="54"/>
      <c r="U179" s="54"/>
      <c r="V179" s="54"/>
      <c r="W179" s="59" t="str">
        <f t="shared" si="50"/>
        <v>HPNC</v>
      </c>
      <c r="X179" s="59">
        <f>Y113</f>
        <v>15.532584226999999</v>
      </c>
      <c r="Y179" s="59">
        <f>AD113</f>
        <v>15.532584226999999</v>
      </c>
      <c r="Z179" s="61">
        <f>AE113</f>
        <v>15.377258384729998</v>
      </c>
      <c r="AA179" s="75">
        <f>X179/X163</f>
        <v>1</v>
      </c>
    </row>
    <row r="180" spans="8:27" x14ac:dyDescent="0.25">
      <c r="H180" s="60" t="s">
        <v>114</v>
      </c>
      <c r="I180" s="55">
        <v>2019</v>
      </c>
      <c r="J180" s="53"/>
      <c r="K180" s="53"/>
      <c r="L180" s="54"/>
      <c r="M180" s="53"/>
      <c r="N180" s="52"/>
      <c r="O180" s="53"/>
      <c r="P180" s="54"/>
      <c r="Q180" s="54"/>
      <c r="R180" s="54"/>
      <c r="S180" s="54"/>
      <c r="T180" s="54"/>
      <c r="U180" s="54"/>
      <c r="V180" s="54"/>
      <c r="W180" s="59" t="str">
        <f t="shared" si="50"/>
        <v>Retrofit</v>
      </c>
      <c r="X180" s="59">
        <f t="shared" ref="X180:X181" si="57">Y114</f>
        <v>39.158901600000007</v>
      </c>
      <c r="Y180" s="59">
        <f t="shared" ref="Y180:Z180" si="58">AD114</f>
        <v>39.158901600000007</v>
      </c>
      <c r="Z180" s="61">
        <f t="shared" si="58"/>
        <v>38.963107092000008</v>
      </c>
      <c r="AA180" s="75">
        <f t="shared" ref="AA180:AA181" si="59">X180/X164</f>
        <v>0.37926072745638029</v>
      </c>
    </row>
    <row r="181" spans="8:27" x14ac:dyDescent="0.25">
      <c r="H181" s="60"/>
      <c r="I181" s="55"/>
      <c r="J181" s="53"/>
      <c r="K181" s="53"/>
      <c r="L181" s="54"/>
      <c r="M181" s="53"/>
      <c r="N181" s="52"/>
      <c r="O181" s="53"/>
      <c r="P181" s="54"/>
      <c r="Q181" s="54"/>
      <c r="R181" s="54"/>
      <c r="S181" s="54"/>
      <c r="T181" s="54"/>
      <c r="U181" s="54"/>
      <c r="V181" s="54"/>
      <c r="W181" s="59" t="str">
        <f t="shared" si="50"/>
        <v>Small Business Lighting</v>
      </c>
      <c r="X181" s="59">
        <f t="shared" si="57"/>
        <v>0</v>
      </c>
      <c r="Y181" s="59">
        <f t="shared" ref="Y181:Z181" si="60">AD115</f>
        <v>0</v>
      </c>
      <c r="Z181" s="61">
        <f t="shared" si="60"/>
        <v>0</v>
      </c>
      <c r="AA181" s="75">
        <f t="shared" si="59"/>
        <v>0</v>
      </c>
    </row>
    <row r="182" spans="8:27" x14ac:dyDescent="0.25">
      <c r="H182" s="60"/>
      <c r="I182" s="55"/>
      <c r="J182" s="53"/>
      <c r="K182" s="53"/>
      <c r="L182" s="54"/>
      <c r="M182" s="53"/>
      <c r="N182" s="52"/>
      <c r="O182" s="53"/>
      <c r="P182" s="54"/>
      <c r="Q182" s="54"/>
      <c r="R182" s="54"/>
      <c r="S182" s="54"/>
      <c r="T182" s="54"/>
      <c r="U182" s="54"/>
      <c r="V182" s="54"/>
      <c r="W182" s="59"/>
      <c r="X182" s="59"/>
      <c r="Y182" s="54"/>
      <c r="Z182" s="58"/>
    </row>
    <row r="183" spans="8:27" x14ac:dyDescent="0.25">
      <c r="H183" s="60"/>
      <c r="I183" s="55"/>
      <c r="J183" s="53"/>
      <c r="K183" s="53"/>
      <c r="L183" s="54"/>
      <c r="M183" s="53"/>
      <c r="N183" s="52"/>
      <c r="O183" s="53"/>
      <c r="P183" s="54"/>
      <c r="Q183" s="54"/>
      <c r="R183" s="54"/>
      <c r="S183" s="54"/>
      <c r="T183" s="54"/>
      <c r="U183" s="54"/>
      <c r="V183" s="54"/>
      <c r="W183" s="59" t="str">
        <f t="shared" si="50"/>
        <v>HPNC</v>
      </c>
      <c r="X183" s="59"/>
      <c r="Y183" s="59">
        <f>Z113</f>
        <v>3.051188625</v>
      </c>
      <c r="Z183" s="61">
        <f>AF113</f>
        <v>3.051188625</v>
      </c>
    </row>
    <row r="184" spans="8:27" x14ac:dyDescent="0.25">
      <c r="H184" s="60"/>
      <c r="I184" s="55">
        <v>2020</v>
      </c>
      <c r="J184" s="53"/>
      <c r="K184" s="53"/>
      <c r="L184" s="54"/>
      <c r="M184" s="53"/>
      <c r="N184" s="52"/>
      <c r="O184" s="53"/>
      <c r="P184" s="54"/>
      <c r="Q184" s="54"/>
      <c r="R184" s="54"/>
      <c r="S184" s="54"/>
      <c r="T184" s="54"/>
      <c r="U184" s="54"/>
      <c r="V184" s="54"/>
      <c r="W184" s="59" t="str">
        <f t="shared" si="50"/>
        <v>Retrofit</v>
      </c>
      <c r="X184" s="59"/>
      <c r="Y184" s="59">
        <f t="shared" ref="Y184:Y185" si="61">Z114</f>
        <v>53.462723495999995</v>
      </c>
      <c r="Z184" s="61">
        <f t="shared" ref="Z184:Z185" si="62">AF114</f>
        <v>53.462723495999995</v>
      </c>
    </row>
    <row r="185" spans="8:27" x14ac:dyDescent="0.25">
      <c r="H185" s="60"/>
      <c r="I185" s="52"/>
      <c r="J185" s="53"/>
      <c r="K185" s="53"/>
      <c r="L185" s="54"/>
      <c r="M185" s="53"/>
      <c r="N185" s="52"/>
      <c r="O185" s="53"/>
      <c r="P185" s="54"/>
      <c r="Q185" s="54"/>
      <c r="R185" s="54"/>
      <c r="S185" s="54"/>
      <c r="T185" s="54"/>
      <c r="U185" s="54"/>
      <c r="V185" s="54"/>
      <c r="W185" s="59" t="str">
        <f t="shared" si="50"/>
        <v>Small Business Lighting</v>
      </c>
      <c r="X185" s="59"/>
      <c r="Y185" s="59">
        <f t="shared" si="61"/>
        <v>0</v>
      </c>
      <c r="Z185" s="61">
        <f t="shared" si="62"/>
        <v>0</v>
      </c>
    </row>
    <row r="186" spans="8:27" ht="15.75" thickBot="1" x14ac:dyDescent="0.3">
      <c r="H186" s="62"/>
      <c r="I186" s="63"/>
      <c r="J186" s="64"/>
      <c r="K186" s="64"/>
      <c r="L186" s="65"/>
      <c r="M186" s="64"/>
      <c r="N186" s="63"/>
      <c r="O186" s="64"/>
      <c r="P186" s="65"/>
      <c r="Q186" s="65"/>
      <c r="R186" s="65"/>
      <c r="S186" s="65"/>
      <c r="T186" s="65"/>
      <c r="U186" s="65"/>
      <c r="V186" s="65"/>
      <c r="W186" s="66"/>
      <c r="X186" s="66"/>
      <c r="Y186" s="65"/>
      <c r="Z186" s="70"/>
    </row>
  </sheetData>
  <autoFilter ref="A1:V84" xr:uid="{00000000-0009-0000-0000-000002000000}"/>
  <dataConsolidate/>
  <dataValidations count="1">
    <dataValidation type="list" allowBlank="1" showInputMessage="1" showErrorMessage="1" sqref="Y2" xr:uid="{A6F9D56A-4E09-47EA-B23B-0AFE71314DCC}">
      <formula1>BillClass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E5289-6291-40C4-BFC2-68AA0F1B3E91}">
          <x14:formula1>
            <xm:f>'M:\Agreements\Termination of Framework\Post Termination Budget and Back up\[1 - Incentives Post Term Budget.xlsm]Admin Exp Category Descriptions'!#REF!</xm:f>
          </x14:formula1>
          <xm:sqref>Z121 J121:K121 I122:K171 I172 J172:K186 I180:I184 I174:I178 I187:K1048576 I2:K120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Participant Incentive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Connelly, Erin</dc:creator>
  <cp:lastModifiedBy>Luttrell, Tiija</cp:lastModifiedBy>
  <dcterms:created xsi:type="dcterms:W3CDTF">2019-07-26T18:11:28Z</dcterms:created>
  <dcterms:modified xsi:type="dcterms:W3CDTF">2020-10-13T18:10:24Z</dcterms:modified>
</cp:coreProperties>
</file>